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lissfs">'[1]数据-汇总表'!$C$17:$C$26</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B3" i="15"/>
  <c r="C20" i="78"/>
  <c r="F33" i="34"/>
  <c r="AA33" i="34"/>
  <c r="R49" i="34"/>
  <c r="H33" i="34"/>
  <c r="AB33" i="34"/>
  <c r="T49" i="34"/>
  <c r="J33" i="34"/>
  <c r="AC33" i="34"/>
  <c r="V49" i="34"/>
  <c r="R50" i="34"/>
  <c r="C50" i="34"/>
  <c r="B3" i="34"/>
  <c r="D20" i="78"/>
  <c r="G20" i="78"/>
  <c r="R24" i="31"/>
  <c r="R37" i="31"/>
  <c r="S37" i="31"/>
  <c r="R38" i="31"/>
  <c r="S38" i="31"/>
  <c r="R39" i="31"/>
  <c r="S39" i="31"/>
  <c r="R40" i="31"/>
  <c r="S40" i="31"/>
  <c r="R41" i="31"/>
  <c r="S41" i="31"/>
  <c r="R42" i="31"/>
  <c r="S42" i="31"/>
  <c r="R43" i="31"/>
  <c r="S43" i="31"/>
  <c r="R44" i="31"/>
  <c r="S44" i="31"/>
  <c r="R45" i="31"/>
  <c r="S45" i="31"/>
  <c r="R46" i="31"/>
  <c r="S46" i="31"/>
  <c r="U37" i="31"/>
  <c r="W37" i="31"/>
  <c r="V37" i="31"/>
  <c r="R26" i="31"/>
  <c r="S26" i="31"/>
  <c r="R27" i="31"/>
  <c r="S27" i="31"/>
  <c r="R28" i="31"/>
  <c r="S28" i="31"/>
  <c r="R29" i="31"/>
  <c r="S29" i="31"/>
  <c r="U26" i="31"/>
  <c r="W26" i="31"/>
  <c r="V26" i="31"/>
  <c r="K6" i="1"/>
  <c r="BB25" i="3"/>
  <c r="BC25" i="3"/>
  <c r="BD25" i="3"/>
  <c r="BE25" i="3"/>
  <c r="BF25" i="3"/>
  <c r="BG25" i="3"/>
  <c r="BH25" i="3"/>
  <c r="BI25" i="3"/>
  <c r="BJ25" i="3"/>
  <c r="BK25" i="3"/>
  <c r="BA25" i="3"/>
  <c r="BM25" i="3"/>
  <c r="BN25" i="3"/>
  <c r="BO25" i="3"/>
  <c r="BP25" i="3"/>
  <c r="BQ25" i="3"/>
  <c r="BR25" i="3"/>
  <c r="BS25" i="3"/>
  <c r="BT25" i="3"/>
  <c r="BL25" i="3"/>
  <c r="AZ25" i="3"/>
  <c r="AZ5" i="3"/>
  <c r="AY6" i="3"/>
  <c r="D3" i="6"/>
  <c r="E3" i="6"/>
  <c r="BQ5" i="3"/>
  <c r="BS5" i="3"/>
  <c r="F28" i="6"/>
  <c r="BR5" i="3"/>
  <c r="BT5" i="3"/>
  <c r="G28" i="6"/>
  <c r="E28" i="6"/>
  <c r="BA5" i="3"/>
  <c r="BB5" i="3"/>
  <c r="BC5" i="3"/>
  <c r="E8" i="6"/>
  <c r="F27" i="6"/>
  <c r="E27" i="6"/>
  <c r="K19" i="6"/>
  <c r="L19" i="6"/>
  <c r="M19" i="6"/>
  <c r="I19" i="6"/>
  <c r="H19" i="6"/>
  <c r="R19" i="6"/>
  <c r="M6" i="1"/>
  <c r="S6" i="1"/>
  <c r="T6" i="1"/>
  <c r="F15" i="34"/>
  <c r="AA15" i="34"/>
  <c r="H15" i="34"/>
  <c r="AB15" i="34"/>
  <c r="J15" i="34"/>
  <c r="AC15" i="34"/>
  <c r="E111" i="78"/>
  <c r="H111" i="78"/>
  <c r="D126" i="78"/>
  <c r="D127" i="78"/>
  <c r="A126" i="78"/>
  <c r="E109" i="78"/>
  <c r="H109" i="78"/>
  <c r="D124" i="78"/>
  <c r="D125" i="78"/>
  <c r="A124" i="78"/>
  <c r="E107" i="78"/>
  <c r="C17" i="78"/>
  <c r="D17" i="78"/>
  <c r="C18" i="78"/>
  <c r="D18" i="78"/>
  <c r="C25" i="78"/>
  <c r="C32" i="78"/>
  <c r="I118" i="78"/>
  <c r="M18" i="78"/>
  <c r="B118" i="78"/>
  <c r="H118" i="78"/>
  <c r="H101" i="78"/>
  <c r="H105" i="78"/>
  <c r="H106" i="78"/>
  <c r="H103" i="78"/>
  <c r="H107" i="78"/>
  <c r="D122" i="78"/>
  <c r="D123" i="78"/>
  <c r="A122" i="78"/>
  <c r="D120" i="78"/>
  <c r="D121" i="78"/>
  <c r="A120" i="78"/>
  <c r="K120" i="78"/>
  <c r="H119" i="78"/>
  <c r="C83" i="15"/>
  <c r="D35" i="78"/>
  <c r="C35" i="78"/>
  <c r="G118" i="78"/>
  <c r="F118" i="78"/>
  <c r="F119" i="78"/>
  <c r="E118" i="78"/>
  <c r="D118" i="78"/>
  <c r="D119" i="78"/>
  <c r="M19" i="78"/>
  <c r="C118" i="78"/>
  <c r="A118" i="78"/>
  <c r="H112" i="78"/>
  <c r="H110" i="78"/>
  <c r="H108" i="78"/>
  <c r="C105" i="78"/>
  <c r="H104" i="78"/>
  <c r="C104" i="78"/>
  <c r="D103" i="78"/>
  <c r="C103" i="78"/>
  <c r="H102" i="78"/>
  <c r="D3" i="34"/>
  <c r="B2" i="34"/>
  <c r="D19" i="78"/>
  <c r="D102" i="78"/>
  <c r="C19"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C82" i="15"/>
  <c r="D34" i="78"/>
  <c r="C34" i="78"/>
  <c r="F33" i="78"/>
  <c r="D27" i="78"/>
  <c r="C24" i="78"/>
  <c r="D22" i="78"/>
  <c r="G19" i="78"/>
  <c r="L19" i="78"/>
  <c r="G21" i="78"/>
  <c r="D21" i="78"/>
  <c r="C21" i="78"/>
  <c r="L18" i="78"/>
  <c r="L4" i="78"/>
  <c r="K4" i="78"/>
  <c r="A2" i="78"/>
  <c r="H1" i="78"/>
  <c r="S24" i="31"/>
  <c r="S22" i="31"/>
  <c r="R22" i="31"/>
  <c r="B21" i="31"/>
  <c r="C20" i="9"/>
  <c r="D20" i="9"/>
  <c r="C17" i="9"/>
  <c r="D17" i="9"/>
  <c r="C18" i="9"/>
  <c r="D18" i="9"/>
  <c r="G20" i="9"/>
  <c r="B20" i="31"/>
  <c r="C19" i="9"/>
  <c r="D19" i="9"/>
  <c r="G19" i="9"/>
  <c r="C32" i="9"/>
  <c r="H118" i="9"/>
  <c r="M18" i="9"/>
  <c r="B118" i="9"/>
  <c r="I118" i="9"/>
  <c r="C105" i="9"/>
  <c r="M26" i="31"/>
  <c r="M27" i="31"/>
  <c r="M28" i="31"/>
  <c r="M29" i="31"/>
  <c r="M37" i="31"/>
  <c r="M38" i="31"/>
  <c r="M39" i="31"/>
  <c r="M40" i="31"/>
  <c r="M41" i="31"/>
  <c r="M42" i="31"/>
  <c r="M43" i="31"/>
  <c r="M44" i="31"/>
  <c r="M45" i="31"/>
  <c r="M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20" i="6"/>
  <c r="F19" i="6"/>
  <c r="A6" i="1"/>
  <c r="A7" i="1"/>
  <c r="G1" i="15"/>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G5" i="3"/>
  <c r="E19"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13" i="3"/>
  <c r="BC13" i="3"/>
  <c r="BD13" i="3"/>
  <c r="BE13" i="3"/>
  <c r="BF13" i="3"/>
  <c r="BG13" i="3"/>
  <c r="BH13" i="3"/>
  <c r="BI13" i="3"/>
  <c r="BJ13" i="3"/>
  <c r="BK13" i="3"/>
  <c r="BA13" i="3"/>
  <c r="BM13" i="3"/>
  <c r="BN13" i="3"/>
  <c r="BO13" i="3"/>
  <c r="BP13" i="3"/>
  <c r="BQ13" i="3"/>
  <c r="BR13" i="3"/>
  <c r="BS13" i="3"/>
  <c r="BT13" i="3"/>
  <c r="BL13" i="3"/>
  <c r="AZ13" i="3"/>
  <c r="B3" i="3"/>
  <c r="BC10" i="3"/>
  <c r="E20" i="6"/>
  <c r="M47" i="15"/>
  <c r="F91" i="15"/>
  <c r="D112" i="34"/>
  <c r="E112" i="34"/>
  <c r="F112" i="34"/>
  <c r="G112" i="34"/>
  <c r="F37" i="34"/>
  <c r="AA37" i="34"/>
  <c r="D114" i="34"/>
  <c r="E114" i="34"/>
  <c r="F38" i="34"/>
  <c r="AA38" i="34"/>
  <c r="D116" i="34"/>
  <c r="E116" i="34"/>
  <c r="F39" i="34"/>
  <c r="AA39" i="34"/>
  <c r="H37" i="34"/>
  <c r="AB37" i="34"/>
  <c r="H38" i="34"/>
  <c r="AB38" i="34"/>
  <c r="H39" i="34"/>
  <c r="AB39" i="34"/>
  <c r="J37" i="34"/>
  <c r="AC37" i="34"/>
  <c r="J38" i="34"/>
  <c r="AC38" i="34"/>
  <c r="J39" i="34"/>
  <c r="AC39" i="34"/>
  <c r="H13" i="3"/>
  <c r="G13" i="3"/>
  <c r="B52" i="1"/>
  <c r="F34" i="15"/>
  <c r="B93" i="34"/>
  <c r="F29" i="34"/>
  <c r="AA29" i="34"/>
  <c r="F67" i="34"/>
  <c r="F10" i="34"/>
  <c r="AA10" i="34"/>
  <c r="D70" i="34"/>
  <c r="E70" i="34"/>
  <c r="F70" i="34"/>
  <c r="F11" i="34"/>
  <c r="AA11" i="34"/>
  <c r="B71" i="34"/>
  <c r="F12" i="34"/>
  <c r="AA12" i="34"/>
  <c r="B73" i="34"/>
  <c r="F13" i="34"/>
  <c r="AA13" i="34"/>
  <c r="B75" i="34"/>
  <c r="F14" i="34"/>
  <c r="AA14" i="34"/>
  <c r="D78"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4" i="34"/>
  <c r="AA34" i="34"/>
  <c r="D107" i="34"/>
  <c r="F35" i="34"/>
  <c r="AA35" i="34"/>
  <c r="D109" i="34"/>
  <c r="E109" i="34"/>
  <c r="F36" i="34"/>
  <c r="AA36" i="34"/>
  <c r="F40" i="34"/>
  <c r="AA40" i="34"/>
  <c r="D120" i="34"/>
  <c r="F41" i="34"/>
  <c r="AA41" i="34"/>
  <c r="F42" i="34"/>
  <c r="AA42" i="34"/>
  <c r="D124" i="34"/>
  <c r="E124" i="34"/>
  <c r="F43" i="34"/>
  <c r="AA43" i="34"/>
  <c r="D126" i="34"/>
  <c r="F44" i="34"/>
  <c r="AA44" i="34"/>
  <c r="B127" i="34"/>
  <c r="F45" i="34"/>
  <c r="AA45" i="34"/>
  <c r="B129" i="34"/>
  <c r="F46" i="34"/>
  <c r="AA46" i="34"/>
  <c r="B131" i="34"/>
  <c r="F47" i="34"/>
  <c r="AA47" i="34"/>
  <c r="H29" i="34"/>
  <c r="AB29" i="34"/>
  <c r="H10" i="34"/>
  <c r="AB10" i="34"/>
  <c r="H11" i="34"/>
  <c r="AB11" i="34"/>
  <c r="H12" i="34"/>
  <c r="AB12" i="34"/>
  <c r="H13" i="34"/>
  <c r="AB13" i="34"/>
  <c r="H14" i="34"/>
  <c r="AB14"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4" i="34"/>
  <c r="AB34" i="34"/>
  <c r="H35" i="34"/>
  <c r="AB35" i="34"/>
  <c r="H36" i="34"/>
  <c r="AB36" i="34"/>
  <c r="H40" i="34"/>
  <c r="AB40" i="34"/>
  <c r="H41" i="34"/>
  <c r="AB41" i="34"/>
  <c r="H42" i="34"/>
  <c r="AB42" i="34"/>
  <c r="H43" i="34"/>
  <c r="AB43" i="34"/>
  <c r="H44" i="34"/>
  <c r="AB44" i="34"/>
  <c r="H45" i="34"/>
  <c r="AB45" i="34"/>
  <c r="H46" i="34"/>
  <c r="AB46" i="34"/>
  <c r="H47" i="34"/>
  <c r="AB47" i="34"/>
  <c r="J29" i="34"/>
  <c r="AC29" i="34"/>
  <c r="J10" i="34"/>
  <c r="AC10" i="34"/>
  <c r="J11" i="34"/>
  <c r="AC11" i="34"/>
  <c r="J12" i="34"/>
  <c r="AC12" i="34"/>
  <c r="J13" i="34"/>
  <c r="AC13" i="34"/>
  <c r="J14" i="34"/>
  <c r="AC14"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4" i="34"/>
  <c r="AC34" i="34"/>
  <c r="J35" i="34"/>
  <c r="AC35" i="34"/>
  <c r="J36" i="34"/>
  <c r="AC36" i="34"/>
  <c r="J40" i="34"/>
  <c r="AC40" i="34"/>
  <c r="J41" i="34"/>
  <c r="AC41" i="34"/>
  <c r="J42" i="34"/>
  <c r="AC42" i="34"/>
  <c r="J43" i="34"/>
  <c r="AC43" i="34"/>
  <c r="J44" i="34"/>
  <c r="AC44" i="34"/>
  <c r="J45" i="34"/>
  <c r="AC45" i="34"/>
  <c r="J46" i="34"/>
  <c r="AC46" i="34"/>
  <c r="J47" i="34"/>
  <c r="AC47" i="34"/>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C38" i="31"/>
  <c r="K38" i="31"/>
  <c r="I38" i="31"/>
  <c r="G38" i="31"/>
  <c r="E38" i="31"/>
  <c r="C39" i="31"/>
  <c r="K39" i="31"/>
  <c r="I39" i="31"/>
  <c r="G39" i="31"/>
  <c r="E39" i="31"/>
  <c r="C40" i="31"/>
  <c r="K40" i="31"/>
  <c r="I40" i="31"/>
  <c r="G40" i="31"/>
  <c r="E40" i="31"/>
  <c r="C41" i="31"/>
  <c r="K41" i="31"/>
  <c r="I41" i="31"/>
  <c r="G41" i="31"/>
  <c r="E41" i="31"/>
  <c r="C42" i="31"/>
  <c r="K42" i="31"/>
  <c r="I42" i="31"/>
  <c r="G42" i="31"/>
  <c r="E42" i="31"/>
  <c r="C43" i="31"/>
  <c r="K43" i="31"/>
  <c r="I43" i="31"/>
  <c r="G43" i="31"/>
  <c r="E43" i="31"/>
  <c r="C44" i="31"/>
  <c r="K44" i="31"/>
  <c r="I44" i="31"/>
  <c r="G44" i="31"/>
  <c r="E44" i="31"/>
  <c r="C45" i="31"/>
  <c r="K45" i="31"/>
  <c r="I45" i="31"/>
  <c r="G45" i="31"/>
  <c r="E45" i="31"/>
  <c r="C46" i="31"/>
  <c r="K46" i="31"/>
  <c r="I46" i="31"/>
  <c r="G46" i="31"/>
  <c r="E46" i="31"/>
  <c r="D10" i="31"/>
  <c r="I25" i="31"/>
  <c r="D8" i="31"/>
  <c r="G25" i="31"/>
  <c r="D12" i="31"/>
  <c r="E12" i="31"/>
  <c r="K25" i="31"/>
  <c r="M25" i="31"/>
  <c r="E10" i="31"/>
  <c r="F12" i="31"/>
  <c r="F15" i="15"/>
  <c r="J25" i="1"/>
  <c r="J24" i="1"/>
  <c r="J22" i="1"/>
  <c r="AD5" i="71"/>
  <c r="AH5" i="71"/>
  <c r="AG5" i="71"/>
  <c r="AE5" i="71"/>
  <c r="AF5" i="71"/>
  <c r="Q5" i="71"/>
  <c r="P5" i="71"/>
  <c r="O5" i="71"/>
  <c r="N5" i="71"/>
  <c r="G17" i="43"/>
  <c r="H17" i="43"/>
  <c r="I17" i="43"/>
  <c r="J17" i="43"/>
  <c r="C16" i="43"/>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1" i="6"/>
  <c r="K8" i="1"/>
  <c r="M8" i="1"/>
  <c r="F23" i="15"/>
  <c r="D24" i="15"/>
  <c r="M13" i="1"/>
  <c r="O13" i="1"/>
  <c r="P13" i="1"/>
  <c r="E22" i="6"/>
  <c r="E23" i="6"/>
  <c r="E24" i="6"/>
  <c r="E25" i="6"/>
  <c r="E26" i="6"/>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5" i="39"/>
  <c r="G30" i="6"/>
  <c r="G31" i="6"/>
  <c r="J56" i="9"/>
  <c r="J57" i="9"/>
  <c r="A24" i="51"/>
  <c r="B18" i="72"/>
  <c r="U29" i="34"/>
  <c r="E14" i="6"/>
  <c r="E64" i="39"/>
  <c r="E5" i="6"/>
  <c r="D9" i="11"/>
  <c r="C9" i="11"/>
  <c r="P10" i="1"/>
  <c r="E32"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M20" i="6"/>
  <c r="I20" i="6"/>
  <c r="H20" i="6"/>
  <c r="R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Q50" i="15"/>
  <c r="I54" i="15"/>
  <c r="L56" i="15"/>
  <c r="F71" i="67"/>
  <c r="F66" i="15"/>
  <c r="F50" i="15"/>
  <c r="B10" i="70"/>
  <c r="F68" i="67"/>
  <c r="F66" i="67"/>
  <c r="L59" i="67"/>
  <c r="M59" i="67"/>
  <c r="N59" i="67"/>
  <c r="L58" i="67"/>
  <c r="F68" i="15"/>
  <c r="N59" i="15"/>
  <c r="M59"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D103" i="9"/>
  <c r="Q67" i="15"/>
  <c r="C71" i="15"/>
  <c r="Q69" i="15"/>
  <c r="Q68" i="15"/>
  <c r="C80" i="15"/>
  <c r="C79" i="15"/>
  <c r="C36" i="36"/>
  <c r="C37" i="36"/>
  <c r="B2" i="36"/>
  <c r="B3" i="36"/>
  <c r="M68" i="39"/>
  <c r="L70" i="39"/>
  <c r="E40" i="36"/>
  <c r="F40" i="36"/>
  <c r="E41" i="36"/>
  <c r="F41" i="36"/>
  <c r="I41" i="36"/>
  <c r="J41" i="36"/>
  <c r="Q65" i="15"/>
  <c r="C43" i="15"/>
  <c r="Q56" i="15"/>
  <c r="Q47" i="15"/>
  <c r="Q53" i="15"/>
  <c r="C46" i="15"/>
  <c r="Q66" i="15"/>
  <c r="Q57" i="15"/>
  <c r="N68" i="39"/>
  <c r="M70" i="39"/>
  <c r="AO6" i="1"/>
  <c r="D22" i="9"/>
  <c r="C21" i="9"/>
  <c r="C102" i="9"/>
  <c r="Q62" i="15"/>
  <c r="Q75" i="15"/>
  <c r="B6" i="70"/>
  <c r="B2" i="70"/>
  <c r="B3" i="70"/>
  <c r="O68" i="39"/>
  <c r="O70" i="39"/>
  <c r="N70" i="39"/>
  <c r="D34" i="9"/>
  <c r="D35" i="9"/>
  <c r="C103" i="9"/>
  <c r="G21" i="9"/>
  <c r="F7" i="39"/>
  <c r="H7" i="39"/>
  <c r="J7" i="39"/>
  <c r="C35" i="9"/>
  <c r="F118" i="9"/>
  <c r="G118" i="9"/>
  <c r="AC7" i="39"/>
  <c r="V47" i="39"/>
  <c r="I47" i="39"/>
  <c r="W7" i="39"/>
  <c r="AB7" i="39"/>
  <c r="T47" i="39"/>
  <c r="G47" i="39"/>
  <c r="U7" i="39"/>
  <c r="S7" i="39"/>
  <c r="AA7" i="39"/>
  <c r="R47" i="39"/>
  <c r="C34" i="9"/>
  <c r="E118" i="9"/>
  <c r="D118" i="9"/>
  <c r="D119" i="9"/>
  <c r="D5" i="52"/>
  <c r="B49" i="72"/>
  <c r="F4" i="52"/>
  <c r="B51" i="72"/>
  <c r="G4" i="52"/>
  <c r="B52" i="72"/>
  <c r="F119" i="9"/>
  <c r="F5" i="52"/>
  <c r="B53" i="72"/>
  <c r="D14" i="74"/>
  <c r="H119" i="9"/>
  <c r="H5" i="52"/>
  <c r="C104" i="9"/>
  <c r="H101" i="9"/>
  <c r="H4" i="52"/>
  <c r="G52" i="39"/>
  <c r="H52" i="39"/>
  <c r="G51" i="39"/>
  <c r="H51" i="39"/>
  <c r="I51" i="39"/>
  <c r="J51" i="39"/>
  <c r="E47" i="39"/>
  <c r="R48" i="39"/>
  <c r="D4" i="52"/>
  <c r="B47" i="72"/>
  <c r="H102" i="9"/>
  <c r="D7" i="53"/>
  <c r="B21" i="72"/>
  <c r="I4" i="52"/>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C79" i="9"/>
  <c r="C80" i="9"/>
  <c r="E80" i="9"/>
  <c r="E81" i="9"/>
  <c r="L65" i="9"/>
  <c r="M65" i="9"/>
  <c r="L64" i="9"/>
  <c r="M64" i="9"/>
  <c r="L67" i="9"/>
  <c r="M67" i="9"/>
  <c r="L68" i="9"/>
  <c r="M68" i="9"/>
  <c r="L66" i="9"/>
  <c r="M66" i="9"/>
  <c r="L63" i="9"/>
  <c r="M63" i="9"/>
  <c r="G14" i="74"/>
  <c r="D8" i="52"/>
  <c r="D123" i="9"/>
  <c r="D9" i="52"/>
  <c r="B30" i="72"/>
  <c r="D14" i="53"/>
  <c r="B32" i="72"/>
  <c r="C95" i="9"/>
  <c r="E15" i="74"/>
  <c r="E19" i="74"/>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<sst xmlns="http://schemas.openxmlformats.org/spreadsheetml/2006/main" count="7741" uniqueCount="3127">
  <si>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</si>
  <si>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</si>
  <si>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</si>
  <si>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</si>
  <si>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</si>
  <si>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</si>
  <si>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</si>
  <si>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</si>
  <si>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</si>
  <si>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</si>
  <si>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</si>
  <si>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</si>
  <si>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</si>
  <si>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</si>
  <si>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</si>
  <si>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</si>
  <si>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</si>
  <si>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</si>
  <si>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</si>
  <si>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</si>
  <si>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</si>
  <si>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</si>
  <si>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</si>
  <si>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</si>
  <si>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</si>
  <si>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</si>
  <si>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</si>
  <si>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</si>
  <si>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</si>
  <si>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</si>
  <si>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</si>
  <si>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</si>
  <si>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</si>
  <si>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</si>
  <si>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</si>
  <si>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</si>
  <si>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</si>
  <si>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</si>
  <si>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</si>
  <si>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</si>
  <si>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</si>
  <si>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</si>
  <si>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</si>
  <si>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</si>
  <si>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</si>
  <si>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</si>
  <si>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</si>
  <si>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</si>
  <si>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</si>
  <si>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</si>
  <si>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</si>
  <si>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</si>
  <si>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</si>
  <si>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</si>
  <si>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</si>
  <si>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</si>
  <si>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</si>
  <si>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</si>
  <si>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</si>
  <si>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</si>
  <si>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</si>
  <si>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</si>
  <si>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</si>
  <si>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</si>
  <si>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</si>
  <si>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</si>
  <si>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</si>
  <si>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</si>
  <si>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</si>
  <si>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</si>
  <si>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</si>
  <si>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</si>
  <si>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</si>
  <si>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</si>
  <si>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</si>
  <si>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</si>
  <si>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</si>
  <si>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</si>
  <si>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</si>
  <si>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</si>
  <si>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</si>
  <si>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</si>
  <si>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</si>
  <si>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</si>
  <si>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</si>
  <si>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</si>
  <si>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</si>
  <si>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</si>
  <si>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</si>
  <si>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</si>
  <si>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</si>
  <si>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</si>
  <si>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</si>
  <si>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</si>
  <si>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</si>
  <si>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</si>
  <si>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</si>
  <si>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</si>
  <si>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</si>
  <si>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</si>
  <si>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</si>
  <si>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</si>
  <si>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</si>
  <si>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</si>
  <si>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</si>
  <si>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</si>
  <si>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</si>
  <si>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</si>
  <si>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</si>
  <si>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</si>
  <si>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</si>
  <si>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</si>
  <si>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</si>
  <si>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</si>
  <si>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</si>
  <si>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</si>
  <si>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</si>
  <si>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</si>
  <si>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</si>
  <si>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</si>
  <si>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</si>
  <si>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</si>
  <si>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</si>
  <si>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</si>
  <si>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</si>
  <si>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</si>
  <si>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</si>
  <si>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</si>
  <si>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</si>
  <si>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</si>
  <si>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</si>
  <si>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</si>
  <si>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</si>
  <si>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</si>
  <si>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</si>
  <si>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</si>
  <si>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</si>
  <si>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</si>
  <si>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</si>
  <si>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</si>
  <si>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</si>
  <si>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</si>
  <si>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</si>
  <si>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</si>
  <si>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</si>
  <si>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</si>
  <si>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</si>
  <si>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</si>
  <si>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</si>
  <si>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</si>
  <si>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</si>
  <si>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</si>
  <si>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</si>
  <si>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</si>
  <si>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</si>
  <si>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</si>
  <si>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</si>
  <si>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</si>
  <si>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</si>
  <si>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</si>
  <si>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</si>
  <si>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</si>
  <si>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</si>
  <si>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</si>
  <si>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</si>
  <si>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</si>
  <si>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</si>
  <si>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</si>
  <si>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</si>
  <si>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</si>
  <si>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</si>
  <si>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</si>
  <si>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</si>
  <si>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</si>
  <si>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</si>
  <si>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</si>
  <si>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</si>
  <si>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</si>
  <si>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</si>
  <si>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</si>
  <si>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</si>
  <si>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</si>
  <si>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</si>
  <si>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</si>
  <si>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</si>
  <si>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</si>
  <si>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</si>
  <si>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</si>
  <si>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</si>
  <si>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</si>
  <si>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</si>
  <si>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</si>
  <si>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</si>
  <si>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</si>
  <si>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</si>
  <si>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</si>
  <si>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</si>
  <si>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</si>
  <si>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</si>
  <si>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</si>
  <si>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</si>
  <si>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</si>
  <si>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</si>
  <si>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</si>
  <si>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</si>
  <si>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</si>
  <si>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</si>
  <si>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</si>
  <si>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</si>
  <si>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</si>
  <si>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</si>
  <si>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</si>
  <si>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</si>
  <si>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</si>
  <si>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</si>
  <si>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</si>
  <si>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</si>
  <si>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</si>
  <si>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</si>
  <si>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</si>
  <si>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</si>
  <si>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</si>
  <si>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</si>
  <si>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</si>
  <si>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</si>
  <si>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</si>
  <si>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</si>
  <si>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</si>
  <si>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</si>
  <si>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</si>
  <si>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</si>
  <si>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</si>
  <si>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</si>
  <si>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</si>
  <si>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</si>
  <si>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</si>
  <si>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</si>
  <si>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</si>
  <si>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</si>
  <si>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</si>
  <si>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</si>
  <si>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</si>
  <si>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</si>
  <si>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</si>
  <si>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</si>
  <si>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</si>
  <si>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</si>
  <si>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</si>
  <si>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</si>
  <si>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</si>
  <si>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</si>
  <si>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</si>
  <si>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</si>
  <si>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</si>
  <si>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</si>
  <si>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</si>
  <si>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</si>
  <si>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</si>
  <si>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</si>
  <si>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</si>
  <si>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</si>
  <si>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</si>
  <si>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</si>
  <si>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</si>
  <si>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</si>
  <si>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</si>
  <si>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</si>
  <si>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</si>
  <si>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</si>
  <si>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</si>
  <si>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</si>
  <si>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</si>
  <si>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</si>
  <si>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</si>
  <si>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</si>
  <si>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</si>
  <si>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</si>
  <si>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</si>
  <si>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</si>
  <si>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</si>
  <si>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</si>
  <si>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</si>
  <si>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</si>
  <si>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</si>
  <si>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</si>
  <si>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</si>
  <si>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</si>
  <si>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</si>
  <si>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</si>
  <si>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</si>
  <si>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</si>
  <si>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</si>
  <si>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</si>
  <si>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</si>
  <si>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</si>
  <si>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</si>
  <si>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</si>
  <si>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</si>
  <si>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</si>
  <si>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</si>
  <si>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</si>
  <si>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</si>
  <si>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</si>
  <si>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</si>
  <si>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</si>
  <si>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</si>
  <si>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</si>
  <si>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</si>
  <si>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</si>
  <si>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</si>
  <si>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</si>
  <si>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</si>
  <si>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</si>
  <si>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</si>
  <si>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</si>
  <si>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</si>
  <si>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</si>
  <si>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</si>
  <si>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</si>
  <si>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</si>
  <si>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</si>
  <si>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</si>
  <si>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</si>
  <si>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</si>
  <si>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</si>
  <si>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</si>
  <si>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</si>
  <si>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</si>
  <si>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</si>
  <si>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</si>
  <si>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</si>
  <si>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</si>
  <si>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</si>
  <si>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</si>
  <si>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</si>
  <si>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</si>
  <si>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</si>
  <si>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</si>
  <si>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</si>
  <si>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</si>
  <si>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</si>
  <si>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</si>
  <si>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</si>
  <si>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</si>
  <si>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</si>
  <si>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</si>
  <si>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</si>
  <si>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</si>
  <si>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</si>
  <si>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</si>
  <si>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</si>
  <si>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</si>
  <si>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</si>
  <si>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</si>
  <si>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</si>
  <si>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</si>
  <si>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</si>
  <si>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</si>
  <si>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</si>
  <si>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</si>
  <si>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</si>
  <si>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</si>
  <si>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</si>
  <si>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</si>
  <si>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</si>
  <si>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</si>
  <si>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</si>
  <si>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</si>
  <si>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</si>
  <si>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</si>
  <si>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</si>
  <si>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</si>
  <si>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</si>
  <si>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</si>
  <si>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</si>
  <si>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</si>
  <si>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</si>
  <si>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</si>
  <si>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</si>
  <si>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</si>
  <si>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</si>
  <si>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</si>
  <si>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</si>
  <si>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</si>
  <si>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</si>
  <si>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</si>
  <si>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</si>
  <si>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</si>
  <si>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</si>
  <si>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</si>
  <si>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</si>
  <si>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</si>
  <si>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</si>
  <si>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</si>
  <si>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</si>
  <si>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</si>
  <si>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</si>
  <si>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</si>
  <si>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</si>
  <si>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</si>
  <si>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</si>
  <si>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</si>
  <si>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</si>
  <si>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</si>
  <si>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</si>
  <si>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</si>
  <si>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</si>
  <si>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</si>
  <si>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</si>
  <si>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</si>
  <si>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</si>
  <si>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</si>
  <si>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</si>
  <si>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</si>
  <si>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</si>
  <si>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</si>
  <si>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</si>
  <si>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</si>
  <si>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</si>
  <si>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</si>
  <si>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</si>
  <si>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</si>
  <si>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</si>
  <si>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</si>
  <si>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</si>
  <si>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</si>
  <si>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</si>
  <si>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</si>
  <si>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</si>
  <si>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</si>
  <si>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</si>
  <si>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</si>
  <si>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</si>
  <si>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</si>
  <si>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</si>
  <si>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</si>
  <si>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</si>
  <si>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</si>
  <si>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</si>
  <si>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</si>
  <si>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</si>
  <si>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</si>
  <si>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</si>
  <si>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</si>
  <si>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</si>
  <si>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</si>
  <si>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</si>
  <si>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</si>
  <si>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</si>
  <si>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</si>
  <si>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</si>
  <si>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</si>
  <si>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</si>
  <si>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</si>
  <si>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</si>
  <si>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</si>
  <si>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</si>
  <si>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</si>
  <si>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</si>
  <si>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</si>
  <si>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</si>
  <si>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</si>
  <si>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</si>
  <si>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</si>
  <si>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</si>
  <si>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</si>
  <si>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</si>
  <si>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</si>
  <si>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</si>
  <si>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</si>
  <si>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</si>
  <si>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</si>
  <si>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</si>
  <si>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</si>
  <si>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</si>
  <si>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</si>
  <si>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</si>
  <si>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</si>
  <si>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</si>
  <si>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</si>
  <si>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</si>
  <si>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</si>
  <si>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</si>
  <si>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</si>
  <si>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</si>
  <si>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</si>
  <si>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</si>
  <si>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</si>
  <si>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</si>
  <si>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</si>
  <si>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</si>
  <si>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</si>
  <si>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</si>
  <si>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</si>
  <si>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</si>
  <si>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</si>
  <si>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</si>
  <si>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</si>
  <si>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</si>
  <si>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</si>
  <si>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</si>
  <si>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</si>
  <si>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</si>
  <si>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</si>
  <si>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</si>
  <si>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</si>
  <si>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</si>
  <si>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</si>
  <si>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</si>
  <si>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</si>
  <si>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</si>
  <si>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</si>
  <si>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</si>
  <si>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</si>
  <si>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</si>
  <si>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</si>
  <si>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</si>
  <si>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</si>
  <si>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</si>
  <si>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</si>
  <si>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</si>
  <si>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</si>
  <si>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</si>
  <si>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</si>
  <si>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</si>
  <si>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</si>
  <si>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</si>
  <si>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</si>
  <si>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</si>
  <si>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</si>
  <si>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</si>
  <si>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</si>
  <si>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</si>
  <si>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</si>
  <si>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</si>
  <si>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</si>
  <si>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</si>
  <si>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</si>
  <si>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</si>
  <si>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</si>
  <si>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</si>
  <si>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</si>
  <si>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</si>
  <si>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</si>
  <si>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</si>
  <si>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</si>
  <si>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</si>
  <si>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</si>
  <si>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</si>
  <si>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</si>
  <si>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</si>
  <si>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</si>
  <si>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</si>
  <si>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</si>
  <si>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</si>
  <si>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</si>
  <si>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</si>
  <si>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</si>
  <si>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</si>
  <si>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</si>
  <si>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</si>
  <si>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</si>
  <si>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</si>
  <si>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</si>
  <si>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</si>
  <si>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</si>
  <si>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</si>
  <si>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</si>
  <si>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</si>
  <si>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</si>
  <si>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</si>
  <si>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</si>
  <si>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</si>
  <si>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</si>
  <si>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</si>
  <si>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</si>
  <si>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</si>
  <si>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</si>
  <si>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</si>
  <si>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</si>
  <si>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</si>
  <si>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</si>
  <si>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</si>
  <si>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</si>
  <si>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</si>
  <si>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</si>
  <si>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</si>
  <si>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</si>
  <si>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</si>
  <si>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</si>
  <si>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</si>
  <si>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</si>
  <si>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</si>
  <si>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</si>
  <si>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</si>
  <si>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</si>
  <si>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</si>
  <si>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</si>
  <si>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</si>
  <si>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</si>
  <si>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</si>
  <si>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</si>
  <si>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</si>
  <si>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</si>
  <si>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</si>
  <si>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</si>
  <si>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</si>
  <si>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</si>
  <si>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</si>
  <si>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</si>
  <si>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</si>
  <si>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</si>
  <si>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</si>
  <si>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</si>
  <si>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</si>
  <si>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</si>
  <si>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</si>
  <si>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</si>
  <si>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</si>
  <si>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</si>
  <si>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</si>
  <si>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</si>
  <si>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</si>
  <si>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</si>
  <si>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</si>
  <si>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</si>
  <si>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</si>
  <si>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</si>
  <si>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</si>
  <si>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</si>
  <si>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</si>
  <si>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</si>
  <si>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</si>
  <si>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</si>
  <si>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</si>
  <si>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</si>
  <si>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</si>
  <si>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</si>
  <si>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</si>
  <si>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</si>
  <si>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</si>
  <si>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</si>
  <si>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</si>
  <si>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</si>
  <si>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</si>
  <si>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</si>
  <si>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</si>
  <si>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</si>
  <si>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</si>
  <si>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</si>
  <si>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</si>
  <si>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</si>
  <si>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</si>
  <si>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</si>
  <si>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</si>
  <si>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</si>
  <si>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</si>
  <si>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</si>
  <si>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</si>
  <si>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</si>
  <si>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</si>
  <si>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</si>
  <si>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</si>
  <si>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</si>
  <si>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</si>
  <si>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</si>
  <si>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</si>
  <si>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</si>
  <si>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</si>
  <si>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</si>
  <si>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</si>
  <si>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</si>
  <si>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</si>
  <si>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</si>
  <si>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</si>
  <si>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</si>
  <si>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</si>
  <si>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</si>
  <si>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</si>
  <si>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</si>
  <si>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</si>
  <si>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</si>
  <si>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</si>
  <si>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</si>
  <si>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</si>
  <si>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</si>
  <si>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</si>
  <si>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</si>
  <si>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</si>
  <si>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</si>
  <si>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</si>
  <si>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</si>
  <si>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</si>
  <si>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</si>
  <si>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</si>
  <si>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</si>
  <si>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</si>
  <si>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</si>
  <si>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</si>
  <si>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</si>
  <si>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</si>
  <si>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</si>
  <si>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</si>
  <si>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</si>
  <si>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</si>
  <si>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</si>
  <si>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</si>
  <si>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</si>
  <si>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</si>
  <si>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</si>
  <si>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</si>
  <si>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</si>
  <si>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</si>
  <si>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</si>
  <si>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</si>
  <si>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</si>
  <si>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</si>
  <si>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</si>
  <si>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</si>
  <si>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</si>
  <si>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</si>
  <si>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</si>
  <si>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</si>
  <si>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</si>
  <si>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</si>
  <si>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</si>
  <si>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</si>
  <si>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</si>
  <si>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</si>
  <si>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</si>
  <si>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</si>
  <si>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</si>
  <si>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</si>
  <si>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</si>
  <si>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</si>
  <si>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</si>
  <si>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</si>
  <si>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</si>
  <si>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</si>
  <si>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</si>
  <si>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</si>
  <si>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</si>
  <si>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</si>
  <si>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</si>
  <si>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</si>
  <si>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</si>
  <si>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</si>
  <si>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</si>
  <si>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</si>
  <si>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</si>
  <si>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</si>
  <si>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</si>
  <si>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</si>
  <si>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</si>
  <si>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</si>
  <si>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</si>
  <si>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</si>
  <si>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</si>
  <si>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</si>
  <si>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</si>
  <si>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</si>
  <si>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</si>
  <si>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</si>
  <si>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</si>
  <si>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</si>
  <si>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</si>
  <si>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</si>
  <si>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</si>
  <si>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</si>
  <si>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</si>
  <si>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</si>
  <si>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</si>
  <si>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</si>
  <si>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</si>
  <si>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</si>
  <si>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</si>
  <si>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</si>
  <si>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</si>
  <si>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</si>
  <si>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</si>
  <si>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</si>
  <si>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</si>
  <si>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</si>
  <si>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</si>
  <si>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</si>
  <si>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</si>
  <si>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</si>
  <si>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</si>
  <si>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</si>
  <si>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</si>
  <si>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</si>
  <si>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</si>
  <si>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</si>
  <si>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</si>
  <si>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</si>
  <si>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</si>
  <si>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</si>
  <si>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</si>
  <si>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</si>
  <si>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</si>
  <si>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</si>
  <si>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</si>
  <si>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</si>
  <si>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</si>
  <si>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</si>
  <si>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</si>
  <si>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</si>
  <si>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</si>
  <si>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</si>
  <si>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</si>
  <si>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</si>
  <si>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</si>
  <si>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</si>
  <si>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</si>
  <si>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</si>
  <si>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</si>
  <si>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</si>
  <si>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</si>
  <si>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</si>
  <si>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</si>
  <si>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</si>
  <si>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</si>
  <si>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</si>
  <si>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</si>
  <si>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</si>
  <si>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</si>
  <si>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</si>
  <si>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</si>
  <si>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</si>
  <si>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</si>
  <si>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</si>
  <si>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</si>
  <si>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</si>
  <si>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</si>
  <si>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</si>
  <si>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</si>
  <si>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</si>
  <si>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</si>
  <si>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</si>
  <si>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</si>
  <si>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</si>
  <si>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</si>
  <si>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</si>
  <si>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</si>
  <si>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</si>
  <si>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</si>
  <si>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</si>
  <si>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</si>
  <si>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</si>
  <si>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</si>
  <si>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</si>
  <si>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</si>
  <si>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</si>
  <si>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</si>
  <si>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</si>
  <si>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</si>
  <si>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</si>
  <si>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</si>
  <si>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</si>
  <si>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</si>
  <si>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</si>
  <si>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</si>
  <si>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</si>
  <si>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</si>
  <si>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</si>
  <si>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</si>
  <si>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</si>
  <si>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</si>
  <si>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</si>
  <si>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</si>
  <si>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</si>
  <si>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</si>
  <si>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</si>
  <si>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</si>
  <si>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</si>
  <si>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</si>
  <si>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</si>
  <si>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</si>
  <si>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</si>
  <si>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</si>
  <si>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</si>
  <si>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</si>
  <si>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</si>
  <si>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</si>
  <si>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</si>
  <si>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</si>
  <si>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</si>
  <si>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</si>
  <si>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</si>
  <si>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</si>
  <si>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</si>
  <si>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</si>
  <si>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</si>
  <si>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</si>
  <si>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</si>
  <si>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</si>
  <si>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</si>
  <si>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</si>
  <si>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</si>
  <si>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</si>
  <si>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</si>
  <si>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</si>
  <si>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</si>
  <si>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</si>
  <si>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</si>
  <si>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</si>
  <si>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</si>
  <si>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</si>
  <si>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</si>
  <si>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</si>
  <si>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</si>
  <si>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</si>
  <si>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</si>
  <si>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</si>
  <si>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</si>
  <si>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</si>
  <si>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</si>
  <si>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</si>
  <si>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</si>
  <si>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</si>
  <si>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</si>
  <si>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</si>
  <si>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</si>
  <si>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</si>
  <si>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</si>
  <si>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</si>
  <si>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</si>
  <si>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</si>
  <si>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</si>
  <si>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</si>
  <si>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</si>
  <si>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</si>
  <si>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</si>
  <si>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</si>
  <si>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</si>
  <si>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</si>
  <si>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</si>
  <si>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</si>
  <si>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</si>
  <si>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</si>
  <si>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</si>
  <si>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</si>
  <si>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</si>
  <si>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</si>
  <si>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</si>
  <si>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</si>
  <si>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</si>
  <si>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</si>
  <si>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</si>
  <si>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</si>
  <si>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</si>
  <si>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</si>
  <si>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</si>
  <si>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</si>
  <si>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</si>
  <si>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</si>
  <si>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</si>
  <si>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</si>
  <si>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</si>
  <si>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</si>
  <si>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</si>
  <si>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</si>
  <si>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</si>
  <si>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</si>
  <si>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</si>
  <si>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</si>
  <si>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</si>
  <si>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</si>
  <si>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</si>
  <si>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</si>
  <si>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</si>
  <si>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</si>
  <si>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</si>
  <si>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</si>
  <si>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</si>
  <si>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</si>
  <si>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</si>
  <si>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</si>
  <si>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</si>
  <si>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</si>
  <si>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</si>
  <si>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</si>
  <si>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</si>
  <si>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</si>
  <si>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</si>
  <si>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</si>
  <si>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</si>
  <si>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</si>
  <si>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</si>
  <si>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</si>
  <si>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</si>
  <si>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</si>
  <si>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</si>
  <si>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</si>
  <si>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</si>
  <si>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</si>
  <si>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</si>
  <si>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</si>
  <si>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</si>
  <si>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</si>
  <si>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</si>
  <si>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</si>
  <si>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</si>
  <si>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</si>
  <si>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</si>
  <si>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</si>
  <si>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</si>
  <si>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</si>
  <si>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</si>
  <si>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</si>
  <si>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</si>
  <si>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</si>
  <si>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</si>
  <si>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</si>
  <si>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</si>
  <si>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</si>
  <si>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</si>
  <si>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</si>
  <si>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</si>
  <si>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</si>
  <si>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</si>
  <si>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</si>
  <si>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</si>
  <si>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</si>
  <si>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</si>
  <si>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</si>
  <si>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</si>
  <si>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</si>
  <si>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</si>
  <si>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</si>
  <si>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</si>
  <si>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</si>
  <si>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</si>
  <si>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</si>
  <si>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</si>
  <si>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</si>
  <si>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</si>
  <si>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</si>
  <si>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</si>
  <si>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</si>
  <si>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</si>
  <si>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</si>
  <si>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</si>
  <si>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</si>
  <si>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</si>
  <si>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</si>
  <si>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</si>
  <si>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</si>
  <si>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</si>
  <si>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</si>
  <si>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</si>
  <si>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</si>
  <si>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</si>
  <si>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</si>
  <si>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</si>
  <si>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</si>
  <si>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</si>
  <si>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</si>
  <si>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</si>
  <si>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</si>
  <si>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</si>
  <si>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</si>
  <si>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</si>
  <si>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</si>
  <si>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</si>
  <si>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</si>
  <si>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</si>
  <si>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</si>
  <si>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</si>
  <si>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</si>
  <si>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</si>
  <si>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</si>
  <si>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</si>
  <si>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</si>
  <si>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</si>
  <si>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</si>
  <si>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</si>
  <si>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</si>
  <si>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</si>
  <si>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</si>
  <si>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</si>
  <si>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</si>
  <si>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</si>
  <si>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</si>
  <si>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</si>
  <si>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</si>
  <si>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</si>
  <si>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</si>
  <si>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</si>
  <si>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</si>
  <si>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</si>
  <si>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</si>
  <si>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</si>
  <si>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</si>
  <si>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</si>
  <si>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</si>
  <si>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</si>
  <si>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</si>
  <si>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</si>
  <si>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</si>
  <si>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</si>
  <si>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</si>
  <si>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</si>
  <si>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</si>
  <si>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</si>
  <si>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</si>
  <si>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</si>
  <si>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</si>
  <si>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</si>
  <si>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</si>
  <si>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</si>
  <si>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</si>
  <si>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</si>
  <si>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</si>
  <si>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</si>
  <si>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</si>
  <si>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</si>
  <si>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</si>
  <si>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</si>
  <si>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</si>
  <si>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</si>
  <si>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</si>
  <si>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</si>
  <si>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</si>
  <si>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</si>
  <si>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</si>
  <si>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</si>
  <si>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</si>
  <si>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</si>
  <si>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</si>
  <si>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</si>
  <si>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</si>
  <si>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</si>
  <si>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</si>
  <si>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</si>
  <si>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</si>
  <si>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</si>
  <si>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</si>
  <si>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</si>
  <si>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</si>
  <si>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</si>
  <si>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</si>
  <si>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</si>
  <si>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</si>
  <si>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</si>
  <si>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</si>
  <si>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</si>
  <si>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</si>
  <si>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</si>
  <si>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</si>
  <si>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</si>
  <si>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</si>
  <si>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</si>
  <si>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</si>
  <si>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</si>
  <si>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</si>
  <si>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</si>
  <si>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</si>
  <si>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</si>
  <si>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</si>
  <si>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</si>
  <si>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</si>
  <si>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</si>
  <si>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</si>
  <si>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</si>
  <si>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</si>
  <si>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</si>
  <si>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</si>
  <si>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</si>
  <si>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</si>
  <si>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</si>
  <si>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</si>
  <si>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</si>
  <si>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</si>
  <si>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</si>
  <si>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</si>
  <si>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</si>
  <si>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</si>
  <si>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</si>
  <si>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</si>
  <si>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</si>
  <si>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</si>
  <si>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</si>
  <si>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</si>
  <si>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</si>
  <si>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</si>
  <si>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</si>
  <si>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</si>
  <si>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</si>
  <si>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</si>
  <si>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</si>
  <si>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</si>
  <si>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</si>
  <si>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</si>
  <si>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</si>
  <si>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</si>
  <si>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</si>
  <si>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</si>
  <si>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</si>
  <si>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</si>
  <si>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</si>
  <si>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</si>
  <si>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</si>
  <si>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</si>
  <si>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</si>
  <si>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</si>
  <si>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</si>
  <si>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</si>
  <si>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</si>
  <si>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</si>
  <si>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</si>
  <si>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</si>
  <si>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</si>
  <si>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</si>
  <si>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</si>
  <si>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</si>
  <si>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</si>
  <si>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</si>
  <si>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</si>
  <si>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</si>
  <si>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</si>
  <si>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</si>
  <si>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</si>
  <si>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</si>
  <si>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</si>
  <si>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</si>
  <si>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</si>
  <si>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</si>
  <si>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</si>
  <si>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</si>
  <si>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</si>
  <si>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</si>
  <si>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</si>
  <si>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</si>
  <si>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</si>
  <si>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</si>
  <si>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</si>
  <si>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</si>
  <si>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</si>
  <si>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</si>
  <si>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</si>
  <si>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</si>
  <si>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</si>
  <si>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</si>
  <si>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</si>
  <si>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</si>
  <si>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</si>
  <si>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</si>
  <si>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</si>
  <si>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</si>
  <si>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</si>
  <si>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</si>
  <si>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</si>
  <si>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</si>
  <si>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</si>
  <si>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</si>
  <si>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</si>
  <si>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</si>
  <si>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</si>
  <si>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</si>
  <si>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</si>
  <si>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</si>
  <si>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</si>
  <si>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</si>
  <si>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</si>
  <si>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</si>
  <si>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</si>
  <si>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</si>
  <si>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</si>
  <si>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</si>
  <si>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</si>
  <si>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</si>
  <si>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</si>
  <si>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</si>
  <si>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</si>
  <si>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</si>
  <si>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</si>
  <si>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</si>
  <si>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</si>
  <si>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</si>
  <si>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</si>
  <si>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</si>
  <si>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</si>
  <si>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</si>
  <si>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</si>
  <si>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</si>
  <si>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</si>
  <si>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</si>
  <si>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</si>
  <si>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</si>
  <si>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</si>
  <si>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</si>
  <si>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</si>
  <si>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</si>
  <si>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</si>
  <si>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</si>
  <si>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</si>
  <si>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</si>
  <si>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</si>
  <si>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</si>
  <si>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</si>
  <si>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</si>
  <si>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</si>
  <si>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</si>
  <si>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</si>
  <si>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</si>
  <si>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</si>
  <si>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</si>
  <si>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</si>
  <si>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</si>
  <si>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</si>
  <si>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</si>
  <si>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</si>
  <si>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</si>
  <si>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</si>
  <si>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</si>
  <si>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</si>
  <si>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</si>
  <si>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</si>
  <si>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</si>
  <si>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</si>
  <si>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</si>
  <si>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</si>
  <si>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</si>
  <si>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</si>
  <si>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</si>
  <si>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</si>
  <si>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</si>
  <si>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</si>
  <si>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</si>
  <si>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</si>
  <si>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</si>
  <si>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</si>
  <si>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</si>
  <si>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</si>
  <si>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</si>
  <si>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</si>
  <si>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</si>
  <si>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</si>
  <si>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</si>
  <si>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</si>
  <si>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</si>
  <si>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</si>
  <si>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</si>
  <si>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</si>
  <si>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</si>
  <si>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</si>
  <si>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</si>
  <si>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</si>
  <si>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</si>
  <si>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</si>
  <si>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</si>
  <si>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</si>
  <si>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</si>
  <si>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</si>
  <si>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</si>
  <si>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</si>
  <si>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</si>
  <si>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</si>
  <si>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</si>
  <si>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</si>
  <si>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</si>
  <si>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</si>
  <si>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</si>
  <si>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</si>
  <si>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</si>
  <si>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</si>
  <si>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</si>
  <si>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</si>
  <si>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</si>
  <si>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</si>
  <si>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</si>
  <si>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</si>
  <si>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</si>
  <si>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</si>
  <si>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</si>
  <si>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</si>
  <si>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</si>
  <si>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</si>
  <si>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</si>
  <si>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</si>
  <si>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</si>
  <si>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</si>
  <si>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</si>
  <si>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</si>
  <si>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</si>
  <si>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</si>
  <si>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</si>
  <si>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</si>
  <si>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</si>
  <si>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</si>
  <si>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</si>
  <si>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</si>
  <si>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</si>
  <si>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</si>
  <si>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</si>
  <si>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</si>
  <si>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</si>
  <si>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</si>
  <si>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</si>
  <si>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</si>
  <si>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</si>
  <si>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</si>
  <si>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</si>
  <si>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</si>
  <si>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</si>
  <si>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</si>
  <si>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</si>
  <si>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</si>
  <si>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</si>
  <si>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</si>
  <si>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</si>
  <si>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</si>
  <si>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</si>
  <si>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</si>
  <si>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</si>
  <si>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</si>
  <si>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</si>
  <si>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</si>
  <si>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</si>
  <si>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</si>
  <si>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</si>
  <si>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</si>
  <si>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</si>
  <si>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</si>
  <si>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</si>
  <si>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</si>
  <si>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</si>
  <si>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</si>
  <si>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</si>
  <si>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</si>
  <si>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</si>
  <si>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</si>
  <si>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</si>
  <si>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</si>
  <si>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</si>
  <si>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</si>
  <si>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</si>
  <si>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</si>
  <si>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</si>
  <si>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</si>
  <si>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</si>
  <si>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</si>
  <si>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</si>
  <si>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</si>
  <si>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</si>
  <si>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</si>
  <si>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</si>
  <si>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</si>
  <si>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</si>
  <si>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</si>
  <si>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</si>
  <si>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</si>
  <si>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</si>
  <si>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</si>
  <si>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</si>
  <si>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</si>
  <si>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</si>
  <si>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</si>
  <si>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</si>
  <si>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</si>
  <si>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</si>
  <si>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</si>
  <si>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</si>
  <si>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</si>
  <si>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</si>
  <si>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</si>
  <si>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</si>
  <si>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</si>
  <si>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</si>
  <si>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</si>
  <si>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</si>
  <si>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</si>
  <si>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</si>
  <si>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</si>
  <si>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</si>
  <si>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</si>
  <si>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</si>
  <si>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</si>
  <si>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</si>
  <si>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</si>
  <si>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</si>
  <si>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</si>
  <si>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</si>
  <si>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</si>
  <si>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</si>
  <si>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</si>
  <si>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</si>
  <si>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</si>
  <si>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</si>
  <si>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</si>
  <si>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</si>
  <si>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</si>
  <si>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</si>
  <si>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</si>
  <si>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</si>
  <si>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</si>
  <si>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</si>
  <si>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</si>
  <si>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</si>
  <si>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</si>
  <si>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</si>
  <si>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</si>
  <si>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</si>
  <si>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</si>
  <si>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</si>
  <si>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</si>
  <si>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</si>
  <si>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</si>
  <si>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</si>
  <si>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</si>
  <si>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</si>
  <si>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</si>
  <si>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</si>
  <si>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</si>
  <si>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</si>
  <si>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</si>
  <si>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</si>
  <si>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</si>
  <si>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</si>
  <si>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</si>
  <si>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</si>
  <si>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</si>
  <si>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</si>
  <si>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</si>
  <si>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</si>
  <si>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</si>
  <si>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</si>
  <si>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</si>
  <si>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</si>
  <si>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</si>
  <si>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</si>
  <si>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</si>
  <si>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</si>
  <si>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</si>
  <si>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</si>
  <si>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</si>
  <si>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</si>
  <si>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</si>
  <si>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</si>
  <si>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</si>
  <si>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</si>
  <si>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</si>
  <si>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</si>
  <si>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</si>
  <si>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</si>
  <si>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</si>
  <si>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</si>
  <si>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</si>
  <si>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</si>
  <si>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</si>
  <si>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</si>
  <si>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</si>
  <si>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</si>
  <si>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</si>
  <si>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</si>
  <si>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</si>
  <si>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</si>
  <si>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</si>
  <si>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</si>
  <si>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</si>
  <si>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</si>
  <si>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</si>
  <si>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</si>
  <si>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</si>
  <si>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</si>
  <si>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</si>
  <si>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</si>
  <si>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</si>
  <si>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</si>
  <si>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</si>
  <si>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</si>
  <si>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</si>
  <si>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</si>
  <si>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</si>
  <si>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</si>
  <si>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</si>
  <si>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</si>
  <si>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</si>
  <si>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</si>
  <si>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</si>
  <si>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</si>
  <si>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</si>
  <si>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</si>
  <si>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</si>
  <si>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</si>
  <si>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</si>
  <si>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</si>
  <si>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</si>
  <si>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</si>
  <si>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</si>
  <si>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</si>
  <si>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</si>
  <si>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</si>
  <si>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</si>
  <si>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</si>
  <si>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</si>
  <si>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</si>
  <si>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</si>
  <si>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</si>
  <si>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</si>
  <si>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</si>
  <si>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</si>
  <si>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</si>
  <si>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</si>
  <si>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</si>
  <si>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</si>
  <si>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</si>
  <si>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</si>
  <si>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</si>
  <si>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</si>
  <si>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</si>
  <si>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</si>
  <si>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</si>
  <si>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</si>
  <si>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</si>
  <si>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</si>
  <si>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</si>
  <si>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</si>
  <si>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</si>
  <si>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</si>
  <si>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</si>
  <si>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</si>
  <si>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</si>
  <si>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</si>
  <si>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</si>
  <si>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</si>
  <si>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</si>
  <si>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</si>
  <si>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</si>
  <si>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</si>
  <si>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</si>
  <si>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</si>
  <si>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</si>
  <si>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</si>
  <si>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</si>
  <si>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</si>
  <si>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</si>
  <si>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</si>
  <si>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</si>
  <si>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</si>
  <si>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</si>
  <si>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</si>
  <si>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</si>
  <si>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</si>
  <si>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</si>
  <si>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</si>
  <si>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</si>
  <si>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</si>
  <si>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</si>
  <si>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</si>
  <si>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</si>
  <si>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</si>
  <si>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</si>
  <si>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</si>
  <si>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</si>
  <si>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</si>
  <si>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</si>
  <si>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</si>
  <si>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</si>
  <si>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</si>
  <si>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</si>
  <si>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</si>
  <si>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</si>
  <si>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</si>
  <si>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</si>
  <si>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</si>
  <si>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</si>
  <si>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</si>
  <si>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</si>
  <si>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</si>
  <si>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</si>
  <si>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</si>
  <si>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</si>
  <si>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</si>
  <si>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</si>
  <si>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</si>
  <si>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</si>
  <si>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</si>
  <si>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</si>
  <si>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</si>
  <si>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</si>
  <si>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</si>
  <si>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</si>
  <si>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</si>
  <si>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</si>
  <si>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</si>
  <si>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</si>
  <si>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</si>
  <si>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</si>
  <si>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</si>
  <si>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</si>
  <si>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</si>
  <si>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</si>
  <si>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</si>
  <si>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</si>
  <si>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</si>
  <si>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</si>
  <si>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</si>
  <si>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</si>
  <si>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</si>
  <si>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</si>
  <si>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</si>
  <si>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</si>
  <si>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</si>
  <si>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</si>
  <si>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</si>
  <si>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</si>
  <si>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</si>
  <si>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</si>
  <si>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</si>
  <si>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</si>
  <si>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</si>
  <si>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</si>
  <si>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</si>
  <si>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</si>
  <si>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</si>
  <si>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</si>
  <si>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</si>
  <si>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</si>
  <si>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</si>
  <si>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</si>
  <si>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</si>
  <si>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</si>
  <si>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</si>
  <si>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</si>
  <si>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</si>
  <si>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</si>
  <si>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</si>
  <si>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</si>
  <si>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</si>
  <si>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</si>
  <si>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</si>
  <si>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</si>
  <si>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</si>
  <si>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</si>
  <si>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</si>
  <si>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</si>
  <si>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</si>
  <si>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</si>
  <si>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</si>
  <si>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</si>
  <si>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</si>
  <si>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</si>
  <si>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</si>
  <si>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</si>
  <si>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</si>
  <si>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</si>
  <si>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</si>
  <si>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</si>
  <si>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</si>
  <si>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</si>
  <si>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</si>
  <si>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</si>
  <si>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</si>
  <si>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</si>
  <si>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</si>
  <si>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</si>
  <si>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</si>
  <si>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</si>
  <si>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</si>
  <si>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</si>
  <si>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</si>
  <si>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</si>
  <si>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</si>
  <si>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</si>
  <si>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</si>
  <si>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</si>
  <si>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</si>
  <si>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</si>
  <si>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</si>
  <si>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</si>
  <si>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</si>
  <si>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</si>
  <si>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</si>
  <si>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</si>
  <si>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</si>
  <si>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</si>
  <si>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</si>
  <si>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</si>
  <si>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</si>
  <si>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</si>
  <si>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</si>
  <si>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</si>
  <si>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</si>
  <si>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</si>
  <si>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</si>
  <si>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</si>
  <si>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</si>
  <si>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</si>
  <si>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</si>
  <si>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</si>
  <si>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</si>
  <si>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</si>
  <si>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</si>
  <si>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</si>
  <si>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</si>
  <si>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</si>
  <si>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</si>
  <si>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</si>
  <si>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</si>
  <si>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</si>
  <si>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</si>
  <si>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</si>
  <si>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</si>
  <si>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</si>
  <si>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</si>
  <si>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</si>
  <si>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</si>
  <si>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</si>
  <si>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</si>
  <si>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</si>
  <si>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</si>
  <si>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</si>
  <si>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</si>
  <si>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</si>
  <si>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</si>
  <si>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</si>
  <si>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</si>
  <si>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</si>
  <si>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</si>
  <si>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</si>
  <si>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</si>
  <si>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</si>
  <si>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</si>
  <si>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</si>
  <si>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</si>
  <si>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</si>
  <si>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</si>
  <si>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</si>
  <si>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</si>
  <si>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</si>
  <si>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</si>
  <si>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</si>
  <si>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</si>
  <si>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</si>
  <si>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</si>
  <si>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</si>
  <si>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</si>
  <si>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</si>
  <si>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</si>
  <si>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</si>
  <si>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</si>
  <si>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</si>
  <si>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</si>
  <si>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</si>
  <si>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</si>
  <si>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</si>
  <si>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</si>
  <si>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</si>
  <si>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</si>
  <si>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</si>
  <si>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</si>
  <si>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</si>
  <si>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</si>
  <si>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</si>
  <si>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</si>
  <si>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</si>
  <si>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</si>
  <si>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</si>
  <si>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</si>
  <si>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</si>
  <si>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</si>
  <si>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</si>
  <si>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</si>
  <si>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</si>
  <si>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</si>
  <si>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</si>
  <si>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</si>
  <si>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</si>
  <si>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</si>
  <si>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</si>
  <si>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</si>
  <si>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</si>
  <si>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</si>
  <si>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</si>
  <si>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</si>
  <si>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</si>
  <si>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</si>
  <si>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</si>
  <si>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</si>
  <si>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</si>
  <si>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</si>
  <si>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</si>
  <si>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</si>
  <si>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</si>
  <si>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</si>
  <si>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</si>
  <si>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</si>
  <si>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</si>
  <si>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</si>
  <si>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</si>
  <si>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</si>
  <si>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</si>
  <si>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</si>
  <si>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</si>
  <si>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</si>
  <si>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</si>
  <si>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</si>
  <si>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</si>
  <si>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</si>
  <si>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</si>
  <si>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</si>
  <si>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</si>
  <si>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</si>
  <si>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</si>
  <si>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</si>
  <si>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</si>
  <si>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</si>
  <si>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</si>
  <si>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</si>
  <si>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</si>
  <si>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</si>
  <si>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</si>
  <si>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</si>
  <si>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</si>
  <si>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</si>
  <si>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</si>
  <si>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</si>
  <si>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</si>
  <si>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</si>
  <si>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</si>
  <si>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</si>
  <si>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</si>
  <si>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</si>
  <si>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</si>
  <si>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</si>
  <si>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</si>
  <si>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</si>
  <si>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</si>
  <si>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</si>
  <si>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</si>
  <si>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</si>
  <si>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</si>
  <si>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</si>
  <si>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</si>
  <si>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</si>
  <si>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</si>
  <si>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</si>
  <si>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</si>
  <si>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</si>
  <si>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</si>
  <si>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</si>
  <si>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</si>
  <si>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</si>
  <si>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</si>
  <si>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</si>
  <si>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</si>
  <si>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</si>
  <si>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</si>
  <si>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</si>
  <si>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</si>
  <si>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</si>
  <si>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</si>
  <si>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</si>
  <si>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</si>
  <si>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</si>
  <si>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</si>
  <si>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</si>
  <si>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</si>
  <si>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</si>
  <si>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</si>
  <si>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</si>
  <si>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</si>
  <si>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</si>
  <si>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</si>
  <si>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</si>
  <si>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</si>
  <si>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</si>
  <si>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</si>
  <si>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</si>
  <si>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</si>
  <si>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</si>
  <si>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</si>
  <si>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</si>
  <si>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</si>
  <si>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</si>
  <si>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</si>
  <si>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</si>
  <si>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</si>
  <si>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</si>
  <si>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</si>
  <si>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</si>
  <si>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</si>
  <si>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</si>
  <si>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</si>
  <si>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</si>
  <si>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</si>
  <si>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</si>
  <si>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</si>
  <si>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</si>
  <si>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</si>
  <si>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</si>
  <si>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</si>
  <si>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</si>
  <si>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</si>
  <si>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</si>
  <si>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</si>
  <si>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</si>
  <si>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</si>
  <si>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</si>
  <si>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</si>
  <si>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</si>
  <si>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</si>
  <si>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</si>
  <si>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</si>
  <si>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</si>
  <si>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</si>
  <si>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</si>
  <si>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</si>
  <si>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</si>
  <si>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</si>
  <si>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</si>
  <si>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</si>
  <si>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</si>
  <si>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</si>
  <si>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</si>
  <si>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</si>
  <si>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</si>
  <si>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</si>
  <si>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</si>
  <si>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</si>
  <si>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</si>
  <si>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</si>
  <si>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</si>
  <si>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</si>
  <si>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</si>
  <si>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</si>
  <si>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</si>
  <si>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</si>
  <si>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</si>
  <si>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</si>
  <si>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</si>
  <si>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</si>
  <si>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</si>
  <si>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</si>
  <si>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</si>
  <si>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</si>
  <si>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</si>
  <si>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</si>
  <si>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</si>
  <si>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</si>
  <si>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</si>
  <si>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</si>
  <si>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</si>
  <si>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</si>
  <si>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</si>
  <si>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</si>
  <si>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</si>
  <si>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</si>
  <si>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</si>
  <si>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</si>
  <si>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</si>
  <si>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</si>
  <si>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</si>
  <si>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</si>
  <si>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</si>
  <si>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</si>
  <si>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</si>
  <si>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</si>
  <si>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</si>
  <si>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</si>
  <si>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</si>
  <si>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</si>
  <si>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</si>
  <si>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</si>
  <si>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</si>
  <si>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</si>
  <si>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</si>
  <si>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</si>
  <si>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</si>
  <si>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</si>
  <si>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</si>
  <si>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</si>
  <si>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</si>
  <si>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</si>
  <si>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</si>
  <si>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</si>
  <si>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</si>
  <si>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</si>
  <si>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</si>
  <si>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</si>
  <si>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</si>
  <si>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</si>
  <si>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</si>
  <si>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</si>
  <si>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</si>
  <si>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</si>
  <si>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</si>
  <si>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</si>
  <si>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</si>
  <si>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</si>
  <si>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</si>
  <si>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</si>
  <si>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</si>
  <si>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</si>
  <si>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</si>
  <si>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</si>
  <si>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</si>
  <si>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</si>
  <si>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</si>
  <si>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</si>
  <si>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</si>
  <si>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</si>
  <si>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</si>
  <si>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</si>
  <si>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</si>
  <si>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</si>
  <si>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</si>
  <si>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</si>
  <si>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</si>
  <si>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</si>
  <si>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</si>
  <si>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</si>
  <si>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</si>
  <si>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</si>
  <si>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</si>
  <si>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</si>
  <si>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</si>
  <si>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</si>
  <si>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</si>
  <si>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</si>
  <si>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</si>
  <si>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</si>
  <si>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</si>
  <si>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</si>
  <si>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</si>
  <si>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</si>
  <si>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</si>
  <si>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</si>
  <si>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</si>
  <si>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</si>
  <si>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</si>
  <si>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</si>
  <si>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</si>
  <si>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</si>
  <si>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</si>
  <si>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</si>
  <si>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</si>
  <si>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</si>
  <si>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</si>
  <si>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</si>
  <si>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</si>
  <si>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</si>
  <si>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</si>
  <si>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</si>
  <si>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</si>
  <si>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</si>
  <si>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</si>
  <si>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</si>
  <si>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</si>
  <si>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</si>
  <si>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</si>
  <si>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</si>
  <si>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</si>
  <si>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</si>
  <si>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</si>
  <si>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</si>
  <si>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</si>
  <si>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</si>
  <si>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</si>
  <si>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</si>
  <si>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</si>
  <si>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</si>
  <si>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</si>
  <si>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</si>
  <si>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</si>
  <si>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</si>
  <si>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</si>
  <si>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</si>
  <si>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</si>
  <si>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</si>
  <si>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</si>
  <si>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</si>
  <si>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</si>
  <si>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</si>
  <si>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</si>
  <si>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</si>
  <si>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</si>
  <si>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</si>
  <si>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</si>
  <si>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</si>
  <si>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</si>
  <si>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</si>
  <si>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</si>
  <si>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</si>
  <si>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</si>
  <si>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</si>
  <si>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</si>
  <si>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</si>
  <si>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</si>
  <si>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</si>
  <si>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</si>
  <si>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</si>
  <si>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</si>
  <si>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</si>
  <si>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</si>
  <si>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</si>
  <si>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</si>
  <si>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</si>
  <si>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</si>
  <si>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</si>
  <si>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</si>
  <si>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</si>
  <si>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</si>
  <si>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</si>
  <si>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</si>
  <si>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</si>
  <si>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</si>
  <si>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</si>
  <si>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</si>
  <si>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</si>
  <si>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</si>
  <si>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</si>
  <si>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</si>
  <si>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</si>
  <si>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</si>
  <si>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</si>
  <si>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</si>
  <si>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</si>
  <si>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</si>
  <si>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</si>
  <si>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</si>
  <si>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</si>
  <si>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</si>
  <si>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</si>
  <si>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</si>
  <si>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</si>
  <si>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</si>
  <si>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</si>
  <si>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</si>
  <si>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</si>
  <si>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</si>
  <si>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</si>
  <si>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</si>
  <si>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</si>
  <si>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</si>
  <si>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</si>
  <si>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</si>
  <si>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</si>
  <si>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</si>
  <si>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</si>
  <si>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</si>
  <si>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</si>
  <si>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</si>
  <si>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</si>
  <si>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</si>
  <si>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</si>
  <si>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</si>
  <si>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</si>
  <si>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</si>
  <si>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</si>
  <si>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</si>
  <si>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</si>
  <si>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</si>
  <si>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</si>
  <si>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</si>
  <si>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</si>
  <si>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</si>
  <si>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</si>
  <si>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</si>
  <si>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</si>
  <si>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</si>
  <si>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</si>
  <si>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</si>
  <si>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</si>
  <si>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</si>
  <si>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</si>
  <si>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</si>
  <si>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</si>
  <si>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</si>
  <si>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</si>
  <si>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</si>
  <si>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</si>
  <si>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</si>
  <si>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</si>
  <si>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</si>
  <si>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</si>
  <si>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</si>
  <si>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</si>
  <si>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</si>
  <si>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</si>
  <si>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</si>
  <si>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</si>
  <si>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</si>
  <si>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</si>
  <si>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</si>
  <si>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</si>
  <si>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</si>
  <si>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</si>
  <si>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</si>
  <si>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</si>
  <si>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</si>
  <si>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</si>
  <si>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</si>
  <si>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</si>
  <si>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</si>
  <si>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</si>
  <si>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</si>
  <si>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</si>
  <si>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</si>
  <si>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</si>
  <si>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</si>
  <si>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</si>
  <si>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</si>
  <si>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</si>
  <si>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</si>
  <si>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</si>
  <si>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</si>
  <si>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</si>
  <si>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</si>
  <si>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</si>
  <si>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</si>
  <si>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</si>
  <si>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</si>
  <si>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</si>
  <si>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</si>
  <si>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</si>
  <si>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</si>
  <si>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</si>
  <si>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</si>
  <si>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</si>
  <si>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</si>
  <si>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</si>
  <si>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</si>
  <si>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</si>
  <si>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</si>
  <si>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</si>
  <si>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</si>
  <si>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</si>
  <si>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</si>
  <si>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</si>
  <si>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</si>
  <si>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</si>
  <si>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</si>
  <si>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</si>
  <si>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</si>
  <si>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</si>
  <si>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</si>
  <si>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</si>
  <si>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</si>
  <si>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</si>
  <si>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</si>
  <si>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</si>
  <si>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</si>
  <si>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</si>
  <si>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</si>
  <si>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</si>
  <si>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</si>
  <si>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</si>
  <si>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</si>
  <si>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</si>
  <si>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</si>
  <si>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</si>
  <si>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</si>
  <si>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</si>
  <si>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</si>
  <si>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</si>
  <si>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</si>
  <si>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</si>
  <si>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</si>
  <si>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</si>
  <si>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</si>
  <si>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</si>
  <si>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</si>
  <si>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</si>
  <si>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</si>
  <si>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</si>
  <si>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</si>
  <si>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</si>
  <si>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</si>
  <si>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</si>
  <si>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</si>
  <si>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</si>
  <si>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</si>
  <si>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</si>
  <si>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</si>
  <si>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</si>
  <si>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</si>
  <si>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</si>
  <si>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</si>
  <si>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</si>
  <si>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</si>
  <si>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</si>
  <si>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</si>
  <si>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</si>
  <si>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</si>
  <si>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</si>
  <si>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</si>
  <si>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</si>
  <si>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</si>
  <si>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</si>
  <si>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</si>
  <si>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</si>
  <si>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</si>
  <si>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</si>
  <si>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</si>
  <si>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</si>
  <si>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</si>
  <si>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</si>
  <si>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</si>
  <si>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</si>
  <si>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</si>
  <si>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</si>
  <si>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</si>
  <si>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</si>
  <si>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</si>
  <si>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</si>
  <si>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</si>
  <si>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</si>
  <si>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</si>
  <si>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</si>
  <si>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</si>
  <si>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</si>
  <si>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</si>
  <si>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</si>
  <si>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</si>
  <si>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</si>
  <si>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</si>
  <si>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</si>
  <si>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</si>
  <si>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</si>
  <si>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</si>
  <si>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</si>
  <si>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</si>
  <si>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</si>
  <si>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</si>
  <si>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</si>
  <si>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</si>
  <si>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</si>
  <si>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</si>
  <si>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</si>
  <si>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</si>
  <si>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</si>
  <si>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</si>
  <si>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</si>
  <si>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</si>
  <si>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</si>
  <si>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</si>
  <si>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</si>
  <si>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</si>
  <si>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</si>
  <si>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</si>
  <si>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</si>
  <si>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</si>
  <si>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</si>
  <si>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</si>
  <si>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</si>
  <si>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</si>
  <si>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</si>
  <si>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</si>
  <si>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</si>
  <si>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</si>
  <si>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</si>
  <si>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</si>
  <si>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</si>
  <si>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</si>
  <si>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</si>
  <si>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</si>
  <si>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</si>
  <si>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</si>
  <si>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</si>
  <si>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</si>
  <si>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</si>
  <si>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</si>
  <si>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</si>
  <si>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</si>
  <si>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</si>
  <si>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</si>
  <si>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</si>
  <si>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</si>
  <si>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</si>
  <si>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</si>
  <si>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</si>
  <si>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</si>
  <si>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</si>
  <si>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</si>
  <si>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</si>
  <si>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</si>
  <si>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</si>
  <si>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</si>
  <si>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</si>
  <si>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</si>
  <si>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</si>
  <si>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</si>
  <si>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</si>
  <si>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</si>
  <si>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</si>
  <si>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</si>
  <si>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</si>
  <si>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</si>
  <si>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</si>
  <si>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</si>
  <si>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</si>
  <si>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</si>
  <si>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</si>
  <si>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</si>
  <si>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</si>
  <si>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</si>
  <si>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</si>
  <si>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</si>
  <si>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</si>
  <si>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</si>
  <si>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</si>
  <si>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</si>
  <si>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</si>
  <si>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</si>
  <si>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</si>
  <si>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</si>
  <si>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</si>
  <si>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</si>
  <si>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</si>
  <si>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</si>
  <si>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</si>
  <si>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</si>
  <si>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</si>
  <si>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</si>
  <si>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</si>
  <si>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</si>
  <si>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</si>
  <si>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</si>
  <si>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</si>
  <si>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</si>
  <si>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</si>
  <si>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</si>
  <si>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</si>
  <si>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</si>
  <si>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</si>
  <si>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</si>
  <si>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</si>
  <si>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</si>
  <si>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</si>
  <si>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</si>
  <si>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</si>
  <si>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</si>
  <si>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</si>
  <si>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</si>
  <si>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</si>
  <si>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</si>
  <si>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</si>
  <si>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</si>
  <si>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</si>
  <si>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</si>
  <si>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</si>
  <si>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</si>
  <si>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</si>
  <si>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</si>
  <si>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</si>
  <si>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</si>
  <si>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</si>
  <si>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</si>
  <si>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</si>
  <si>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</si>
  <si>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</si>
  <si>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</si>
  <si>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</si>
  <si>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</si>
  <si>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</si>
  <si>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</si>
  <si>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</si>
  <si>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</si>
  <si>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</si>
  <si>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</si>
  <si>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</si>
  <si>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</si>
  <si>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</si>
  <si>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</si>
  <si>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</si>
  <si>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</si>
  <si>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</si>
  <si>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</si>
  <si>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</si>
  <si>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</si>
  <si>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</si>
  <si>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</si>
  <si>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</si>
  <si>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</si>
  <si>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</si>
  <si>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</si>
  <si>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</si>
  <si>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</si>
  <si>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</si>
  <si>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</si>
  <si>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</si>
  <si>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</si>
  <si>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</si>
  <si>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</si>
  <si>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</si>
  <si>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</si>
  <si>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</si>
  <si>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</si>
  <si>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</si>
  <si>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</si>
  <si>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</si>
  <si>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</si>
  <si>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</si>
  <si>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</si>
  <si>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</si>
  <si>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</si>
  <si>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</si>
  <si>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</si>
  <si>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</si>
  <si>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</si>
  <si>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</si>
  <si>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</si>
  <si>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</si>
  <si>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</si>
  <si>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</si>
  <si>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</si>
  <si>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</si>
  <si>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</si>
  <si>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</si>
  <si>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</si>
  <si>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</si>
  <si>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</si>
  <si>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</si>
  <si>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</si>
  <si>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</si>
  <si>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</si>
  <si>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</si>
  <si>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</si>
  <si>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</si>
  <si>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</si>
  <si>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</si>
  <si>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</si>
  <si>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</si>
  <si>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</si>
  <si>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</si>
  <si>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</si>
  <si>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</si>
  <si>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</si>
  <si>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</si>
  <si>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</si>
  <si>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</si>
  <si>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</si>
  <si>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</si>
  <si>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</si>
  <si>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</si>
  <si>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</si>
  <si>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</si>
  <si>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</si>
  <si>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</si>
  <si>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</si>
  <si>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</si>
  <si>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</si>
  <si>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</si>
  <si>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</si>
  <si>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</si>
  <si>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</si>
  <si>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</si>
  <si>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</si>
  <si>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</si>
  <si>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</si>
  <si>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</si>
  <si>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</si>
  <si>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</si>
  <si>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</si>
  <si>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</si>
  <si>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</si>
  <si>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</si>
  <si>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</si>
  <si>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</si>
  <si>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</si>
  <si>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</si>
  <si>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</si>
  <si>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</si>
  <si>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</si>
  <si>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</si>
  <si>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</si>
  <si>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</si>
  <si>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</si>
  <si>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</si>
  <si>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</si>
  <si>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</si>
  <si>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</si>
  <si>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</si>
  <si>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</si>
  <si>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</si>
  <si>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</si>
  <si>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</si>
  <si>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</si>
  <si>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</si>
  <si>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</si>
  <si>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</si>
  <si>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</si>
  <si>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</si>
  <si>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</si>
  <si>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</si>
  <si>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</si>
  <si>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</si>
  <si>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</si>
  <si>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</si>
  <si>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</si>
  <si>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</si>
  <si>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</si>
  <si>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</si>
  <si>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</si>
  <si>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</si>
  <si>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</si>
  <si>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</si>
  <si>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</si>
  <si>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</si>
  <si>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</si>
  <si>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</si>
  <si>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</si>
  <si>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</si>
  <si>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</si>
  <si>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</si>
  <si>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</si>
  <si>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</si>
  <si>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</si>
  <si>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</si>
  <si>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</si>
  <si>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</si>
  <si>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</si>
  <si>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</si>
  <si>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</si>
  <si>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</si>
  <si>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</si>
  <si>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</si>
  <si>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</si>
  <si>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</si>
  <si>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</si>
  <si>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</si>
  <si>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</si>
  <si>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</si>
  <si>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</si>
  <si>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</si>
  <si>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</si>
  <si>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</si>
  <si>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</si>
  <si>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</si>
  <si>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</si>
  <si>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</si>
  <si>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</si>
  <si>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</si>
  <si>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</si>
  <si>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</si>
  <si>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</si>
  <si>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</si>
  <si>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</si>
  <si>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</si>
  <si>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</si>
  <si>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</si>
  <si>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</si>
  <si>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</si>
  <si>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</si>
  <si>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</si>
  <si>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</si>
  <si>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</si>
  <si>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</si>
  <si>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</si>
  <si>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</si>
  <si>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</si>
  <si>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</si>
  <si>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</si>
  <si>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</si>
  <si>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</si>
  <si>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</si>
  <si>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</si>
  <si>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</si>
  <si>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</si>
  <si>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</si>
  <si>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</si>
  <si>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</si>
  <si>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</si>
  <si>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</si>
  <si>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</si>
  <si>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</si>
  <si>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</si>
  <si>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</si>
  <si>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</si>
  <si>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</si>
  <si>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</si>
  <si>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</si>
  <si>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</si>
  <si>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</si>
  <si>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</si>
  <si>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</si>
  <si>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</si>
  <si>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</si>
  <si>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</si>
  <si>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</si>
  <si>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</si>
  <si>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</si>
  <si>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</si>
  <si>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</si>
  <si>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</si>
  <si>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</si>
  <si>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</si>
  <si>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</si>
  <si>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</si>
  <si>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</si>
  <si>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</si>
  <si>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</si>
  <si>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</si>
  <si>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</si>
  <si>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</si>
  <si>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</si>
  <si>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</si>
  <si>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</si>
  <si>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</si>
  <si>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</si>
  <si>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</si>
  <si>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</si>
  <si>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</si>
  <si>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</si>
  <si>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</si>
  <si>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</si>
  <si>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</si>
  <si>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</si>
  <si>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</si>
  <si>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</si>
  <si>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</si>
  <si>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</si>
  <si>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</si>
  <si>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</si>
  <si>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</si>
  <si>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</si>
  <si>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</si>
  <si>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</si>
  <si>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</si>
  <si>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</si>
  <si>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</si>
  <si>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</si>
  <si>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</si>
  <si>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</si>
  <si>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</si>
  <si>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</si>
  <si>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</si>
  <si>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</si>
  <si>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</si>
  <si>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</si>
  <si>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</si>
  <si>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</si>
  <si>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</si>
  <si>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</si>
  <si>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</si>
  <si>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</si>
  <si>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</si>
  <si>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</si>
  <si>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</si>
  <si>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</si>
  <si>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</si>
  <si>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</si>
  <si>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</si>
  <si>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</si>
  <si>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</si>
  <si>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</si>
  <si>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</si>
  <si>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</si>
  <si>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</si>
  <si>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</si>
  <si>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</si>
  <si>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</si>
  <si>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</si>
  <si>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</si>
  <si>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</si>
  <si>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</si>
  <si>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</si>
  <si>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</si>
  <si>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</si>
  <si>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</si>
  <si>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</si>
  <si>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</si>
  <si>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</si>
  <si>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</si>
  <si>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</si>
  <si>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</si>
  <si>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</si>
  <si>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</si>
  <si>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</si>
  <si>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</si>
  <si>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</si>
  <si>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</si>
  <si>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</si>
  <si>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</si>
  <si>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</si>
  <si>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</si>
  <si>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</si>
  <si>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</si>
  <si>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</si>
  <si>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</si>
  <si>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</si>
  <si>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</si>
  <si>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</si>
  <si>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</si>
  <si>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</si>
  <si>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</si>
  <si>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</si>
  <si>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</si>
  <si>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</si>
  <si>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</si>
  <si>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</si>
  <si>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</si>
  <si>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</si>
  <si>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</si>
  <si>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</si>
  <si>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</si>
  <si>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</si>
  <si>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</si>
  <si>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</si>
  <si>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</si>
  <si>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</si>
  <si>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</si>
  <si>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</si>
  <si>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</si>
  <si>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</si>
  <si>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</si>
  <si>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</si>
  <si>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</si>
  <si>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</si>
  <si>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</si>
  <si>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</si>
  <si>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</si>
  <si>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</si>
  <si>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</si>
  <si>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</si>
  <si>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</si>
  <si>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</si>
  <si>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</si>
  <si>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</si>
  <si>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</si>
  <si>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</si>
  <si>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</si>
  <si>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</si>
  <si>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</si>
  <si>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</si>
  <si>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</si>
  <si>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</si>
  <si>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</si>
  <si>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</si>
  <si>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</si>
  <si>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</si>
  <si>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</si>
  <si>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</si>
  <si>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</si>
  <si>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</si>
  <si>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</si>
  <si>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</si>
  <si>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</si>
  <si>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</si>
  <si>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</si>
  <si>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</si>
  <si>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</si>
  <si>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</si>
  <si>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</si>
  <si>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</si>
  <si>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</si>
  <si>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</si>
  <si>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</si>
  <si>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</si>
  <si>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</si>
  <si>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</si>
  <si>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</si>
  <si>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</si>
  <si>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</si>
  <si>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</si>
  <si>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</si>
  <si>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</si>
  <si>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</si>
  <si>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</si>
  <si>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</si>
  <si>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</si>
  <si>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</si>
  <si>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</si>
  <si>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</si>
  <si>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</si>
  <si>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</si>
  <si>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</si>
  <si>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</si>
  <si>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</si>
  <si>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</si>
  <si>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</si>
  <si>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</si>
  <si>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</si>
  <si>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</si>
  <si>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</si>
  <si>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</si>
  <si>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</si>
  <si>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</si>
  <si>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</si>
  <si>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</si>
  <si>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</si>
  <si>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</si>
  <si>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</si>
  <si>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</si>
  <si>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</si>
  <si>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</si>
  <si>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</si>
  <si>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</si>
  <si>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</si>
  <si>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</si>
  <si>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</si>
  <si>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</si>
  <si>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</si>
  <si>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</si>
  <si>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</si>
  <si>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</si>
  <si>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</si>
  <si>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</si>
  <si>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</si>
  <si>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</si>
  <si>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</si>
  <si>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</si>
  <si>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</si>
  <si>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</si>
  <si>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</si>
  <si>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</si>
  <si>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</si>
  <si>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</si>
  <si>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</si>
  <si>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</si>
  <si>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</si>
  <si>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</si>
  <si>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</si>
  <si>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</si>
  <si>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</si>
  <si>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</si>
  <si>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</si>
  <si>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</si>
  <si>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</si>
  <si>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</si>
  <si>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</si>
  <si>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</si>
  <si>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</si>
  <si>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</si>
  <si>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</si>
  <si>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</si>
  <si>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</si>
  <si>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</si>
  <si>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</si>
  <si>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</si>
  <si>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</si>
  <si>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</si>
  <si>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</si>
  <si>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</si>
  <si>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</si>
  <si>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</si>
  <si>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</si>
  <si>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</si>
  <si>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</si>
  <si>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</si>
  <si>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</si>
  <si>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</si>
  <si>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</si>
  <si>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</si>
  <si>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</si>
  <si>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</si>
  <si>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</si>
  <si>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地上</t>
  </si>
  <si>
    <t>是</t>
  </si>
  <si>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</si>
  <si>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</si>
  <si>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</si>
  <si>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</si>
  <si>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</si>
  <si>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</si>
  <si>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</si>
  <si>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</si>
  <si>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</si>
  <si>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</si>
  <si>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</si>
  <si>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</si>
  <si>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</si>
  <si>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</si>
  <si>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</si>
  <si>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</si>
  <si>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</si>
  <si>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</si>
  <si>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</si>
  <si>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</si>
  <si>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</si>
  <si>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</si>
  <si>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</si>
  <si>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</si>
  <si>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</si>
  <si>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</si>
  <si>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</si>
  <si>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</si>
  <si>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</si>
  <si>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</si>
  <si>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</si>
  <si>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</si>
  <si>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</si>
  <si>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</si>
  <si>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</si>
  <si>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</si>
  <si>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</si>
  <si>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</si>
  <si>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</si>
  <si>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</si>
  <si>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</si>
  <si>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</si>
  <si>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</si>
  <si>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</si>
  <si>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</si>
  <si>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</si>
  <si>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</si>
  <si>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</si>
  <si>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</si>
  <si>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</si>
  <si>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</si>
  <si>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</si>
  <si>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</si>
  <si>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</si>
  <si>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</si>
  <si>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</si>
  <si>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</si>
  <si>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</si>
  <si>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t>已包含在土地取得成本中</t>
  </si>
  <si>
    <t>好</t>
  </si>
  <si>
    <t>其他省市请录依据文件名称：鲁政字〔2018〕309号</t>
    <phoneticPr fontId="3" type="noConversion"/>
  </si>
  <si>
    <t>收益还原</t>
  </si>
  <si>
    <t>老建委</t>
  </si>
  <si>
    <t>武装部</t>
  </si>
  <si>
    <t>楼面单价</t>
  </si>
  <si>
    <t>畜牧局</t>
  </si>
  <si>
    <t>畜牧局</t>
    <phoneticPr fontId="3" type="noConversion"/>
  </si>
  <si>
    <t>畜牧局</t>
    <phoneticPr fontId="7" type="noConversion"/>
  </si>
  <si>
    <t>其他</t>
    <phoneticPr fontId="7" type="noConversion"/>
  </si>
  <si>
    <t>典型户型修正</t>
  </si>
  <si>
    <t>总价</t>
  </si>
  <si>
    <t>较差</t>
  </si>
  <si>
    <t>综合商务楼</t>
    <phoneticPr fontId="32" type="noConversion"/>
  </si>
  <si>
    <t>综合商务楼</t>
    <phoneticPr fontId="32" type="noConversion"/>
  </si>
  <si>
    <t>综合商务楼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</si>
</sst>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76" fontId="50" fillId="17" borderId="1" xfId="0" applyNumberFormat="1"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protection locked="0"/>
    </xf>
    <xf numFmtId="0" fontId="47" fillId="17" borderId="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A2C9E9C3-3521-4B6F-AD67-27E37F130A11}"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19.4\&#21335;&#20805;&#35810;&#20215;\&#36807;&#31243;\&#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住宅、综合"/>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估价对象为房地产，为所有。根据《国有土地使用证》[]，估价对象（分摊）出让国有建设用地使用权面积为0平方米，建筑面积为14583.99平方米。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估价对象为房地产,属开发建设的，该项目尚在开发建设中。根据《国有土地使用证》[]，估价对象（分摊）出让国有建设用地使用权面积为0平方米，规划建筑面积为14583.99平方米。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本次评估采用的主估价方法为基准地价系数修正法和基准地价系数修正法。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6231</v>
      </c>
    </row>
    <row r="21" spans="1:2" s="1594" customFormat="1">
      <c r="A21" s="1592" t="s">
        <v>1231</v>
      </c>
      <c r="B21" s="1593">
        <f ca="1">'预评函-2'!D7</f>
        <v>4272</v>
      </c>
    </row>
    <row r="22" spans="1:2" s="1594" customFormat="1">
      <c r="A22" s="1592" t="s">
        <v>1232</v>
      </c>
      <c r="B22" s="1593" t="str">
        <f ca="1">'预评函-2'!D6</f>
        <v>陆仟贰佰叁拾壹万元整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6231</v>
      </c>
    </row>
    <row r="31" spans="1:2" s="1594" customFormat="1">
      <c r="A31" s="1592" t="s">
        <v>1270</v>
      </c>
      <c r="B31" s="1593">
        <f ca="1">'预评函-2'!D15</f>
        <v>4272</v>
      </c>
    </row>
    <row r="32" spans="1:2" s="1594" customFormat="1">
      <c r="A32" s="1592" t="s">
        <v>1237</v>
      </c>
      <c r="B32" s="1593" t="str">
        <f ca="1">'预评函-2'!D14</f>
        <v>陆仟贰佰叁拾壹万元整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14583.989999999998</v>
      </c>
    </row>
    <row r="44" spans="1:2" s="1594" customFormat="1">
      <c r="A44" s="1592" t="s">
        <v>1269</v>
      </c>
      <c r="B44" s="1593" t="str">
        <f>'预评函-3'!C2</f>
        <v>(分摊)土地面积</v>
      </c>
    </row>
    <row r="45" spans="1:2" s="1594" customFormat="1">
      <c r="A45" s="1592" t="s">
        <v>1241</v>
      </c>
      <c r="B45" s="1593">
        <f>'预评函-3'!C4</f>
        <v>0</v>
      </c>
    </row>
    <row r="46" spans="1:2" s="1594" customFormat="1">
      <c r="A46" s="1592" t="s">
        <v>1267</v>
      </c>
      <c r="B46" s="1593" t="str">
        <f>'预评函-3'!D2</f>
        <v>出让国有建设用地使用权价值</v>
      </c>
    </row>
    <row r="47" spans="1:2" s="1594" customFormat="1">
      <c r="A47" s="1592" t="s">
        <v>1242</v>
      </c>
      <c r="B47" s="1593">
        <f ca="1">'预评函-3'!D4</f>
        <v>3894</v>
      </c>
    </row>
    <row r="48" spans="1:2" s="1594" customFormat="1">
      <c r="A48" s="1592" t="s">
        <v>1243</v>
      </c>
      <c r="B48" s="1593">
        <f ca="1">'预评函-3'!E4</f>
        <v>2670</v>
      </c>
    </row>
    <row r="49" spans="1:2" s="1594" customFormat="1">
      <c r="A49" s="1592" t="s">
        <v>1244</v>
      </c>
      <c r="B49" s="1593" t="str">
        <f ca="1">'预评函-3'!D5</f>
        <v>叁仟捌佰玖拾肆万元整</v>
      </c>
    </row>
    <row r="50" spans="1:2" s="1594" customFormat="1">
      <c r="A50" s="1592" t="s">
        <v>1268</v>
      </c>
      <c r="B50" s="1593" t="str">
        <f>'预评函-3'!F2</f>
        <v>在建建筑物价值</v>
      </c>
    </row>
    <row r="51" spans="1:2" s="1594" customFormat="1">
      <c r="A51" s="1592" t="s">
        <v>1245</v>
      </c>
      <c r="B51" s="1593">
        <f ca="1">'预评函-3'!F4</f>
        <v>2337</v>
      </c>
    </row>
    <row r="52" spans="1:2" s="1594" customFormat="1">
      <c r="A52" s="1592" t="s">
        <v>1246</v>
      </c>
      <c r="B52" s="1593">
        <f ca="1">'预评函-3'!G4</f>
        <v>1602</v>
      </c>
    </row>
    <row r="53" spans="1:2" s="1594" customFormat="1">
      <c r="A53" s="1592" t="s">
        <v>1274</v>
      </c>
      <c r="B53" s="1593" t="str">
        <f ca="1">'预评函-3'!F5</f>
        <v>贰仟叁佰叁拾柒万元整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3121</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1277</v>
      </c>
    </row>
    <row r="55" spans="1:4">
      <c r="A55" s="3027"/>
      <c r="B55" s="2022" t="s">
        <v>862</v>
      </c>
      <c r="C55" s="2019" t="s">
        <v>1278</v>
      </c>
    </row>
    <row r="56" spans="1:4">
      <c r="A56" s="3027"/>
      <c r="B56" s="2022" t="s">
        <v>863</v>
      </c>
      <c r="C56" s="2019" t="s">
        <v>1282</v>
      </c>
    </row>
    <row r="57" spans="1:4">
      <c r="A57" s="302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28" t="str">
        <f>IF(B10="北京市","北京市",C10)&amp;F10&amp;IF(结果表!G1="在建","出让国有建设用地使用权及在建建筑物",IF(结果表!G1="土地","出让国有建设用地使用权",))&amp;B9&amp;"预评估"</f>
        <v>房地产抵押价值预评估</v>
      </c>
      <c r="C1" s="3029"/>
      <c r="D1" s="3029"/>
      <c r="E1" s="3029"/>
      <c r="F1" s="3029"/>
      <c r="G1" s="3029"/>
      <c r="H1" s="3029"/>
      <c r="I1" s="303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43551</v>
      </c>
      <c r="E3" s="2026"/>
      <c r="F3" s="2026"/>
      <c r="G3" s="2026"/>
      <c r="H3" s="2026"/>
      <c r="I3" s="2026"/>
      <c r="J3" s="2026"/>
      <c r="K3" s="2027"/>
      <c r="L3" s="2028"/>
      <c r="M3" s="2028"/>
      <c r="N3" s="2029"/>
      <c r="O3" s="2030"/>
      <c r="P3" s="2029"/>
      <c r="Q3" s="2029"/>
      <c r="R3" s="2029"/>
      <c r="S3" s="2031"/>
    </row>
    <row r="4" spans="1:19" ht="18" customHeight="1" thickBot="1">
      <c r="A4" s="2038" t="s">
        <v>1775</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3047</v>
      </c>
      <c r="C8" s="2056"/>
      <c r="D8" s="3031" t="s">
        <v>1780</v>
      </c>
      <c r="E8" s="2057" t="s">
        <v>3048</v>
      </c>
      <c r="F8" s="2058"/>
      <c r="G8" s="2026"/>
      <c r="H8" s="2026"/>
      <c r="I8" s="2026"/>
      <c r="J8" s="2042"/>
      <c r="K8" s="2043"/>
      <c r="L8" s="2028"/>
      <c r="M8" s="2028"/>
      <c r="N8" s="2029"/>
      <c r="O8" s="2030"/>
      <c r="P8" s="2029"/>
      <c r="Q8" s="2029"/>
      <c r="R8" s="2029"/>
    </row>
    <row r="9" spans="1:19" ht="18" customHeight="1" thickBot="1">
      <c r="A9" s="2040" t="s">
        <v>1781</v>
      </c>
      <c r="B9" s="2059" t="s">
        <v>3048</v>
      </c>
      <c r="C9" s="2060"/>
      <c r="D9" s="3032"/>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3049</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1794</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1795</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1796</v>
      </c>
      <c r="B16" s="3038"/>
      <c r="C16" s="3039"/>
      <c r="D16" s="3040"/>
      <c r="E16" s="2086" t="s">
        <v>1797</v>
      </c>
      <c r="F16" s="3041"/>
      <c r="G16" s="3042"/>
      <c r="H16" s="3042"/>
      <c r="I16" s="3043"/>
      <c r="J16" s="2029"/>
      <c r="K16" s="2083"/>
      <c r="L16" s="2084"/>
      <c r="M16" s="2084"/>
      <c r="N16" s="2085"/>
      <c r="O16" s="2084"/>
      <c r="P16" s="2085"/>
      <c r="Q16" s="2029"/>
      <c r="R16" s="2029"/>
    </row>
    <row r="17" spans="1:22" ht="18" customHeight="1">
      <c r="A17" s="2087" t="s">
        <v>1798</v>
      </c>
      <c r="B17" s="2035" t="s">
        <v>1799</v>
      </c>
      <c r="C17" s="1057">
        <f>'数据-汇总表'!E3</f>
        <v>14583.989999999998</v>
      </c>
      <c r="D17" s="2088" t="s">
        <v>1800</v>
      </c>
      <c r="E17" s="3044" t="s">
        <v>1801</v>
      </c>
      <c r="F17" s="3045"/>
      <c r="G17" s="3045"/>
      <c r="H17" s="3045"/>
      <c r="I17" s="3046"/>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5">
        <f>'数据-汇总表'!D3</f>
        <v>0</v>
      </c>
      <c r="D18" s="2091" t="s">
        <v>1800</v>
      </c>
      <c r="E18" s="3047" t="s">
        <v>1804</v>
      </c>
      <c r="F18" s="3048"/>
      <c r="G18" s="3048"/>
      <c r="H18" s="3048"/>
      <c r="I18" s="3049"/>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34" t="s">
        <v>1809</v>
      </c>
      <c r="C20" s="3035"/>
      <c r="D20" s="3036" t="s">
        <v>1810</v>
      </c>
      <c r="E20" s="3037"/>
      <c r="F20" s="2098" t="s">
        <v>1811</v>
      </c>
      <c r="G20" s="2042"/>
      <c r="H20" s="2042"/>
      <c r="I20" s="2042"/>
      <c r="J20" s="2042"/>
      <c r="K20" s="303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51"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51"/>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51"/>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52"/>
      <c r="B30" s="2035" t="s">
        <v>1828</v>
      </c>
      <c r="C30" s="3053"/>
      <c r="D30" s="305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55"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5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5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50" t="s">
        <v>1838</v>
      </c>
      <c r="T34" s="2135" t="str">
        <f>NUMBERSTRING(7-K34,1)&amp;"通"</f>
        <v>七通</v>
      </c>
      <c r="U34" s="2029"/>
      <c r="V34" s="2029"/>
    </row>
    <row r="35" spans="1:22" ht="18" customHeight="1">
      <c r="A35" s="2136"/>
      <c r="B35" s="3057" t="s">
        <v>1839</v>
      </c>
      <c r="C35" s="3057"/>
      <c r="D35" s="3057"/>
      <c r="E35" s="305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XFD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1871</v>
      </c>
      <c r="AZ2" s="1271"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14583.989999999998</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14583.989999999998</v>
      </c>
      <c r="H5" s="16">
        <f t="shared" ref="H5:AT5" si="0">SUM(H13:H656)</f>
        <v>14583.989999999998</v>
      </c>
      <c r="I5" s="16">
        <f t="shared" si="0"/>
        <v>1809.36</v>
      </c>
      <c r="J5" s="16">
        <f t="shared" si="0"/>
        <v>0</v>
      </c>
      <c r="K5" s="16">
        <f t="shared" si="0"/>
        <v>12774.63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14583.989999999998</v>
      </c>
      <c r="BA5" s="18">
        <f t="shared" si="1"/>
        <v>14583.989999999998</v>
      </c>
      <c r="BB5" s="18">
        <f t="shared" si="1"/>
        <v>1809.36</v>
      </c>
      <c r="BC5" s="18">
        <f t="shared" si="1"/>
        <v>12774.63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4" t="s">
        <v>1890</v>
      </c>
      <c r="AD8" s="2189"/>
      <c r="AE8" s="2181"/>
      <c r="AF8" s="1818"/>
      <c r="AG8" s="1818"/>
      <c r="AH8" s="1818"/>
      <c r="AI8" s="1818"/>
      <c r="AJ8" s="1818"/>
      <c r="AK8" s="1818"/>
      <c r="AL8" s="1818"/>
      <c r="AM8" s="1818"/>
      <c r="AN8" s="1818"/>
      <c r="AO8" s="1818"/>
      <c r="AP8" s="1818"/>
      <c r="AQ8" s="1818"/>
      <c r="AR8" s="1818"/>
      <c r="AS8" s="1818"/>
      <c r="AT8" s="1293" t="s">
        <v>1891</v>
      </c>
      <c r="AU8" s="2183" t="s">
        <v>1892</v>
      </c>
      <c r="AV8" s="1293"/>
      <c r="AW8" s="2166"/>
      <c r="AX8" s="1293"/>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1895</v>
      </c>
      <c r="I9" s="2192" t="s">
        <v>3050</v>
      </c>
      <c r="J9" s="984"/>
      <c r="K9" s="2192" t="s">
        <v>3050</v>
      </c>
      <c r="L9" s="984"/>
      <c r="M9" s="2192"/>
      <c r="N9" s="984"/>
      <c r="O9" s="2192"/>
      <c r="P9" s="984"/>
      <c r="Q9" s="2192"/>
      <c r="R9" s="984"/>
      <c r="S9" s="2192"/>
      <c r="T9" s="984"/>
      <c r="U9" s="2192"/>
      <c r="V9" s="984"/>
      <c r="W9" s="2192"/>
      <c r="X9" s="2193"/>
      <c r="Y9" s="2192"/>
      <c r="Z9" s="984"/>
      <c r="AA9" s="2192"/>
      <c r="AB9" s="984"/>
      <c r="AC9" s="2184"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4"/>
      <c r="AT9" s="2183"/>
      <c r="AU9" s="2183" t="s">
        <v>1898</v>
      </c>
      <c r="AV9" s="1293"/>
      <c r="AW9" s="2166"/>
      <c r="AX9" s="1293"/>
      <c r="AY9" s="28"/>
      <c r="AZ9" s="28" t="s">
        <v>1888</v>
      </c>
      <c r="BA9" s="2195" t="s">
        <v>1899</v>
      </c>
      <c r="BB9" s="2196"/>
      <c r="BC9" s="1339"/>
      <c r="BD9" s="1339"/>
      <c r="BE9" s="1339"/>
      <c r="BF9" s="1339"/>
      <c r="BG9" s="1339"/>
      <c r="BH9" s="1339"/>
      <c r="BI9" s="1339"/>
      <c r="BJ9" s="1339"/>
      <c r="BK9" s="2197"/>
      <c r="BL9" s="15" t="s">
        <v>1900</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t="s">
        <v>27</v>
      </c>
      <c r="L10" s="984"/>
      <c r="M10" s="2198"/>
      <c r="N10" s="984"/>
      <c r="O10" s="2198"/>
      <c r="P10" s="984"/>
      <c r="Q10" s="2198"/>
      <c r="R10" s="984"/>
      <c r="S10" s="2198"/>
      <c r="T10" s="984"/>
      <c r="U10" s="2198"/>
      <c r="V10" s="984"/>
      <c r="W10" s="2198"/>
      <c r="X10" s="984"/>
      <c r="Y10" s="2198"/>
      <c r="Z10" s="984"/>
      <c r="AA10" s="2198"/>
      <c r="AB10" s="984"/>
      <c r="AC10" s="1293"/>
      <c r="AD10" s="15" t="s">
        <v>1901</v>
      </c>
      <c r="AE10" s="2199"/>
      <c r="AF10" s="15" t="s">
        <v>1901</v>
      </c>
      <c r="AG10" s="2199"/>
      <c r="AH10" s="15" t="s">
        <v>1902</v>
      </c>
      <c r="AI10" s="2199"/>
      <c r="AJ10" s="15" t="s">
        <v>1902</v>
      </c>
      <c r="AK10" s="2199"/>
      <c r="AL10" s="15" t="s">
        <v>1903</v>
      </c>
      <c r="AM10" s="1299"/>
      <c r="AN10" s="15" t="s">
        <v>1903</v>
      </c>
      <c r="AO10" s="1299"/>
      <c r="AP10" s="15" t="s">
        <v>1904</v>
      </c>
      <c r="AQ10" s="1299"/>
      <c r="AR10" s="15" t="s">
        <v>1904</v>
      </c>
      <c r="AS10" s="1299"/>
      <c r="AT10" s="2183"/>
      <c r="AU10" s="2183"/>
      <c r="AV10" s="1293"/>
      <c r="AW10" s="2166"/>
      <c r="AX10" s="1293"/>
      <c r="AY10" s="28"/>
      <c r="AZ10" s="28"/>
      <c r="BA10" s="2200" t="s">
        <v>1895</v>
      </c>
      <c r="BB10" s="2201"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2945" t="s">
        <v>3118</v>
      </c>
      <c r="C13" s="2945">
        <v>1</v>
      </c>
      <c r="D13" s="2214" t="s">
        <v>3051</v>
      </c>
      <c r="E13" s="2981">
        <v>424</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畜牧局</v>
      </c>
      <c r="AX13" s="11">
        <f t="shared" si="6"/>
        <v>1</v>
      </c>
      <c r="AY13" s="1806">
        <f>ROUND($AY$6*AZ13/$AZ$5,2)</f>
        <v>0</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t="s">
        <v>3114</v>
      </c>
      <c r="C14" s="2154">
        <v>1</v>
      </c>
      <c r="D14" s="2214" t="s">
        <v>3051</v>
      </c>
      <c r="E14" s="2981">
        <f>IF($C$3="是",ROUND($A$3*G14/$B$3,2),ROUND($A$3*(G14-AT14)/$B$3,2))</f>
        <v>0</v>
      </c>
      <c r="F14" s="32"/>
      <c r="G14" s="33">
        <f>H14+AC14+AT14</f>
        <v>1983.78</v>
      </c>
      <c r="H14" s="20">
        <f>SUMIF(I$12:AB$12,"总值",I14:AB14)</f>
        <v>1983.78</v>
      </c>
      <c r="I14" s="2215"/>
      <c r="J14" s="2215"/>
      <c r="K14" s="2215">
        <v>1983.78</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老建委</v>
      </c>
      <c r="AX14" s="11">
        <f t="shared" si="6"/>
        <v>1</v>
      </c>
      <c r="AY14" s="1806">
        <f>ROUND($AY$6*AZ14/$AZ$5,2)</f>
        <v>0</v>
      </c>
      <c r="AZ14" s="16">
        <f>BA14+BL14</f>
        <v>1983.78</v>
      </c>
      <c r="BA14" s="16">
        <f>SUM(BB14:BK14)</f>
        <v>1983.78</v>
      </c>
      <c r="BB14" s="16">
        <f>IF($D14="是",I14-J14,0)</f>
        <v>0</v>
      </c>
      <c r="BC14" s="16">
        <f>IF($D14="是",K14-L14,0)</f>
        <v>1983.78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v>2</v>
      </c>
      <c r="D15" s="2214" t="s">
        <v>3051</v>
      </c>
      <c r="E15" s="2981">
        <f>IF($C$3="是",ROUND($A$3*G15/$B$3,2),ROUND($A$3*(G15-AT15)/$B$3,2))</f>
        <v>0</v>
      </c>
      <c r="F15" s="32"/>
      <c r="G15" s="33">
        <f>H15+AC15+AT15</f>
        <v>612.94000000000005</v>
      </c>
      <c r="H15" s="20">
        <f>SUMIF(I$12:AB$12,"总值",I15:AB15)</f>
        <v>612.94000000000005</v>
      </c>
      <c r="I15" s="2215"/>
      <c r="J15" s="2215"/>
      <c r="K15" s="2215">
        <v>612.94000000000005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v>
      </c>
      <c r="AY15" s="1806">
        <f>ROUND($AY$6*AZ15/$AZ$5,2)</f>
        <v>0</v>
      </c>
      <c r="AZ15" s="16">
        <f>BA15+BL15</f>
        <v>612.94000000000005</v>
      </c>
      <c r="BA15" s="16">
        <f>SUM(BB15:BK15)</f>
        <v>612.94000000000005</v>
      </c>
      <c r="BB15" s="16">
        <f>IF($D15="是",I15-J15,0)</f>
        <v>0</v>
      </c>
      <c r="BC15" s="16">
        <f>IF($D15="是",K15-L15,0)</f>
        <v>612.94000000000005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v>3</v>
      </c>
      <c r="D16" s="2214" t="s">
        <v>3051</v>
      </c>
      <c r="E16" s="2981">
        <f>IF($C$3="是",ROUND($A$3*G16/$B$3,2),ROUND($A$3*(G16-AT16)/$B$3,2))</f>
        <v>0</v>
      </c>
      <c r="F16" s="32"/>
      <c r="G16" s="33">
        <f>H16+AC16+AT16</f>
        <v>360.5</v>
      </c>
      <c r="H16" s="20">
        <f>SUMIF(I$12:AB$12,"总值",I16:AB16)</f>
        <v>360.5</v>
      </c>
      <c r="I16" s="2215"/>
      <c r="J16" s="2215"/>
      <c r="K16" s="2215">
        <v>360.5</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3</v>
      </c>
      <c r="AY16" s="1806">
        <f>ROUND($AY$6*AZ16/$AZ$5,2)</f>
        <v>0</v>
      </c>
      <c r="AZ16" s="16">
        <f>BA16+BL16</f>
        <v>360.5</v>
      </c>
      <c r="BA16" s="16">
        <f>SUM(BB16:BK16)</f>
        <v>360.5</v>
      </c>
      <c r="BB16" s="16">
        <f>IF($D16="是",I16-J16,0)</f>
        <v>0</v>
      </c>
      <c r="BC16" s="16">
        <f>IF($D16="是",K16-L16,0)</f>
        <v>360.5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v>4</v>
      </c>
      <c r="D17" s="2214" t="s">
        <v>3051</v>
      </c>
      <c r="E17" s="2981">
        <f>IF($C$3="是",ROUND($A$3*G17/$B$3,2),ROUND($A$3*(G17-AT17)/$B$3,2))</f>
        <v>0</v>
      </c>
      <c r="F17" s="32"/>
      <c r="G17" s="33">
        <f>H17+AC17+AT17</f>
        <v>1204</v>
      </c>
      <c r="H17" s="20">
        <f>SUMIF(I$12:AB$12,"总值",I17:AB17)</f>
        <v>1204</v>
      </c>
      <c r="I17" s="2215"/>
      <c r="J17" s="2215"/>
      <c r="K17" s="2215">
        <v>1204</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4</v>
      </c>
      <c r="AY17" s="1806">
        <f>ROUND($AY$6*AZ17/$AZ$5,2)</f>
        <v>0</v>
      </c>
      <c r="AZ17" s="16">
        <f>BA17+BL17</f>
        <v>1204</v>
      </c>
      <c r="BA17" s="16">
        <f>SUM(BB17:BK17)</f>
        <v>1204</v>
      </c>
      <c r="BB17" s="16">
        <f>IF($D17="是",I17-J17,0)</f>
        <v>0</v>
      </c>
      <c r="BC17" s="16">
        <f>IF($D17="是",K17-L17,0)</f>
        <v>1204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3115</v>
      </c>
      <c r="C18" s="34">
        <v>1</v>
      </c>
      <c r="D18" s="2214" t="s">
        <v>3051</v>
      </c>
      <c r="E18" s="2982">
        <f t="shared" ref="E18:E112" si="7">IF($C$3="是",ROUND($A$3*G18/$B$3,2),ROUND($A$3*(G18-AT18)/$B$3,2))</f>
        <v>0</v>
      </c>
      <c r="F18" s="36"/>
      <c r="G18" s="37">
        <f t="shared" ref="G18:G109" si="8">H18+AC18+AT18</f>
        <v>576</v>
      </c>
      <c r="H18" s="38">
        <f t="shared" ref="H18:H109" si="9">SUMIF(I$12:AB$12,"总值",I18:AB18)</f>
        <v>576</v>
      </c>
      <c r="I18" s="34"/>
      <c r="J18" s="39"/>
      <c r="K18" s="34">
        <v>576</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t="str">
        <f t="shared" ref="AW18:AW112" si="12">B18</f>
        <v>武装部</v>
      </c>
      <c r="AX18" s="1795">
        <f t="shared" ref="AX18:AX112" si="13">C18</f>
        <v>1</v>
      </c>
      <c r="AY18" s="42">
        <f t="shared" ref="AY18:AY109" si="14">ROUND($AY$6*AZ18/$AZ$5,2)</f>
        <v>0</v>
      </c>
      <c r="AZ18" s="35">
        <f t="shared" ref="AZ18:AZ109" si="15">BA18+BL18</f>
        <v>576</v>
      </c>
      <c r="BA18" s="35">
        <f t="shared" ref="BA18:BA109" si="16">SUM(BB18:BK18)</f>
        <v>576</v>
      </c>
      <c r="BB18" s="35">
        <f t="shared" ref="BB18:BB109" si="17">IF($D18="是",I18-J18,0)</f>
        <v>0</v>
      </c>
      <c r="BC18" s="35">
        <f t="shared" ref="BC18:BC109" si="18">IF($D18="是",K18-L18,0)</f>
        <v>576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2</v>
      </c>
      <c r="D19" s="2214" t="s">
        <v>3051</v>
      </c>
      <c r="E19" s="2982">
        <f t="shared" si="7"/>
        <v>0</v>
      </c>
      <c r="F19" s="36"/>
      <c r="G19" s="37">
        <f t="shared" si="8"/>
        <v>1336.2</v>
      </c>
      <c r="H19" s="38">
        <f t="shared" si="9"/>
        <v>1336.2</v>
      </c>
      <c r="I19" s="34"/>
      <c r="J19" s="39"/>
      <c r="K19" s="34">
        <v>1336.2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2</v>
      </c>
      <c r="AY19" s="42">
        <f t="shared" si="14"/>
        <v>0</v>
      </c>
      <c r="AZ19" s="35">
        <f t="shared" si="15"/>
        <v>1336.2</v>
      </c>
      <c r="BA19" s="35">
        <f t="shared" si="16"/>
        <v>1336.2</v>
      </c>
      <c r="BB19" s="35">
        <f t="shared" si="17"/>
        <v>0</v>
      </c>
      <c r="BC19" s="35">
        <f t="shared" si="18"/>
        <v>1336.2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3</v>
      </c>
      <c r="D20" s="2214" t="s">
        <v>3051</v>
      </c>
      <c r="E20" s="2982">
        <f t="shared" si="7"/>
        <v>0</v>
      </c>
      <c r="F20" s="36"/>
      <c r="G20" s="37">
        <f t="shared" si="8"/>
        <v>269.44</v>
      </c>
      <c r="H20" s="38">
        <f t="shared" si="9"/>
        <v>269.44</v>
      </c>
      <c r="I20" s="34"/>
      <c r="J20" s="39"/>
      <c r="K20" s="34">
        <v>269.44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3</v>
      </c>
      <c r="AY20" s="42">
        <f t="shared" si="14"/>
        <v>0</v>
      </c>
      <c r="AZ20" s="35">
        <f t="shared" si="15"/>
        <v>269.44</v>
      </c>
      <c r="BA20" s="35">
        <f t="shared" si="16"/>
        <v>269.44</v>
      </c>
      <c r="BB20" s="35">
        <f t="shared" si="17"/>
        <v>0</v>
      </c>
      <c r="BC20" s="35">
        <f t="shared" si="18"/>
        <v>269.44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4</v>
      </c>
      <c r="D21" s="2214" t="s">
        <v>3051</v>
      </c>
      <c r="E21" s="2982">
        <f t="shared" si="7"/>
        <v>0</v>
      </c>
      <c r="F21" s="36"/>
      <c r="G21" s="37">
        <f t="shared" si="8"/>
        <v>312.92</v>
      </c>
      <c r="H21" s="38">
        <f t="shared" si="9"/>
        <v>312.92</v>
      </c>
      <c r="I21" s="34"/>
      <c r="J21" s="39"/>
      <c r="K21" s="34">
        <v>312.92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4</v>
      </c>
      <c r="AY21" s="42">
        <f t="shared" si="14"/>
        <v>0</v>
      </c>
      <c r="AZ21" s="35">
        <f t="shared" si="15"/>
        <v>312.92</v>
      </c>
      <c r="BA21" s="35">
        <f t="shared" si="16"/>
        <v>312.92</v>
      </c>
      <c r="BB21" s="35">
        <f t="shared" si="17"/>
        <v>0</v>
      </c>
      <c r="BC21" s="35">
        <f t="shared" si="18"/>
        <v>312.92</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5</v>
      </c>
      <c r="D22" s="2214" t="s">
        <v>3051</v>
      </c>
      <c r="E22" s="2982">
        <f t="shared" si="7"/>
        <v>0</v>
      </c>
      <c r="F22" s="36"/>
      <c r="G22" s="37">
        <f t="shared" si="8"/>
        <v>137.76</v>
      </c>
      <c r="H22" s="38">
        <f t="shared" si="9"/>
        <v>137.76</v>
      </c>
      <c r="I22" s="34"/>
      <c r="J22" s="39"/>
      <c r="K22" s="34">
        <v>137.76</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5</v>
      </c>
      <c r="AY22" s="42">
        <f t="shared" si="14"/>
        <v>0</v>
      </c>
      <c r="AZ22" s="35">
        <f t="shared" si="15"/>
        <v>137.76</v>
      </c>
      <c r="BA22" s="35">
        <f t="shared" si="16"/>
        <v>137.76</v>
      </c>
      <c r="BB22" s="35">
        <f t="shared" si="17"/>
        <v>0</v>
      </c>
      <c r="BC22" s="35">
        <f t="shared" si="18"/>
        <v>137.76</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6</v>
      </c>
      <c r="D23" s="2214" t="s">
        <v>3051</v>
      </c>
      <c r="E23" s="2982">
        <f t="shared" si="7"/>
        <v>0</v>
      </c>
      <c r="F23" s="36"/>
      <c r="G23" s="37">
        <f t="shared" si="8"/>
        <v>2083.1999999999998</v>
      </c>
      <c r="H23" s="38">
        <f t="shared" si="9"/>
        <v>2083.1999999999998</v>
      </c>
      <c r="I23" s="34"/>
      <c r="J23" s="39"/>
      <c r="K23" s="34">
        <v>2083.1999999999998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6</v>
      </c>
      <c r="AY23" s="42">
        <f t="shared" si="14"/>
        <v>0</v>
      </c>
      <c r="AZ23" s="35">
        <f t="shared" si="15"/>
        <v>2083.1999999999998</v>
      </c>
      <c r="BA23" s="35">
        <f t="shared" si="16"/>
        <v>2083.1999999999998</v>
      </c>
      <c r="BB23" s="35">
        <f t="shared" si="17"/>
        <v>0</v>
      </c>
      <c r="BC23" s="35">
        <f t="shared" si="18"/>
        <v>2083.1999999999998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7</v>
      </c>
      <c r="D24" s="2214" t="s">
        <v>3051</v>
      </c>
      <c r="E24" s="2982">
        <f t="shared" si="7"/>
        <v>0</v>
      </c>
      <c r="F24" s="36"/>
      <c r="G24" s="37">
        <f t="shared" si="8"/>
        <v>1641.8</v>
      </c>
      <c r="H24" s="38">
        <f t="shared" si="9"/>
        <v>1641.8</v>
      </c>
      <c r="I24" s="34"/>
      <c r="J24" s="39"/>
      <c r="K24" s="34">
        <v>1641.8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7</v>
      </c>
      <c r="AY24" s="42">
        <f t="shared" si="14"/>
        <v>0</v>
      </c>
      <c r="AZ24" s="35">
        <f t="shared" si="15"/>
        <v>1641.8</v>
      </c>
      <c r="BA24" s="35">
        <f t="shared" si="16"/>
        <v>1641.8</v>
      </c>
      <c r="BB24" s="35">
        <f t="shared" si="17"/>
        <v>0</v>
      </c>
      <c r="BC24" s="35">
        <f t="shared" si="18"/>
        <v>1641.8</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8</v>
      </c>
      <c r="D25" s="2214" t="s">
        <v>3051</v>
      </c>
      <c r="E25" s="2982">
        <f t="shared" si="7"/>
        <v>0</v>
      </c>
      <c r="F25" s="36"/>
      <c r="G25" s="37">
        <f t="shared" si="8"/>
        <v>65</v>
      </c>
      <c r="H25" s="38">
        <f t="shared" si="9"/>
        <v>65</v>
      </c>
      <c r="I25" s="34"/>
      <c r="J25" s="39"/>
      <c r="K25" s="34">
        <v>65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8</v>
      </c>
      <c r="AY25" s="42">
        <f t="shared" si="14"/>
        <v>0</v>
      </c>
      <c r="AZ25" s="35">
        <f t="shared" si="15"/>
        <v>65</v>
      </c>
      <c r="BA25" s="35">
        <f t="shared" si="16"/>
        <v>65</v>
      </c>
      <c r="BB25" s="35">
        <f t="shared" si="17"/>
        <v>0</v>
      </c>
      <c r="BC25" s="35">
        <f t="shared" si="18"/>
        <v>65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9</v>
      </c>
      <c r="D26" s="2214" t="s">
        <v>3051</v>
      </c>
      <c r="E26" s="2982">
        <f t="shared" si="7"/>
        <v>0</v>
      </c>
      <c r="F26" s="36"/>
      <c r="G26" s="37">
        <f t="shared" si="8"/>
        <v>865.09</v>
      </c>
      <c r="H26" s="38">
        <f t="shared" si="9"/>
        <v>865.09</v>
      </c>
      <c r="I26" s="34"/>
      <c r="J26" s="39"/>
      <c r="K26" s="34">
        <v>865.09</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9</v>
      </c>
      <c r="AY26" s="42">
        <f t="shared" si="14"/>
        <v>0</v>
      </c>
      <c r="AZ26" s="35">
        <f t="shared" si="15"/>
        <v>865.09</v>
      </c>
      <c r="BA26" s="35">
        <f t="shared" si="16"/>
        <v>865.09</v>
      </c>
      <c r="BB26" s="35">
        <f t="shared" si="17"/>
        <v>0</v>
      </c>
      <c r="BC26" s="35">
        <f t="shared" si="18"/>
        <v>865.09</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10</v>
      </c>
      <c r="D27" s="2214" t="s">
        <v>3051</v>
      </c>
      <c r="E27" s="2982">
        <f t="shared" si="7"/>
        <v>0</v>
      </c>
      <c r="F27" s="36"/>
      <c r="G27" s="37">
        <f t="shared" si="8"/>
        <v>1326</v>
      </c>
      <c r="H27" s="38">
        <f t="shared" si="9"/>
        <v>1326</v>
      </c>
      <c r="I27" s="34"/>
      <c r="J27" s="39"/>
      <c r="K27" s="34">
        <v>1326</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10</v>
      </c>
      <c r="AY27" s="42">
        <f t="shared" si="14"/>
        <v>0</v>
      </c>
      <c r="AZ27" s="35">
        <f t="shared" si="15"/>
        <v>1326</v>
      </c>
      <c r="BA27" s="35">
        <f t="shared" si="16"/>
        <v>1326</v>
      </c>
      <c r="BB27" s="35">
        <f t="shared" si="17"/>
        <v>0</v>
      </c>
      <c r="BC27" s="35">
        <f t="shared" si="18"/>
        <v>1326</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3"/>
      <c r="C1" s="1393"/>
      <c r="D1" s="1393"/>
      <c r="E1" s="1393"/>
      <c r="F1" s="1393"/>
      <c r="G1" s="1393"/>
      <c r="H1" s="1393"/>
      <c r="I1" s="1393"/>
      <c r="J1" s="1393"/>
      <c r="K1" s="1393"/>
      <c r="L1" s="1393"/>
      <c r="M1" s="1393"/>
      <c r="N1" s="1393"/>
      <c r="O1" s="1393"/>
      <c r="P1" s="1393"/>
    </row>
    <row r="2" spans="1:16" ht="15">
      <c r="A2" s="3069" t="s">
        <v>1935</v>
      </c>
      <c r="B2" s="3069"/>
      <c r="C2" s="3069"/>
      <c r="D2" s="970" t="s">
        <v>1911</v>
      </c>
      <c r="E2" s="2228" t="s">
        <v>1912</v>
      </c>
      <c r="F2" s="1393"/>
      <c r="G2" s="2229"/>
      <c r="H2" s="2230"/>
      <c r="I2" s="2231" t="s">
        <v>1936</v>
      </c>
      <c r="J2" s="1393"/>
      <c r="K2" s="1393"/>
      <c r="L2" s="1393"/>
      <c r="M2" s="1393"/>
      <c r="N2" s="1428"/>
      <c r="O2" s="1393"/>
      <c r="P2" s="1393"/>
    </row>
    <row r="3" spans="1:16" ht="15.75" thickBot="1">
      <c r="A3" s="3070" t="s">
        <v>1909</v>
      </c>
      <c r="B3" s="3070"/>
      <c r="C3" s="3070"/>
      <c r="D3" s="46">
        <f>'数据-基础表'!AY6</f>
        <v>0</v>
      </c>
      <c r="E3" s="46">
        <f>'数据-基础表'!AZ5</f>
        <v>14583.989999999998</v>
      </c>
      <c r="F3" s="1393"/>
      <c r="G3" s="1400"/>
      <c r="H3" s="1248" t="s">
        <v>1910</v>
      </c>
      <c r="I3" s="55" t="e">
        <f>ROUND('数据-基础表'!B3/'数据-基础表'!A3,2)</f>
        <v>#DIV/0!</v>
      </c>
      <c r="J3" s="1393"/>
      <c r="K3" s="1393"/>
      <c r="L3" s="1393"/>
      <c r="M3" s="1393"/>
      <c r="N3" s="1428"/>
      <c r="O3" s="1393"/>
      <c r="P3" s="1393"/>
    </row>
    <row r="4" spans="1:16" ht="15">
      <c r="A4" s="3071"/>
      <c r="B4" s="3072"/>
      <c r="C4" s="3073"/>
      <c r="D4" s="2232" t="s">
        <v>1911</v>
      </c>
      <c r="E4" s="2233" t="s">
        <v>1912</v>
      </c>
      <c r="F4" s="1393"/>
      <c r="G4" s="2234" t="s">
        <v>1937</v>
      </c>
      <c r="H4" s="1248" t="s">
        <v>1917</v>
      </c>
      <c r="I4" s="55" t="e">
        <f>ROUND(SUMIF('数据-基础表'!I9:AS9,"地上",'数据-基础表'!I5:AS5)/'数据-基础表'!A3,2)</f>
        <v>#DIV/0!</v>
      </c>
      <c r="J4" s="1393"/>
      <c r="K4" s="1393"/>
      <c r="L4" s="1393"/>
      <c r="M4" s="1393"/>
      <c r="N4" s="1428"/>
      <c r="O4" s="1393"/>
      <c r="P4" s="1393"/>
    </row>
    <row r="5" spans="1:16">
      <c r="A5" s="47" t="s">
        <v>1913</v>
      </c>
      <c r="B5" s="3074" t="s">
        <v>1914</v>
      </c>
      <c r="C5" s="3074"/>
      <c r="D5" s="48">
        <f>ROUND($D$3*E5/$E$3,2)</f>
        <v>0</v>
      </c>
      <c r="E5" s="49">
        <f>SUMIF('数据-基础表'!$11:$11,"住宅",'数据-基础表'!$5:$5)</f>
        <v>0</v>
      </c>
      <c r="F5" s="1393"/>
      <c r="G5" s="1400"/>
      <c r="H5" s="1248" t="s">
        <v>1910</v>
      </c>
      <c r="I5" s="55">
        <f>ROUND(E31/D31,2)</f>
        <v>34.4</v>
      </c>
      <c r="J5" s="1393"/>
      <c r="K5" s="1393"/>
      <c r="L5" s="1393"/>
      <c r="M5" s="1393"/>
      <c r="N5" s="1393"/>
      <c r="O5" s="1393"/>
      <c r="P5" s="1393"/>
    </row>
    <row r="6" spans="1:16" ht="15" thickBot="1">
      <c r="A6" s="2235"/>
      <c r="B6" s="3074" t="s">
        <v>1915</v>
      </c>
      <c r="C6" s="3074"/>
      <c r="D6" s="48">
        <f>ROUND($D$3*E6/$E$3,2)</f>
        <v>0</v>
      </c>
      <c r="E6" s="49">
        <f>E3-E5</f>
        <v>14583.989999999998</v>
      </c>
      <c r="F6" s="1393"/>
      <c r="G6" s="2236" t="s">
        <v>1916</v>
      </c>
      <c r="H6" s="1400" t="s">
        <v>1917</v>
      </c>
      <c r="I6" s="942">
        <f>ROUND(F31/D31,2)</f>
        <v>34.4</v>
      </c>
      <c r="J6" s="1393"/>
      <c r="K6" s="1393"/>
      <c r="L6" s="1393"/>
      <c r="M6" s="1393"/>
      <c r="N6" s="1393"/>
      <c r="O6" s="1393"/>
      <c r="P6" s="1393"/>
    </row>
    <row r="7" spans="1:16" ht="15">
      <c r="A7" s="3066"/>
      <c r="B7" s="3067"/>
      <c r="C7" s="3068"/>
      <c r="D7" s="2232" t="s">
        <v>1911</v>
      </c>
      <c r="E7" s="2237" t="s">
        <v>1918</v>
      </c>
      <c r="F7" s="1393"/>
      <c r="G7" s="2229" t="s">
        <v>1919</v>
      </c>
      <c r="H7" s="64"/>
      <c r="I7" s="420"/>
      <c r="J7" s="1393"/>
      <c r="K7" s="1393"/>
      <c r="L7" s="1393"/>
      <c r="M7" s="1393"/>
      <c r="N7" s="1393"/>
      <c r="O7" s="1393"/>
      <c r="P7" s="1393"/>
    </row>
    <row r="8" spans="1:16">
      <c r="A8" s="47" t="s">
        <v>1920</v>
      </c>
      <c r="B8" s="50" t="s">
        <v>1921</v>
      </c>
      <c r="C8" s="48" t="s">
        <v>1922</v>
      </c>
      <c r="D8" s="48">
        <f t="shared" ref="D8:D15" si="0">ROUND($D$3*E8/$E$3,2)</f>
        <v>0</v>
      </c>
      <c r="E8" s="51">
        <f>SUMIF('数据-基础表'!BB10:BK10,"地上",'数据-基础表'!BB5:BK5)</f>
        <v>14583.99</v>
      </c>
      <c r="F8" s="1393"/>
      <c r="G8" s="2238"/>
      <c r="H8" s="2238"/>
      <c r="I8" s="1393"/>
      <c r="J8" s="1393"/>
      <c r="K8" s="1393"/>
      <c r="L8" s="1393"/>
      <c r="M8" s="1393"/>
      <c r="N8" s="1393"/>
      <c r="O8" s="1393"/>
      <c r="P8" s="1393"/>
    </row>
    <row r="9" spans="1:16">
      <c r="A9" s="2239"/>
      <c r="B9" s="2240"/>
      <c r="C9" s="48" t="s">
        <v>1923</v>
      </c>
      <c r="D9" s="48">
        <f t="shared" si="0"/>
        <v>0</v>
      </c>
      <c r="E9" s="52">
        <v>0</v>
      </c>
      <c r="F9" s="1393"/>
      <c r="G9" s="2238"/>
      <c r="H9" s="2238"/>
      <c r="I9" s="1393"/>
      <c r="J9" s="1393"/>
      <c r="K9" s="1393"/>
      <c r="L9" s="1393"/>
      <c r="M9" s="1393"/>
      <c r="N9" s="1393"/>
      <c r="O9" s="1393"/>
      <c r="P9" s="1393"/>
    </row>
    <row r="10" spans="1:16">
      <c r="A10" s="2239"/>
      <c r="B10" s="2240"/>
      <c r="C10" s="48" t="s">
        <v>1932</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1924</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1925</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1926</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1938</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1933</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1927</v>
      </c>
      <c r="D16" s="50">
        <f>SUM(D8:D15)</f>
        <v>0</v>
      </c>
      <c r="E16" s="53">
        <f>SUM(E8:E15)</f>
        <v>14583.99</v>
      </c>
      <c r="F16" s="1393"/>
      <c r="G16" s="2238"/>
      <c r="H16" s="2241" t="s">
        <v>1939</v>
      </c>
      <c r="I16" s="2242"/>
      <c r="J16" s="1393"/>
      <c r="K16" s="3063" t="s">
        <v>1939</v>
      </c>
      <c r="L16" s="3064"/>
      <c r="M16" s="3064"/>
      <c r="N16" s="3064"/>
      <c r="O16" s="3064"/>
      <c r="P16" s="3065"/>
    </row>
    <row r="17" spans="1:19" ht="15">
      <c r="A17" s="2243" t="s">
        <v>1940</v>
      </c>
      <c r="B17" s="2244" t="s">
        <v>1941</v>
      </c>
      <c r="C17" s="2245" t="s">
        <v>1942</v>
      </c>
      <c r="D17" s="2246" t="s">
        <v>1930</v>
      </c>
      <c r="E17" s="2247" t="s">
        <v>1931</v>
      </c>
      <c r="F17" s="2248"/>
      <c r="G17" s="2249"/>
      <c r="H17" s="2250" t="s">
        <v>1943</v>
      </c>
      <c r="I17" s="2251" t="s">
        <v>1928</v>
      </c>
      <c r="J17" s="1393"/>
      <c r="K17" s="3060" t="s">
        <v>1944</v>
      </c>
      <c r="L17" s="3061"/>
      <c r="M17" s="3062"/>
      <c r="N17" s="3060" t="s">
        <v>1945</v>
      </c>
      <c r="O17" s="3061"/>
      <c r="P17" s="3062"/>
      <c r="R17" s="2229" t="s">
        <v>1946</v>
      </c>
      <c r="S17" s="64"/>
    </row>
    <row r="18" spans="1:19" ht="15">
      <c r="A18" s="2239"/>
      <c r="B18" s="2252"/>
      <c r="C18" s="2253"/>
      <c r="D18" s="2254"/>
      <c r="E18" s="2255" t="s">
        <v>1947</v>
      </c>
      <c r="F18" s="2256" t="s">
        <v>1948</v>
      </c>
      <c r="G18" s="2257" t="s">
        <v>1949</v>
      </c>
      <c r="H18" s="1263" t="s">
        <v>1950</v>
      </c>
      <c r="I18" s="2258" t="s">
        <v>1951</v>
      </c>
      <c r="J18" s="1393"/>
      <c r="K18" s="1263" t="s">
        <v>1952</v>
      </c>
      <c r="L18" s="2259" t="s">
        <v>1953</v>
      </c>
      <c r="M18" s="1049" t="s">
        <v>1954</v>
      </c>
      <c r="N18" s="1263" t="s">
        <v>1952</v>
      </c>
      <c r="O18" s="2259" t="s">
        <v>1953</v>
      </c>
      <c r="P18" s="1049" t="s">
        <v>1954</v>
      </c>
      <c r="R18" s="1248" t="s">
        <v>1955</v>
      </c>
      <c r="S18" s="1248" t="s">
        <v>1956</v>
      </c>
    </row>
    <row r="19" spans="1:19">
      <c r="A19" s="2260"/>
      <c r="B19" s="50" t="s">
        <v>1929</v>
      </c>
      <c r="C19" s="2946" t="s">
        <v>3119</v>
      </c>
      <c r="D19" s="2983">
        <v>424</v>
      </c>
      <c r="E19" s="56">
        <f t="shared" ref="E19:E26" si="1">SUM(F19:G19)</f>
        <v>1809.36</v>
      </c>
      <c r="F19" s="57">
        <f>'数据-基础表'!I5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424</v>
      </c>
      <c r="S19" s="1249">
        <f t="shared" si="5"/>
        <v>1809.36</v>
      </c>
    </row>
    <row r="20" spans="1:19">
      <c r="A20" s="2264"/>
      <c r="B20" s="50" t="s">
        <v>1957</v>
      </c>
      <c r="C20" s="2946" t="s">
        <v>3120</v>
      </c>
      <c r="D20" s="48">
        <f t="shared" ref="D20:D26" si="6">ROUND($D$3*E20/$E$3,2)</f>
        <v>0</v>
      </c>
      <c r="E20" s="56">
        <f t="shared" si="1"/>
        <v>12774.63</v>
      </c>
      <c r="F20" s="57">
        <f>'数据-基础表'!K5</f>
        <v>12774.63</v>
      </c>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12774.63</v>
      </c>
    </row>
    <row r="21" spans="1:19">
      <c r="A21" s="2264"/>
      <c r="B21" s="50" t="s">
        <v>1957</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29.25" thickBot="1">
      <c r="A27" s="2264"/>
      <c r="B27" s="48"/>
      <c r="C27" s="2267" t="s">
        <v>1958</v>
      </c>
      <c r="D27" s="1394">
        <f>SUM(D19:D26)</f>
        <v>424</v>
      </c>
      <c r="E27" s="1395">
        <f>IF(SUM(E19:E26)='数据-基础表'!BA5,SUM(E19:E26),IF(F27="地上面积有误","面积有误","地下面积有误"))</f>
        <v>14583.99</v>
      </c>
      <c r="F27" s="1394">
        <f>IF(SUM(F19:F26)=E8,SUM(F19:F26),"地上面积有误")</f>
        <v>14583.99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424误差424</v>
      </c>
      <c r="S27" s="1248">
        <f>IF(SUM(S19:S26)=$E$3,SUM(S19:S26),SUM(S19:S26)&amp;"误差"&amp;ROUND(SUM(S19:S26)-E3,2))</f>
        <v>14583.99</v>
      </c>
    </row>
    <row r="28" spans="1:19">
      <c r="A28" s="2264"/>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1959</v>
      </c>
      <c r="C29" s="2268"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1962</v>
      </c>
      <c r="D31" s="729">
        <f>D27+D30</f>
        <v>424</v>
      </c>
      <c r="E31" s="729">
        <f>E27+E30</f>
        <v>14583.99</v>
      </c>
      <c r="F31" s="730">
        <f>F27+F30</f>
        <v>14583.99</v>
      </c>
      <c r="G31" s="731">
        <f>G27+G30</f>
        <v>0</v>
      </c>
      <c r="H31" s="1393"/>
      <c r="I31" s="1393"/>
      <c r="J31" s="1393"/>
      <c r="K31" s="1393"/>
      <c r="L31" s="1393"/>
      <c r="M31" s="1393"/>
      <c r="N31" s="1393"/>
      <c r="O31" s="1393"/>
      <c r="P31" s="1393"/>
    </row>
    <row r="32" spans="1:19">
      <c r="A32" s="2234"/>
      <c r="B32" s="2234" t="s">
        <v>1963</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9" t="s">
        <v>1976</v>
      </c>
      <c r="F5" s="2294" t="s">
        <v>1977</v>
      </c>
      <c r="G5" s="1269" t="s">
        <v>1978</v>
      </c>
      <c r="H5" s="1269" t="s">
        <v>1979</v>
      </c>
      <c r="I5" s="1269" t="s">
        <v>1980</v>
      </c>
      <c r="J5" s="2295" t="s">
        <v>1981</v>
      </c>
      <c r="K5" s="2296" t="s">
        <v>1982</v>
      </c>
      <c r="L5" s="2297" t="s">
        <v>1983</v>
      </c>
      <c r="M5" s="2298" t="s">
        <v>1984</v>
      </c>
      <c r="N5" s="2299" t="s">
        <v>3052</v>
      </c>
      <c r="O5" s="2297" t="s">
        <v>1985</v>
      </c>
      <c r="P5" s="2300" t="s">
        <v>1986</v>
      </c>
      <c r="Q5" s="69" t="s">
        <v>1987</v>
      </c>
      <c r="R5" s="2301" t="s">
        <v>1988</v>
      </c>
      <c r="S5" s="2302" t="s">
        <v>1989</v>
      </c>
      <c r="T5" s="2303" t="s">
        <v>1990</v>
      </c>
      <c r="U5" s="1268" t="s">
        <v>1991</v>
      </c>
      <c r="V5" s="1269" t="s">
        <v>1992</v>
      </c>
      <c r="W5" s="1269" t="s">
        <v>1993</v>
      </c>
      <c r="X5" s="71"/>
      <c r="Y5" s="70" t="s">
        <v>1994</v>
      </c>
      <c r="Z5" s="2304" t="s">
        <v>1991</v>
      </c>
      <c r="AA5" s="1269" t="s">
        <v>1992</v>
      </c>
      <c r="AB5" s="1269" t="s">
        <v>1993</v>
      </c>
      <c r="AC5" s="71"/>
      <c r="AD5" s="71" t="s">
        <v>1994</v>
      </c>
      <c r="AE5" s="1268" t="s">
        <v>1995</v>
      </c>
      <c r="AF5" s="1269" t="s">
        <v>1996</v>
      </c>
      <c r="AG5" s="70" t="s">
        <v>1997</v>
      </c>
      <c r="AH5" s="1268" t="s">
        <v>1998</v>
      </c>
      <c r="AI5" s="2304" t="s">
        <v>1999</v>
      </c>
      <c r="AJ5" s="2304" t="s">
        <v>2000</v>
      </c>
      <c r="AK5" s="1269" t="s">
        <v>2001</v>
      </c>
      <c r="AL5" s="1269" t="s">
        <v>2002</v>
      </c>
      <c r="AM5" s="70" t="s">
        <v>2003</v>
      </c>
      <c r="AN5" s="2305" t="s">
        <v>2004</v>
      </c>
      <c r="AO5" s="2075" t="s">
        <v>2005</v>
      </c>
      <c r="AP5" s="1250"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畜牧局</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424</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37.28</v>
      </c>
      <c r="AF6" s="1804"/>
      <c r="AG6" s="147">
        <f>IF(AF6="",0,AE6-AF6)</f>
        <v>0</v>
      </c>
      <c r="AH6" s="83"/>
      <c r="AI6" s="85">
        <v>365</v>
      </c>
      <c r="AJ6" s="86"/>
      <c r="AK6" s="87">
        <v>1.4999999999999999E-2</v>
      </c>
      <c r="AL6" s="88">
        <v>1.5E-3</v>
      </c>
      <c r="AM6" s="89">
        <v>0.01</v>
      </c>
      <c r="AN6" s="2310" t="s">
        <v>3053</v>
      </c>
      <c r="AO6" s="55">
        <f ca="1">SUMIF(INDIRECT("'"&amp;AN6&amp;"'"&amp;"!A:A"),"总价",INDIRECT("'"&amp;AN6&amp;"'"&amp;"!B:B"))</f>
        <v>838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v>
      </c>
      <c r="B7" s="2308" t="str">
        <f t="shared" ref="B7:B13" si="1">IF(A7=0,"","经营性")</f>
        <v>经营性</v>
      </c>
      <c r="C7" s="2309" t="s">
        <v>27</v>
      </c>
      <c r="D7" s="1054">
        <f>SUMIF(项目基本情况!D$12:I$12,C7,项目基本情况!D$14:I$14)</f>
        <v>50</v>
      </c>
      <c r="E7" s="1051">
        <f>IF(B7="","",SUMIF(项目基本情况!D$12:I$12,C7,项目基本情况!D$13:I$13))</f>
        <v>57160</v>
      </c>
      <c r="F7" s="72">
        <f>SUMIF(项目基本情况!D$12:I$12,C7,项目基本情况!D$15:I$15)</f>
        <v>37.28</v>
      </c>
      <c r="G7" s="73">
        <f t="shared" ref="G7:G11" si="2">IF(ISERROR(ROUND(POWER(1+H7,D7-F7)*(POWER(1+H7,F7)-1)/(POWER(1+H7,D7)-1),3)),0,ROUND(POWER(1+H7,D7-F7)*(POWER(1+H7,F7)-1)/(POWER(1+H7,D7)-1),3))</f>
        <v>0.91800000000000004</v>
      </c>
      <c r="H7" s="802">
        <v>0.05</v>
      </c>
      <c r="I7" s="802">
        <v>5.5E-2</v>
      </c>
      <c r="J7" s="74">
        <v>0.08</v>
      </c>
      <c r="K7" s="1252">
        <f>SUMIF('数据-汇总表'!C$19:C$33,A7,'数据-汇总表'!E$19:E$33)</f>
        <v>12774.63</v>
      </c>
      <c r="L7" s="803">
        <v>1600</v>
      </c>
      <c r="M7" s="75">
        <f t="shared" si="0"/>
        <v>2044</v>
      </c>
      <c r="N7" s="801">
        <v>0.74</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v>1</v>
      </c>
      <c r="V7" s="79">
        <v>0.02</v>
      </c>
      <c r="W7" s="79">
        <v>0.1</v>
      </c>
      <c r="X7" s="1262"/>
      <c r="Y7" s="80">
        <v>0.74</v>
      </c>
      <c r="Z7" s="81"/>
      <c r="AA7" s="74"/>
      <c r="AB7" s="74"/>
      <c r="AC7" s="1262"/>
      <c r="AD7" s="82"/>
      <c r="AE7" s="1263">
        <f t="shared" ref="AE7:AE13" ca="1" si="6">IF(AN7="",0,SUMIF(INDIRECT("'"&amp;AN7&amp;"'"&amp;"!E:E"),$AE$5,INDIRECT("'"&amp;AN7&amp;"'"&amp;"!F:F")))</f>
        <v>0</v>
      </c>
      <c r="AF7" s="1804"/>
      <c r="AG7" s="147">
        <f t="shared" ref="AG7:AG13" si="7">IF(AF7="",0,AE7-AF7)</f>
        <v>0</v>
      </c>
      <c r="AH7" s="83"/>
      <c r="AI7" s="85">
        <v>365</v>
      </c>
      <c r="AJ7" s="86"/>
      <c r="AK7" s="87">
        <v>1.4999999999999999E-2</v>
      </c>
      <c r="AL7" s="88">
        <v>1.5E-3</v>
      </c>
      <c r="AM7" s="89">
        <v>0.01</v>
      </c>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8"/>
      <c r="D16" s="2315"/>
      <c r="E16" s="97"/>
      <c r="F16" s="97"/>
      <c r="G16" s="98">
        <f>ROUND(SUMPRODUCT(G6:G13,K6:K13)/SUMPRODUCT((G6:G13&gt;0)*(K6:K13)),3)</f>
        <v>0.91800000000000004</v>
      </c>
      <c r="H16" s="99">
        <f>ROUND(SUMPRODUCT(H6:H13,K6:K13)/SUMPRODUCT((H6:H13&gt;0)*(K6:K13)),3)</f>
        <v>0.05</v>
      </c>
      <c r="I16" s="100"/>
      <c r="J16" s="100"/>
      <c r="K16" s="101">
        <f>SUM(K6:K15)</f>
        <v>14583.99</v>
      </c>
      <c r="L16" s="102">
        <f>ROUND(M16*10000/SUM(K6:K14),0)</f>
        <v>1600</v>
      </c>
      <c r="M16" s="102">
        <f>SUM(M6:M14)</f>
        <v>2333</v>
      </c>
      <c r="N16" s="103">
        <f>ROUND(SUMPRODUCT(M6:M14,N6:N14)/M16,3)</f>
        <v>0.74</v>
      </c>
      <c r="O16" s="102">
        <f>SUM(O6:O14)</f>
        <v>0</v>
      </c>
      <c r="P16" s="102">
        <f>SUM(P6:P14)</f>
        <v>0</v>
      </c>
      <c r="Q16" s="104">
        <f>ROUND(SUMPRODUCT(Q6:Q13,K6:K13)/SUMPRODUCT((Q6:Q13&gt;0)*(K6:K13)),2)</f>
        <v>0.1</v>
      </c>
      <c r="R16" s="1256">
        <f ca="1">SUM(R6:R13)</f>
        <v>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1</v>
      </c>
      <c r="C20" s="2278" t="s">
        <v>2018</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v>2006</v>
      </c>
      <c r="Z20" s="1582"/>
      <c r="AA20" s="1582"/>
      <c r="AB20" s="1582"/>
      <c r="AC20" s="1582"/>
      <c r="AD20" s="1582"/>
      <c r="AE20" s="1582"/>
      <c r="AF20" s="1582"/>
      <c r="AG20" s="1582"/>
      <c r="AH20" s="1582"/>
      <c r="AI20" s="1582"/>
      <c r="AJ20" s="1582"/>
      <c r="AK20" s="1582"/>
      <c r="AL20" s="1582"/>
      <c r="AM20" s="1582"/>
    </row>
    <row r="21" spans="1:67" ht="14.25">
      <c r="A21" s="2319" t="s">
        <v>2019</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v>2019</v>
      </c>
      <c r="Z21" s="1582"/>
      <c r="AA21" s="1582"/>
      <c r="AB21" s="1582"/>
      <c r="AC21" s="1582"/>
      <c r="AD21" s="1582"/>
      <c r="AE21" s="1582"/>
      <c r="AF21" s="1582"/>
      <c r="AG21" s="1582"/>
      <c r="AH21" s="1582"/>
      <c r="AI21" s="1582"/>
      <c r="AJ21" s="1582"/>
      <c r="AK21" s="1582"/>
      <c r="AL21" s="1582"/>
      <c r="AM21" s="1582"/>
    </row>
    <row r="22" spans="1:67" ht="14.25">
      <c r="A22" s="2318" t="s">
        <v>2020</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c r="C27" s="1765" t="s">
        <v>2027</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5" t="s">
        <v>2030</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4"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4" t="s">
        <v>2037</v>
      </c>
      <c r="D34" s="2279" t="s">
        <v>2038</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4" t="s">
        <v>2040</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4"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0.02</v>
      </c>
      <c r="C37" s="1764"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0.02</v>
      </c>
      <c r="C38" s="1764"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1">
        <f ca="1">存贷款利率!G1</f>
        <v>4.3499999999999997E-2</v>
      </c>
      <c r="C40" s="1764"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4"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5"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5"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2.9999999999999997E-4</v>
      </c>
      <c r="C47" s="1765"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212</v>
      </c>
      <c r="C53" s="1428" t="s">
        <v>2068</v>
      </c>
      <c r="D53" s="2965" t="s">
        <v>3112</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5" t="s">
        <v>2079</v>
      </c>
      <c r="B1" s="3076"/>
      <c r="C1" s="3076"/>
      <c r="D1" s="3076"/>
      <c r="E1" s="3076"/>
      <c r="F1" s="3076"/>
      <c r="G1" s="307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7"/>
      <c r="G2" s="2365" t="s">
        <v>2081</v>
      </c>
      <c r="H2" s="2368"/>
      <c r="I2" s="2368"/>
      <c r="J2" s="2368"/>
      <c r="K2" s="2368"/>
      <c r="L2" s="2368"/>
      <c r="M2" s="2368"/>
      <c r="N2" s="2368"/>
      <c r="O2" s="2368"/>
      <c r="P2" s="2368"/>
      <c r="Q2" s="2368"/>
      <c r="R2" s="2368"/>
    </row>
    <row r="3" spans="1:29" ht="54">
      <c r="A3" s="415" t="s">
        <v>2082</v>
      </c>
      <c r="B3" s="1269"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4"/>
      <c r="G8" s="1134"/>
      <c r="H8" s="2368"/>
      <c r="I8" s="2368"/>
      <c r="J8" s="2368"/>
      <c r="K8" s="2368"/>
      <c r="L8" s="2368"/>
      <c r="M8" s="2368"/>
      <c r="N8" s="2368"/>
      <c r="O8" s="2368"/>
      <c r="P8" s="2368"/>
      <c r="Q8" s="2368"/>
      <c r="R8" s="2368"/>
    </row>
    <row r="9" spans="1:29" ht="27">
      <c r="A9" s="431"/>
      <c r="B9" s="1795" t="s">
        <v>2100</v>
      </c>
      <c r="C9" s="2374" t="s">
        <v>2101</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2083</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70"/>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70"/>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70"/>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1" sqref="E21"/>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14583.989999999998</v>
      </c>
      <c r="C1" s="1743"/>
      <c r="D1" s="1743"/>
      <c r="E1" s="1743"/>
      <c r="F1" s="1743"/>
      <c r="G1" s="1741"/>
    </row>
    <row r="2" spans="1:10" ht="16.5">
      <c r="A2" s="1744" t="s">
        <v>1349</v>
      </c>
      <c r="B2" s="1744">
        <f>SUM(C14:C23)</f>
        <v>0</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6231</v>
      </c>
      <c r="C5" s="1744">
        <f ca="1">ROUND(B5*10000/$B$1,0)</f>
        <v>4272</v>
      </c>
      <c r="D5" s="1744" t="e">
        <f ca="1">ROUND(B5*10000/$B$2,0)</f>
        <v>#DIV/0!</v>
      </c>
      <c r="E5" s="1743"/>
      <c r="F5" s="1741"/>
      <c r="G5" s="1741"/>
    </row>
    <row r="6" spans="1:10" ht="16.5">
      <c r="A6" s="1744" t="s">
        <v>1352</v>
      </c>
      <c r="B6" s="1744">
        <f ca="1">SUM(G14:G23)</f>
        <v>6231</v>
      </c>
      <c r="C6" s="1744">
        <f ca="1">ROUND(B6*10000/$B$1,0)</f>
        <v>4272</v>
      </c>
      <c r="D6" s="1744" t="e">
        <f ca="1">ROUND(B6*10000/$B$2,0)</f>
        <v>#DIV/0!</v>
      </c>
      <c r="E6" s="1743"/>
      <c r="F6" s="1741"/>
      <c r="G6" s="1741"/>
    </row>
    <row r="7" spans="1:10" ht="16.5">
      <c r="A7" s="1744" t="s">
        <v>1360</v>
      </c>
      <c r="B7" s="1744">
        <f>SUM(H14:H23)</f>
        <v>0</v>
      </c>
      <c r="C7" s="1744">
        <f>ROUND(B7*10000/$B$1,0)</f>
        <v>0</v>
      </c>
      <c r="D7" s="1744" t="e">
        <f>ROUND(B7*10000/$B$2,0)</f>
        <v>#DIV/0!</v>
      </c>
      <c r="E7" s="1743"/>
      <c r="F7" s="1741"/>
      <c r="G7" s="1741"/>
    </row>
    <row r="8" spans="1:10" ht="16.5">
      <c r="A8" s="1744" t="s">
        <v>1281</v>
      </c>
      <c r="B8" s="1744">
        <f>SUM(I14:I23)</f>
        <v>0</v>
      </c>
      <c r="C8" s="1744">
        <f>ROUND(B8*10000/$B$1,0)</f>
        <v>0</v>
      </c>
      <c r="D8" s="1744" t="e">
        <f>ROUND(B8*10000/$B$2,0)</f>
        <v>#DIV/0!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14583.989999999998</v>
      </c>
      <c r="C14" s="1742">
        <f>结果表!C118</f>
        <v>0</v>
      </c>
      <c r="D14" s="1742">
        <f ca="1">结果表!H118</f>
        <v>6231</v>
      </c>
      <c r="E14" s="1742">
        <f ca="1">ROUND(D14*10000/B14,0)</f>
        <v>4272</v>
      </c>
      <c r="F14" s="1742" t="e">
        <f ca="1">ROUND(D14*10000/C14,0)</f>
        <v>#DIV/0!</v>
      </c>
      <c r="G14" s="1742">
        <f ca="1">结果表!D122</f>
        <v>6231</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c r="D1" s="2419"/>
      <c r="E1" s="2419"/>
      <c r="F1" s="2421" t="s">
        <v>2117</v>
      </c>
      <c r="G1" s="2071" t="s">
        <v>3090</v>
      </c>
      <c r="H1" s="2422" t="str">
        <f>IF(G1="现房","——","估价对象范围")</f>
        <v>——</v>
      </c>
      <c r="I1" s="2423"/>
    </row>
    <row r="2" spans="1:12" ht="21.75" customHeight="1" thickBot="1">
      <c r="A2" s="3149" t="str">
        <f>项目基本情况!S2</f>
        <v>房地产</v>
      </c>
      <c r="B2" s="3150"/>
      <c r="C2" s="3150"/>
      <c r="D2" s="3150"/>
      <c r="E2" s="3150"/>
      <c r="F2" s="3150"/>
      <c r="G2" s="3150"/>
      <c r="H2" s="3150"/>
      <c r="I2" s="3151"/>
    </row>
    <row r="3" spans="1:12" ht="12.75">
      <c r="A3" s="3152" t="s">
        <v>2118</v>
      </c>
      <c r="B3" s="3153"/>
      <c r="C3" s="3153"/>
      <c r="D3" s="3153"/>
      <c r="E3" s="3153"/>
      <c r="F3" s="3153"/>
      <c r="G3" s="3153"/>
      <c r="H3" s="3153"/>
      <c r="I3" s="3153"/>
    </row>
    <row r="4" spans="1:12" ht="14.25">
      <c r="A4" s="2426" t="s">
        <v>2119</v>
      </c>
      <c r="B4" s="2427" t="s">
        <v>2120</v>
      </c>
      <c r="C4" s="2428" t="s">
        <v>3121</v>
      </c>
      <c r="D4" s="2428" t="s">
        <v>3121</v>
      </c>
      <c r="E4" s="3133" t="s">
        <v>2121</v>
      </c>
      <c r="F4" s="3146"/>
      <c r="G4" s="3146"/>
      <c r="H4" s="3146"/>
      <c r="I4" s="3134"/>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4" t="s">
        <v>2122</v>
      </c>
      <c r="B5" s="3050">
        <v>25</v>
      </c>
      <c r="C5" s="3154"/>
      <c r="D5" s="3142"/>
      <c r="E5" s="140" t="s">
        <v>2123</v>
      </c>
      <c r="F5" s="2430"/>
      <c r="G5" s="2430"/>
      <c r="H5" s="2430"/>
      <c r="I5" s="1831"/>
    </row>
    <row r="6" spans="1:12" ht="12.75">
      <c r="A6" s="3124"/>
      <c r="B6" s="3050"/>
      <c r="C6" s="3156"/>
      <c r="D6" s="3142"/>
      <c r="E6" s="140" t="s">
        <v>2124</v>
      </c>
      <c r="F6" s="2430"/>
      <c r="G6" s="2430"/>
      <c r="H6" s="2430"/>
      <c r="I6" s="1831"/>
    </row>
    <row r="7" spans="1:12" ht="12.75">
      <c r="A7" s="3124"/>
      <c r="B7" s="3050"/>
      <c r="C7" s="3155"/>
      <c r="D7" s="3142"/>
      <c r="E7" s="140" t="s">
        <v>2125</v>
      </c>
      <c r="F7" s="2430"/>
      <c r="G7" s="2430"/>
      <c r="H7" s="2430"/>
      <c r="I7" s="1831"/>
    </row>
    <row r="8" spans="1:12" ht="12.75">
      <c r="A8" s="3124" t="s">
        <v>2126</v>
      </c>
      <c r="B8" s="3050">
        <v>15</v>
      </c>
      <c r="C8" s="3154"/>
      <c r="D8" s="3142"/>
      <c r="E8" s="140" t="s">
        <v>2127</v>
      </c>
      <c r="F8" s="2430"/>
      <c r="G8" s="2430"/>
      <c r="H8" s="2430"/>
      <c r="I8" s="1831"/>
    </row>
    <row r="9" spans="1:12" ht="12.75">
      <c r="A9" s="3124"/>
      <c r="B9" s="3050"/>
      <c r="C9" s="3155"/>
      <c r="D9" s="3142"/>
      <c r="E9" s="140" t="s">
        <v>2128</v>
      </c>
      <c r="F9" s="2430"/>
      <c r="G9" s="2430"/>
      <c r="H9" s="2430"/>
      <c r="I9" s="1831"/>
    </row>
    <row r="10" spans="1:12" ht="12.75">
      <c r="A10" s="3124" t="s">
        <v>2129</v>
      </c>
      <c r="B10" s="3050">
        <v>15</v>
      </c>
      <c r="C10" s="3154"/>
      <c r="D10" s="3142"/>
      <c r="E10" s="140" t="s">
        <v>2130</v>
      </c>
      <c r="F10" s="2430"/>
      <c r="G10" s="2430"/>
      <c r="H10" s="2430"/>
      <c r="I10" s="1831"/>
    </row>
    <row r="11" spans="1:12" ht="12.75">
      <c r="A11" s="3124"/>
      <c r="B11" s="3050"/>
      <c r="C11" s="3155"/>
      <c r="D11" s="3142"/>
      <c r="E11" s="140" t="s">
        <v>2131</v>
      </c>
      <c r="F11" s="2430"/>
      <c r="G11" s="2430"/>
      <c r="H11" s="2430"/>
      <c r="I11" s="1831"/>
    </row>
    <row r="12" spans="1:12" ht="12.75">
      <c r="A12" s="3124" t="s">
        <v>2132</v>
      </c>
      <c r="B12" s="3050">
        <v>15</v>
      </c>
      <c r="C12" s="3154"/>
      <c r="D12" s="3142"/>
      <c r="E12" s="140" t="s">
        <v>2133</v>
      </c>
      <c r="F12" s="2430"/>
      <c r="G12" s="2430"/>
      <c r="H12" s="2430"/>
      <c r="I12" s="1831"/>
    </row>
    <row r="13" spans="1:12" ht="12.75">
      <c r="A13" s="3124"/>
      <c r="B13" s="3050"/>
      <c r="C13" s="3155"/>
      <c r="D13" s="3142"/>
      <c r="E13" s="140" t="s">
        <v>2134</v>
      </c>
      <c r="F13" s="2430"/>
      <c r="G13" s="2430"/>
      <c r="H13" s="2430"/>
      <c r="I13" s="1831"/>
    </row>
    <row r="14" spans="1:12" ht="12.75">
      <c r="A14" s="3124" t="s">
        <v>2135</v>
      </c>
      <c r="B14" s="3050">
        <v>30</v>
      </c>
      <c r="C14" s="3154">
        <v>1</v>
      </c>
      <c r="D14" s="3142">
        <v>0</v>
      </c>
      <c r="E14" s="140" t="s">
        <v>2136</v>
      </c>
      <c r="F14" s="2430"/>
      <c r="G14" s="2430"/>
      <c r="H14" s="2430"/>
      <c r="I14" s="1831"/>
    </row>
    <row r="15" spans="1:12" ht="12.75">
      <c r="A15" s="3124"/>
      <c r="B15" s="3050"/>
      <c r="C15" s="3156"/>
      <c r="D15" s="3142"/>
      <c r="E15" s="140" t="s">
        <v>2137</v>
      </c>
      <c r="F15" s="2430"/>
      <c r="G15" s="2430"/>
      <c r="H15" s="2430"/>
      <c r="I15" s="1831"/>
    </row>
    <row r="16" spans="1:12" ht="12.75">
      <c r="A16" s="3124"/>
      <c r="B16" s="3050"/>
      <c r="C16" s="3155"/>
      <c r="D16" s="3142"/>
      <c r="E16" s="140" t="s">
        <v>2138</v>
      </c>
      <c r="F16" s="2430"/>
      <c r="G16" s="2430"/>
      <c r="H16" s="2430"/>
      <c r="I16" s="1831"/>
    </row>
    <row r="17" spans="1:35" ht="15">
      <c r="A17" s="2431" t="s">
        <v>2139</v>
      </c>
      <c r="B17" s="64"/>
      <c r="C17" s="141">
        <f>SUM(C5:C16)</f>
        <v>1</v>
      </c>
      <c r="D17" s="141">
        <f>SUM(D5:D16)</f>
        <v>0</v>
      </c>
      <c r="E17" s="138"/>
      <c r="F17" s="138"/>
      <c r="G17" s="138"/>
      <c r="H17" s="138"/>
      <c r="I17" s="138"/>
      <c r="K17" s="2429"/>
      <c r="L17" s="2432" t="s">
        <v>2140</v>
      </c>
      <c r="M17" s="2432" t="s">
        <v>2141</v>
      </c>
    </row>
    <row r="18" spans="1:35" ht="15.75" thickBot="1">
      <c r="A18" s="2433" t="s">
        <v>2142</v>
      </c>
      <c r="B18" s="2434"/>
      <c r="C18" s="142">
        <f>ROUND(C17/SUM(C17:D17),2)</f>
        <v>1</v>
      </c>
      <c r="D18" s="142">
        <f>1-C18</f>
        <v>0</v>
      </c>
      <c r="E18" s="138"/>
      <c r="F18" s="138"/>
      <c r="G18" s="138"/>
      <c r="H18" s="138"/>
      <c r="I18" s="138"/>
      <c r="K18" s="2429" t="s">
        <v>2143</v>
      </c>
      <c r="L18" s="2429">
        <f>IF(C1="",'数据-汇总表'!E3,SUMIF(项目类型,C1,'数据-汇总表'!E17:E26)+SUMIF(项目类型,C1,'数据-汇总表'!I17:I26))</f>
        <v>14583.989999999998</v>
      </c>
      <c r="M18" s="2429">
        <f>IF(C1="",'数据-汇总表'!E3,SUMIF(项目类型,C1,'数据-汇总表'!E17:E26))</f>
        <v>14583.989999999998</v>
      </c>
    </row>
    <row r="19" spans="1:35" ht="15">
      <c r="A19" s="2435" t="s">
        <v>2144</v>
      </c>
      <c r="B19" s="2436" t="s">
        <v>2145</v>
      </c>
      <c r="C19" s="143">
        <f ca="1">SUMIF(INDIRECT("'"&amp;C4&amp;"'"&amp;"!A:A"),结果表!B19,INDIRECT("'"&amp;C4&amp;"'"&amp;"!B:B"))</f>
        <v>6231</v>
      </c>
      <c r="D19" s="144">
        <f ca="1">SUMIF(INDIRECT("'"&amp;D4&amp;"'"&amp;"!A:A"),结果表!B19,INDIRECT("'"&amp;D4&amp;"'"&amp;"!B:B"))</f>
        <v>6231</v>
      </c>
      <c r="E19" s="2435" t="s">
        <v>2146</v>
      </c>
      <c r="F19" s="2436" t="s">
        <v>2145</v>
      </c>
      <c r="G19" s="145">
        <f ca="1">ROUND(C19*$C$18+D19*$D$18,0)</f>
        <v>6231</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48" t="s">
        <v>2149</v>
      </c>
      <c r="C20" s="146">
        <f ca="1">SUMIF(INDIRECT("'"&amp;C4&amp;"'"&amp;"!A:A"),结果表!B20,INDIRECT("'"&amp;C4&amp;"'"&amp;"!B:B"))</f>
        <v>4272</v>
      </c>
      <c r="D20" s="147">
        <f ca="1">SUMIF(INDIRECT("'"&amp;D4&amp;"'"&amp;"!A:A"),结果表!B20,INDIRECT("'"&amp;D4&amp;"'"&amp;"!B:B"))</f>
        <v>4272</v>
      </c>
      <c r="E20" s="2438"/>
      <c r="F20" s="1248" t="s">
        <v>2149</v>
      </c>
      <c r="G20" s="148">
        <f ca="1">ROUND(C20*$C$18+D20*$D$18,0)</f>
        <v>4272</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2" t="s">
        <v>2152</v>
      </c>
      <c r="B22" s="2441"/>
      <c r="C22" s="2442"/>
      <c r="D22" s="791">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163" t="s">
        <v>2153</v>
      </c>
      <c r="B24" s="2436" t="s">
        <v>2145</v>
      </c>
      <c r="C24" s="145">
        <f>IF(B30=0,0,D30)</f>
        <v>0</v>
      </c>
      <c r="D24" s="2443"/>
      <c r="E24" s="138"/>
      <c r="F24" s="138"/>
      <c r="G24" s="138"/>
      <c r="H24" s="138"/>
      <c r="I24" s="138"/>
    </row>
    <row r="25" spans="1:35" ht="14.25">
      <c r="A25" s="3164"/>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6231</v>
      </c>
      <c r="D32" s="2450" t="s">
        <v>3122</v>
      </c>
      <c r="E32" s="138"/>
      <c r="F32" s="138"/>
      <c r="G32" s="138"/>
      <c r="H32" s="138"/>
      <c r="I32" s="138"/>
    </row>
    <row r="33" spans="1:15" ht="15">
      <c r="A33" s="960" t="s">
        <v>2160</v>
      </c>
      <c r="B33" s="2451"/>
      <c r="C33" s="2452" t="s">
        <v>3092</v>
      </c>
      <c r="D33" s="2453" t="s">
        <v>3053</v>
      </c>
      <c r="E33" s="2454" t="s">
        <v>2161</v>
      </c>
      <c r="F33" s="2455" t="str">
        <f>IF(D32="楼面单价","取值（单价）","取值（总价）")</f>
        <v>取值（总价）</v>
      </c>
      <c r="G33" s="138"/>
      <c r="H33" s="138"/>
      <c r="I33" s="138"/>
    </row>
    <row r="34" spans="1:15" ht="15">
      <c r="A34" s="2456"/>
      <c r="B34" s="2457" t="s">
        <v>2162</v>
      </c>
      <c r="C34" s="157">
        <f ca="1">IF(C33="自定义",F34,C32-C35)</f>
        <v>3894</v>
      </c>
      <c r="D34" s="1058">
        <f ca="1">IF(C33="自定义",ROUND(C34/C32,3),IF(C33="收益比率",SUMIF(INDIRECT("'"&amp;D33&amp;"'"&amp;"!b:b"),"土地收益比率",INDIRECT("'"&amp;D33&amp;"'"&amp;"!c:c")),SUMIF(INDIRECT("'"&amp;D33&amp;"'"&amp;"!b:b"),"土地成本比率",INDIRECT("'"&amp;D33&amp;"'"&amp;"!c:c"))))</f>
        <v>0.625</v>
      </c>
      <c r="E34" s="2458" t="s">
        <v>2163</v>
      </c>
      <c r="F34" s="1737"/>
      <c r="G34" s="138"/>
      <c r="H34" s="138"/>
      <c r="I34" s="138"/>
    </row>
    <row r="35" spans="1:15" ht="15.75" thickBot="1">
      <c r="A35" s="2459"/>
      <c r="B35" s="2460" t="s">
        <v>2164</v>
      </c>
      <c r="C35" s="1442">
        <f ca="1">IF(C33="自定义",F35,ROUND(C32*D35,0))</f>
        <v>2337</v>
      </c>
      <c r="D35" s="1443">
        <f ca="1">IF(C33="自定义",ROUND(C35/C32,3),IF(C33="收益比率",SUMIF(INDIRECT("'"&amp;D33&amp;"'"&amp;"!b:b"),"建筑物收益比率",INDIRECT("'"&amp;D33&amp;"'"&amp;"!c:c")),SUMIF(INDIRECT("'"&amp;D33&amp;"'"&amp;"!b:b"),"建筑物成本比率",INDIRECT("'"&amp;D33&amp;"'"&amp;"!c:c"))))</f>
        <v>0.375</v>
      </c>
      <c r="E35" s="2461" t="s">
        <v>2165</v>
      </c>
      <c r="F35" s="163"/>
      <c r="G35" s="138"/>
      <c r="H35" s="138"/>
      <c r="I35" s="138"/>
    </row>
    <row r="36" spans="1:15" ht="15.75" thickBot="1">
      <c r="A36" s="3143" t="s">
        <v>2166</v>
      </c>
      <c r="B36" s="2462" t="s">
        <v>2167</v>
      </c>
      <c r="C36" s="154"/>
      <c r="D36" s="2463"/>
      <c r="E36" s="2464"/>
      <c r="F36" s="2465"/>
      <c r="G36" s="138"/>
      <c r="H36" s="138"/>
      <c r="I36" s="138"/>
    </row>
    <row r="37" spans="1:15" ht="15.75" thickBot="1">
      <c r="A37" s="3144"/>
      <c r="B37" s="2268" t="s">
        <v>2168</v>
      </c>
      <c r="C37" s="156"/>
      <c r="D37" s="1393"/>
      <c r="E37" s="1393"/>
      <c r="F37" s="2465"/>
      <c r="G37" s="138"/>
      <c r="H37" s="138"/>
      <c r="I37" s="138"/>
    </row>
    <row r="38" spans="1:15" ht="15.75" thickBot="1">
      <c r="A38" s="3145"/>
      <c r="B38" s="2466" t="s">
        <v>2169</v>
      </c>
      <c r="C38" s="727"/>
      <c r="D38" s="2467" t="s">
        <v>2170</v>
      </c>
      <c r="E38" s="1393"/>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60" t="s">
        <v>2180</v>
      </c>
      <c r="B45" s="3161"/>
      <c r="C45" s="3162"/>
      <c r="D45" s="164">
        <f ca="1">ROUND(H101*F45,0)</f>
        <v>6231</v>
      </c>
      <c r="E45" s="165" t="s">
        <v>2181</v>
      </c>
      <c r="F45" s="166">
        <v>1</v>
      </c>
      <c r="G45" s="167" t="s">
        <v>2182</v>
      </c>
      <c r="H45" s="138"/>
      <c r="I45" s="138"/>
      <c r="J45" s="3079" t="s">
        <v>2183</v>
      </c>
      <c r="K45" s="3079"/>
      <c r="L45" s="3079"/>
      <c r="M45" s="3079"/>
      <c r="N45" s="3079"/>
      <c r="O45" s="3079"/>
    </row>
    <row r="46" spans="1:15" ht="14.25" customHeight="1">
      <c r="A46" s="3157" t="s">
        <v>2184</v>
      </c>
      <c r="B46" s="3158"/>
      <c r="C46" s="3158"/>
      <c r="D46" s="3158"/>
      <c r="E46" s="3158"/>
      <c r="F46" s="3158"/>
      <c r="G46" s="3159"/>
      <c r="H46" s="2481"/>
      <c r="I46" s="168"/>
      <c r="J46" s="1809">
        <v>1</v>
      </c>
      <c r="K46" s="3079" t="s">
        <v>2185</v>
      </c>
      <c r="L46" s="3079"/>
      <c r="M46" s="3080"/>
      <c r="N46" s="3080"/>
      <c r="O46" s="3080"/>
    </row>
    <row r="47" spans="1:15" ht="12" customHeight="1">
      <c r="A47" s="169" t="s">
        <v>2186</v>
      </c>
      <c r="B47" s="170"/>
      <c r="C47" s="171"/>
      <c r="D47" s="172" t="s">
        <v>2187</v>
      </c>
      <c r="E47" s="24" t="s">
        <v>2188</v>
      </c>
      <c r="F47" s="173" t="s">
        <v>2189</v>
      </c>
      <c r="G47" s="174" t="s">
        <v>2190</v>
      </c>
      <c r="H47" s="2481"/>
      <c r="I47" s="168"/>
      <c r="J47" s="1809">
        <v>2</v>
      </c>
      <c r="K47" s="3079" t="s">
        <v>2191</v>
      </c>
      <c r="L47" s="3079"/>
      <c r="M47" s="3081">
        <f>'数据-取费表'!B2</f>
        <v>43551</v>
      </c>
      <c r="N47" s="3081"/>
      <c r="O47" s="3081"/>
    </row>
    <row r="48" spans="1:15" ht="25.5">
      <c r="A48" s="3147" t="s">
        <v>2192</v>
      </c>
      <c r="B48" s="3148"/>
      <c r="C48" s="3148"/>
      <c r="D48" s="140">
        <f>IF(H48="情况1",0,IF(H48="情况2",D52,IF(H48="情况3",D53,IF(H48="情况4",D54))))</f>
        <v>0</v>
      </c>
      <c r="E48" s="1798" t="str">
        <f>IF(H48="情况4","(销售额-原购置价)×税（费）率","销售额×税（费）率")</f>
        <v>销售额×税（费）率</v>
      </c>
      <c r="F48" s="175" t="str">
        <f>IF(H48="情况1","免征",'数据-取费表'!B41)</f>
        <v>免征</v>
      </c>
      <c r="G48" s="2482" t="s">
        <v>2193</v>
      </c>
      <c r="H48" s="2483" t="s">
        <v>2194</v>
      </c>
      <c r="I48" s="2481"/>
      <c r="J48" s="1809">
        <v>3</v>
      </c>
      <c r="K48" s="3079" t="s">
        <v>2195</v>
      </c>
      <c r="L48" s="3079"/>
      <c r="M48" s="3082">
        <f ca="1">H101</f>
        <v>6231</v>
      </c>
      <c r="N48" s="3082"/>
      <c r="O48" s="3082"/>
    </row>
    <row r="49" spans="1:35" ht="25.5" customHeight="1">
      <c r="A49" s="176" t="s">
        <v>2196</v>
      </c>
      <c r="B49" s="3127" t="s">
        <v>2197</v>
      </c>
      <c r="C49" s="3127"/>
      <c r="D49" s="177">
        <v>0</v>
      </c>
      <c r="E49" s="23" t="s">
        <v>2198</v>
      </c>
      <c r="F49" s="28" t="s">
        <v>34</v>
      </c>
      <c r="G49" s="3108"/>
      <c r="H49" s="138"/>
      <c r="I49" s="2484"/>
      <c r="J49" s="1809">
        <v>4</v>
      </c>
      <c r="K49" s="3079" t="str">
        <f>IF(项目基本情况!E8="房地产抵押价值","房地产抵押价值","抵押担保权已注销时的房地产抵押价值")</f>
        <v>房地产抵押价值</v>
      </c>
      <c r="L49" s="3079"/>
      <c r="M49" s="3082">
        <f ca="1">IF(项目基本情况!E8="房地产抵押价值",H107,H109)</f>
        <v>6231</v>
      </c>
      <c r="N49" s="3082"/>
      <c r="O49" s="3082"/>
    </row>
    <row r="50" spans="1:35" ht="25.5" customHeight="1">
      <c r="A50" s="178"/>
      <c r="B50" s="3127" t="s">
        <v>2199</v>
      </c>
      <c r="C50" s="3127"/>
      <c r="D50" s="179"/>
      <c r="E50" s="31"/>
      <c r="F50" s="180"/>
      <c r="G50" s="3109"/>
      <c r="H50" s="138"/>
      <c r="I50" s="2484"/>
      <c r="J50" s="3079" t="s">
        <v>2200</v>
      </c>
      <c r="K50" s="3079"/>
      <c r="L50" s="3079"/>
      <c r="M50" s="3079"/>
      <c r="N50" s="3079"/>
      <c r="O50" s="3079"/>
    </row>
    <row r="51" spans="1:35" ht="12" customHeight="1">
      <c r="A51" s="181"/>
      <c r="B51" s="3127" t="s">
        <v>2201</v>
      </c>
      <c r="C51" s="3127"/>
      <c r="D51" s="182"/>
      <c r="E51" s="30"/>
      <c r="F51" s="180"/>
      <c r="G51" s="3110"/>
      <c r="H51" s="138"/>
      <c r="I51" s="2484"/>
      <c r="J51" s="2485" t="s">
        <v>2202</v>
      </c>
      <c r="K51" s="3079" t="s">
        <v>2203</v>
      </c>
      <c r="L51" s="3079"/>
      <c r="M51" s="2485" t="s">
        <v>2204</v>
      </c>
      <c r="N51" s="2485" t="s">
        <v>2205</v>
      </c>
      <c r="O51" s="2485" t="s">
        <v>2206</v>
      </c>
    </row>
    <row r="52" spans="1:35" ht="24" customHeight="1">
      <c r="A52" s="183" t="s">
        <v>2207</v>
      </c>
      <c r="B52" s="3127" t="s">
        <v>2208</v>
      </c>
      <c r="C52" s="3127"/>
      <c r="D52" s="182">
        <f ca="1">ROUND(D45*'数据-取费表'!B41/(1+'数据-取费表'!C42),0)</f>
        <v>334</v>
      </c>
      <c r="E52" s="11" t="s">
        <v>2209</v>
      </c>
      <c r="F52" s="184">
        <f>'数据-取费表'!B41</f>
        <v>5.6300000000000003E-2</v>
      </c>
      <c r="G52" s="2486"/>
      <c r="H52" s="138"/>
      <c r="I52" s="2484"/>
      <c r="J52" s="1809">
        <v>1</v>
      </c>
      <c r="K52" s="3102" t="s">
        <v>2210</v>
      </c>
      <c r="L52" s="3102"/>
      <c r="M52" s="1752">
        <f>D48</f>
        <v>0</v>
      </c>
      <c r="N52" s="1809" t="str">
        <f>E48</f>
        <v>销售额×税（费）率</v>
      </c>
      <c r="O52" s="1753" t="str">
        <f>F48</f>
        <v>免征</v>
      </c>
    </row>
    <row r="53" spans="1:35" ht="12" customHeight="1">
      <c r="A53" s="183" t="s">
        <v>2211</v>
      </c>
      <c r="B53" s="3128" t="s">
        <v>2212</v>
      </c>
      <c r="C53" s="3129"/>
      <c r="D53" s="182">
        <f ca="1">ROUND(D45*'数据-取费表'!B41/(1+'数据-取费表'!C42),0)</f>
        <v>334</v>
      </c>
      <c r="E53" s="11" t="s">
        <v>2209</v>
      </c>
      <c r="F53" s="184">
        <f>'数据-取费表'!B41</f>
        <v>5.6300000000000003E-2</v>
      </c>
      <c r="G53" s="2486"/>
      <c r="H53" s="138"/>
      <c r="I53" s="2484"/>
      <c r="J53" s="1809">
        <v>2</v>
      </c>
      <c r="K53" s="3102" t="s">
        <v>2213</v>
      </c>
      <c r="L53" s="3102"/>
      <c r="M53" s="1752">
        <f t="shared" ref="M53:O54" ca="1" si="0">D55</f>
        <v>3</v>
      </c>
      <c r="N53" s="1809" t="str">
        <f t="shared" si="0"/>
        <v>销售额×税（费）率</v>
      </c>
      <c r="O53" s="1753">
        <f t="shared" si="0"/>
        <v>5.0000000000000001E-4</v>
      </c>
    </row>
    <row r="54" spans="1:35" ht="12" customHeight="1">
      <c r="A54" s="183" t="s">
        <v>2214</v>
      </c>
      <c r="B54" s="3128" t="s">
        <v>2215</v>
      </c>
      <c r="C54" s="3129"/>
      <c r="D54" s="182">
        <f ca="1">C68</f>
        <v>334</v>
      </c>
      <c r="E54" s="30" t="s">
        <v>2216</v>
      </c>
      <c r="F54" s="184">
        <f>'数据-取费表'!B41</f>
        <v>5.6300000000000003E-2</v>
      </c>
      <c r="G54" s="2486"/>
      <c r="H54" s="2487"/>
      <c r="I54" s="2484"/>
      <c r="J54" s="1809">
        <v>3</v>
      </c>
      <c r="K54" s="3102" t="s">
        <v>2217</v>
      </c>
      <c r="L54" s="3102"/>
      <c r="M54" s="1752">
        <f t="shared" ca="1" si="0"/>
        <v>3525</v>
      </c>
      <c r="N54" s="1809" t="str">
        <f t="shared" si="0"/>
        <v>增值额×税（费）率</v>
      </c>
      <c r="O54" s="1754" t="str">
        <f t="shared" si="0"/>
        <v>——</v>
      </c>
    </row>
    <row r="55" spans="1:35" ht="24" customHeight="1">
      <c r="A55" s="3166" t="s">
        <v>2218</v>
      </c>
      <c r="B55" s="3148"/>
      <c r="C55" s="3148"/>
      <c r="D55" s="185">
        <f ca="1">IF(H55="个人住宅",0,ROUND(D45*I55,0))</f>
        <v>3</v>
      </c>
      <c r="E55" s="11" t="s">
        <v>2219</v>
      </c>
      <c r="F55" s="184">
        <f>IF(H55="正常",I55,"免征")</f>
        <v>5.0000000000000001E-4</v>
      </c>
      <c r="G55" s="2486"/>
      <c r="H55" s="2483" t="s">
        <v>2220</v>
      </c>
      <c r="I55" s="186">
        <f>'数据-取费表'!B49</f>
        <v>5.0000000000000001E-4</v>
      </c>
      <c r="J55" s="1809" t="str">
        <f>IF(H59="非个人房产","",4)</f>
        <v/>
      </c>
      <c r="K55" s="3102" t="str">
        <f>IF(H59="非个人房产","——","个人所得税")</f>
        <v>——</v>
      </c>
      <c r="L55" s="3102"/>
      <c r="M55" s="1755" t="str">
        <f>D59</f>
        <v>——</v>
      </c>
      <c r="N55" s="1807" t="str">
        <f>E59</f>
        <v>——</v>
      </c>
      <c r="O55" s="1756" t="str">
        <f>F59</f>
        <v>——</v>
      </c>
    </row>
    <row r="56" spans="1:35" ht="24.75">
      <c r="A56" s="3166" t="s">
        <v>2221</v>
      </c>
      <c r="B56" s="3148"/>
      <c r="C56" s="3148"/>
      <c r="D56" s="185">
        <f ca="1">IF(H56="个人住宅",D57,D58)</f>
        <v>3525</v>
      </c>
      <c r="E56" s="11" t="s">
        <v>2222</v>
      </c>
      <c r="F56" s="184" t="str">
        <f>IF(H56="正常",F58,"免征")</f>
        <v>——</v>
      </c>
      <c r="G56" s="2488" t="s">
        <v>2223</v>
      </c>
      <c r="H56" s="2489" t="s">
        <v>2220</v>
      </c>
      <c r="I56" s="2490"/>
      <c r="J56" s="1809" t="str">
        <f>IF(项目基本情况!K6="上海银行",IF(J55="",4,J55+1),"")</f>
        <v/>
      </c>
      <c r="K56" s="3085" t="str">
        <f>IF(项目基本情况!K6="上海银行","其他处置费用","")</f>
        <v/>
      </c>
      <c r="L56" s="3086"/>
      <c r="M56" s="1752" t="str">
        <f>IF(项目基本情况!K6="上海银行",M69,"")</f>
        <v/>
      </c>
      <c r="N56" s="3088" t="str">
        <f>IF(项目基本情况!K6="上海银行","包含处置中涉及的律师、诉讼、拍卖、评估等费用","")</f>
        <v/>
      </c>
      <c r="O56" s="3089"/>
    </row>
    <row r="57" spans="1:35" ht="12.75">
      <c r="A57" s="183" t="s">
        <v>2196</v>
      </c>
      <c r="B57" s="3133" t="s">
        <v>2224</v>
      </c>
      <c r="C57" s="3134"/>
      <c r="D57" s="187">
        <v>0</v>
      </c>
      <c r="E57" s="23" t="s">
        <v>2198</v>
      </c>
      <c r="F57" s="155"/>
      <c r="G57" s="2486"/>
      <c r="H57" s="2490"/>
      <c r="I57" s="2490"/>
      <c r="J57" s="3102">
        <f>IF(AND(J55="",J56=""),4,IF(项目基本情况!K6="上海银行",结果表!J56+1,结果表!J55+1))</f>
        <v>4</v>
      </c>
      <c r="K57" s="3102" t="s">
        <v>2225</v>
      </c>
      <c r="L57" s="2491" t="s">
        <v>2226</v>
      </c>
      <c r="M57" s="1757"/>
      <c r="N57" s="1758">
        <f ca="1">SUMIF(M52:M56,"&lt;9e307")</f>
        <v>3528</v>
      </c>
      <c r="O57" s="2492"/>
      <c r="P57" s="1751">
        <f ca="1">N57/M49</f>
        <v>0.56620125180548864</v>
      </c>
    </row>
    <row r="58" spans="1:35" ht="24.75">
      <c r="A58" s="183" t="s">
        <v>2207</v>
      </c>
      <c r="B58" s="3133" t="s">
        <v>2227</v>
      </c>
      <c r="C58" s="3146"/>
      <c r="D58" s="185">
        <f ca="1">IF(H58="转让取得",C81,C97)</f>
        <v>3525</v>
      </c>
      <c r="E58" s="11" t="s">
        <v>2222</v>
      </c>
      <c r="F58" s="24" t="s">
        <v>34</v>
      </c>
      <c r="G58" s="2486"/>
      <c r="H58" s="2489" t="s">
        <v>2228</v>
      </c>
      <c r="I58" s="2490"/>
      <c r="J58" s="3102"/>
      <c r="K58" s="3102"/>
      <c r="L58" s="2491" t="s">
        <v>2229</v>
      </c>
      <c r="M58" s="1759"/>
      <c r="N58" s="2493" t="str">
        <f ca="1">NUMBERSTRING(INT(N57*10000),2)&amp;"元整"</f>
        <v>叁仟伍佰贰拾捌万元整</v>
      </c>
      <c r="O58" s="2494"/>
    </row>
    <row r="59" spans="1:35" ht="24.75" thickBot="1">
      <c r="A59" s="3106" t="s">
        <v>2230</v>
      </c>
      <c r="B59" s="3107"/>
      <c r="C59" s="3107"/>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04">
        <f>J57+1</f>
        <v>5</v>
      </c>
      <c r="K59" s="3102" t="s">
        <v>2232</v>
      </c>
      <c r="L59" s="1809" t="s">
        <v>2226</v>
      </c>
      <c r="M59" s="1760"/>
      <c r="N59" s="1761">
        <f ca="1">M49-N57</f>
        <v>2703</v>
      </c>
      <c r="O59" s="2496"/>
    </row>
    <row r="60" spans="1:35" ht="12" customHeight="1">
      <c r="A60" s="2497"/>
      <c r="B60" s="2419"/>
      <c r="C60" s="2419"/>
      <c r="D60" s="2419"/>
      <c r="E60" s="2167"/>
      <c r="F60" s="2490"/>
      <c r="G60" s="2490"/>
      <c r="H60" s="2498"/>
      <c r="I60" s="138"/>
      <c r="J60" s="3105"/>
      <c r="K60" s="3102"/>
      <c r="L60" s="2491" t="s">
        <v>2229</v>
      </c>
      <c r="M60" s="1759"/>
      <c r="N60" s="2493" t="str">
        <f ca="1">NUMBERSTRING(INT(N59*10000),2)&amp;"元整"</f>
        <v>贰仟柒佰零叁万元整</v>
      </c>
      <c r="O60" s="2494"/>
    </row>
    <row r="61" spans="1:35" ht="13.5" thickBot="1">
      <c r="A61" s="3165" t="s">
        <v>2233</v>
      </c>
      <c r="B61" s="3165"/>
      <c r="C61" s="3165"/>
      <c r="D61" s="3165"/>
      <c r="E61" s="3165"/>
      <c r="F61" s="2490"/>
      <c r="G61" s="2490"/>
      <c r="H61" s="2498"/>
      <c r="I61" s="138"/>
      <c r="J61" s="1809">
        <f>J59+1</f>
        <v>6</v>
      </c>
      <c r="K61" s="3102" t="s">
        <v>2234</v>
      </c>
      <c r="L61" s="3102"/>
      <c r="M61" s="1762"/>
      <c r="N61" s="1763">
        <f ca="1">ROUND(N59*10000/'数据-汇总表'!E3,0)</f>
        <v>1853</v>
      </c>
      <c r="O61" s="2499"/>
    </row>
    <row r="62" spans="1:35" ht="12.75">
      <c r="A62" s="3122" t="s">
        <v>2235</v>
      </c>
      <c r="B62" s="3123"/>
      <c r="C62" s="1801"/>
      <c r="D62" s="1801" t="s">
        <v>2236</v>
      </c>
      <c r="E62" s="192" t="s">
        <v>2237</v>
      </c>
      <c r="F62" s="2490"/>
      <c r="G62" s="2490"/>
      <c r="H62" s="2498"/>
      <c r="I62" s="138"/>
    </row>
    <row r="63" spans="1:35" ht="12.75">
      <c r="A63" s="203" t="s">
        <v>775</v>
      </c>
      <c r="B63" s="193" t="s">
        <v>2238</v>
      </c>
      <c r="C63" s="194">
        <f ca="1">ROUND((C64+C65)/(1+'数据-取费表'!C42),0)</f>
        <v>5934</v>
      </c>
      <c r="D63" s="195"/>
      <c r="E63" s="196"/>
      <c r="F63" s="2490"/>
      <c r="G63" s="2490"/>
      <c r="H63" s="2498"/>
      <c r="I63" s="138"/>
      <c r="J63" s="3087" t="s">
        <v>2239</v>
      </c>
      <c r="K63" s="2500" t="s">
        <v>2240</v>
      </c>
      <c r="L63" s="1750">
        <f ca="1">IF(M49&gt;10000,M49*0.5%,IF(AND(M49&gt;1000,M49&lt;=10000),M49*1%,IF(AND(M49&gt;100,M49&lt;=1000),M49*3%,IF(AND(M49&gt;10,M49&lt;=100),M49*5%,M49*8%))))</f>
        <v>62.31</v>
      </c>
      <c r="M63" s="24">
        <f ca="1">ROUND(L63,1)</f>
        <v>62.3</v>
      </c>
      <c r="Z63" s="2424"/>
      <c r="AI63" s="2425"/>
    </row>
    <row r="64" spans="1:35" ht="14.25" customHeight="1">
      <c r="A64" s="197" t="s">
        <v>770</v>
      </c>
      <c r="B64" s="198" t="s">
        <v>2241</v>
      </c>
      <c r="C64" s="199">
        <f ca="1">D45</f>
        <v>6231</v>
      </c>
      <c r="D64" s="200" t="s">
        <v>32</v>
      </c>
      <c r="E64" s="201"/>
      <c r="F64" s="2490"/>
      <c r="G64" s="2490"/>
      <c r="H64" s="2498"/>
      <c r="I64" s="138"/>
      <c r="J64" s="3087"/>
      <c r="K64" s="2500" t="s">
        <v>2242</v>
      </c>
      <c r="L64" s="1750">
        <f ca="1">IF(M49&gt;2000,M49*0.5%,IF(AND(M49&gt;1000,M49&lt;=2000),M49*0.6%,IF(AND(M49&gt;500,M49&lt;=1000),M49*0.7%,IF(AND(M49&gt;200,M49&lt;=500),M49*0.8%,IF(AND(M49&gt;100,M49&lt;=200),M49*0.9%,IF(AND(M49&gt;50,M49&lt;=100),M49*1%,IF(AND(M49&gt;20,M49&lt;=50),M49*1.5%,IF(AND(M49&gt;10,M49&lt;=20),M49*2%,IF(AND(M49&gt;1,M49&lt;=10),M49*2.5%)))))))))</f>
        <v>31.155000000000001</v>
      </c>
      <c r="M64" s="24">
        <f t="shared" ref="M64:M65" ca="1" si="1">ROUND(L64,1)</f>
        <v>31.2</v>
      </c>
      <c r="N64" s="138" t="s">
        <v>2243</v>
      </c>
      <c r="Z64" s="2424"/>
      <c r="AI64" s="2425"/>
    </row>
    <row r="65" spans="1:35" ht="14.25" customHeight="1">
      <c r="A65" s="197" t="s">
        <v>771</v>
      </c>
      <c r="B65" s="198" t="s">
        <v>2244</v>
      </c>
      <c r="C65" s="202"/>
      <c r="D65" s="200"/>
      <c r="E65" s="201"/>
      <c r="F65" s="2490"/>
      <c r="G65" s="2490"/>
      <c r="H65" s="2498"/>
      <c r="I65" s="138"/>
      <c r="J65" s="3087"/>
      <c r="K65" s="2500" t="s">
        <v>2245</v>
      </c>
      <c r="L65" s="1750">
        <f ca="1">IF(M49&gt;1000,M49*0.1%,IF(AND(M49&gt;500,M49&lt;=1000),M49*0.5%,IF(AND(M49&gt;50,M49&lt;=500),M49*1%,IF(AND(M49&gt;1,M49&lt;=50),M49*1.5%))))</f>
        <v>6.2309999999999999</v>
      </c>
      <c r="M65" s="24">
        <f t="shared" ca="1" si="1"/>
        <v>6.2</v>
      </c>
      <c r="N65" s="138" t="s">
        <v>2243</v>
      </c>
      <c r="Z65" s="2424"/>
      <c r="AI65" s="2425"/>
    </row>
    <row r="66" spans="1:35" ht="14.25" customHeight="1">
      <c r="A66" s="203" t="s">
        <v>772</v>
      </c>
      <c r="B66" s="204" t="s">
        <v>2246</v>
      </c>
      <c r="C66" s="205"/>
      <c r="D66" s="206" t="s">
        <v>32</v>
      </c>
      <c r="E66" s="1773" t="s">
        <v>1367</v>
      </c>
      <c r="F66" s="2490"/>
      <c r="G66" s="2490"/>
      <c r="H66" s="2498"/>
      <c r="I66" s="138"/>
      <c r="J66" s="3087"/>
      <c r="K66" s="2500" t="s">
        <v>2247</v>
      </c>
      <c r="L66" s="1750">
        <f ca="1">M49*0.5%</f>
        <v>31.155000000000001</v>
      </c>
      <c r="M66" s="24">
        <f ca="1">IF(L66&gt;0.5,0.5,ROUND(L66,0))</f>
        <v>0.5</v>
      </c>
      <c r="N66" s="138" t="s">
        <v>2248</v>
      </c>
      <c r="Z66" s="2424"/>
      <c r="AI66" s="2425"/>
    </row>
    <row r="67" spans="1:35" ht="14.25" customHeight="1">
      <c r="A67" s="203" t="s">
        <v>773</v>
      </c>
      <c r="B67" s="204" t="s">
        <v>2249</v>
      </c>
      <c r="C67" s="207">
        <f ca="1">C63-C66</f>
        <v>5934</v>
      </c>
      <c r="D67" s="200" t="s">
        <v>32</v>
      </c>
      <c r="E67" s="201"/>
      <c r="F67" s="2490"/>
      <c r="G67" s="2490"/>
      <c r="H67" s="2498"/>
      <c r="I67" s="138"/>
      <c r="J67" s="3087"/>
      <c r="K67" s="2500" t="s">
        <v>2250</v>
      </c>
      <c r="L67" s="1750">
        <f ca="1">IF(M49&gt;=10000,(8.25+(M49-10000)*0.01%),IF(AND(M49&gt;=8000,M49&lt;10000),(7.85+(M49-8000)*0.02%),IF(AND(M49&gt;=5000,M49&lt;8000),(6.65+(M49-5000)*0.04%),IF(AND(M49&gt;=2000,M49&lt;5000),(4.25+(PM49-2000)*0.08%),IF(AND(M49&gt;=1000,M49&lt;2000),(2.75+(M49-1000)*0.15%),IF(AND(M49&gt;=100,M49&lt;1000),(0.5+(M49-100)*0.25%),IF(AND(M49&gt;0,M49&lt;100),M49*0.5%)))))))</f>
        <v>7.1424000000000003</v>
      </c>
      <c r="M67" s="24">
        <f ca="1">ROUND(L67*0.9,1)</f>
        <v>6.4</v>
      </c>
      <c r="Z67" s="2424"/>
      <c r="AI67" s="2425"/>
    </row>
    <row r="68" spans="1:35" ht="14.25" customHeight="1" thickBot="1">
      <c r="A68" s="208" t="s">
        <v>774</v>
      </c>
      <c r="B68" s="209" t="s">
        <v>2251</v>
      </c>
      <c r="C68" s="210">
        <f ca="1">IF(C67&lt;=0,0,ROUND(C67*D68,0))</f>
        <v>334</v>
      </c>
      <c r="D68" s="211">
        <f>'数据-取费表'!B41</f>
        <v>5.6300000000000003E-2</v>
      </c>
      <c r="E68" s="212"/>
      <c r="F68" s="2490"/>
      <c r="G68" s="2490"/>
      <c r="H68" s="2498"/>
      <c r="I68" s="138"/>
      <c r="J68" s="3087"/>
      <c r="K68" s="2500" t="s">
        <v>2252</v>
      </c>
      <c r="L68" s="1750">
        <f ca="1">IF(M49&gt;10000,M49*0.5%,IF(AND(M49&gt;5000,M49&lt;=10000),M49*1%,IF(AND(M49&gt;1000,M49&lt;=5000),M49*2%,IF(AND(M49&gt;200,M49&lt;=1000),M49*3%,M49*5%))))</f>
        <v>62.31</v>
      </c>
      <c r="M68" s="24">
        <f ca="1">ROUND(L68,1)</f>
        <v>62.3</v>
      </c>
      <c r="Z68" s="2424"/>
      <c r="AI68" s="2425"/>
    </row>
    <row r="69" spans="1:35" s="2447" customFormat="1" ht="16.5" customHeight="1">
      <c r="A69" s="2501"/>
      <c r="B69" s="2502"/>
      <c r="C69" s="2503"/>
      <c r="D69" s="2504"/>
      <c r="E69" s="2505"/>
      <c r="F69" s="2167"/>
      <c r="G69" s="2167"/>
      <c r="H69" s="2166"/>
      <c r="I69" s="2419"/>
      <c r="J69" s="3087"/>
      <c r="K69" s="2500" t="s">
        <v>2253</v>
      </c>
      <c r="L69" s="2506"/>
      <c r="M69" s="24">
        <f ca="1">ROUND(SUM(M63:M68),0)</f>
        <v>169</v>
      </c>
      <c r="N69" s="1751">
        <f ca="1">M69/M49</f>
        <v>2.7122452254854757E-2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1" t="s">
        <v>2254</v>
      </c>
      <c r="B70" s="3132"/>
      <c r="C70" s="3132"/>
      <c r="D70" s="3132"/>
      <c r="E70" s="3132"/>
      <c r="F70" s="3132"/>
      <c r="G70" s="3132"/>
      <c r="H70" s="313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2" t="s">
        <v>2235</v>
      </c>
      <c r="B71" s="3123"/>
      <c r="C71" s="1801"/>
      <c r="D71" s="1801"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5934</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37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28" t="s">
        <v>2263</v>
      </c>
      <c r="F76" s="3127"/>
      <c r="G76" s="3127"/>
      <c r="H76" s="313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37</v>
      </c>
      <c r="D78" s="226">
        <f>'数据-取费表'!B43</f>
        <v>6.3000000000000009E-3</v>
      </c>
      <c r="E78" s="3119" t="s">
        <v>2268</v>
      </c>
      <c r="F78" s="3120"/>
      <c r="G78" s="3120"/>
      <c r="H78" s="312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5897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159.37837837837839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3525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1" t="s">
        <v>2272</v>
      </c>
      <c r="B83" s="3132"/>
      <c r="C83" s="3132"/>
      <c r="D83" s="3132"/>
      <c r="E83" s="3132"/>
      <c r="F83" s="3132"/>
      <c r="G83" s="3132"/>
      <c r="H83" s="313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2" t="s">
        <v>2235</v>
      </c>
      <c r="B84" s="3123"/>
      <c r="C84" s="1801"/>
      <c r="D84" s="1801"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5934</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37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797"/>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19" t="s">
        <v>2281</v>
      </c>
      <c r="F91" s="3120"/>
      <c r="G91" s="3120"/>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19" t="s">
        <v>2285</v>
      </c>
      <c r="F92" s="3120"/>
      <c r="G92" s="3120"/>
      <c r="H92" s="312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37</v>
      </c>
      <c r="D93" s="226">
        <f>'数据-取费表'!B43</f>
        <v>6.3000000000000009E-3</v>
      </c>
      <c r="E93" s="3119" t="s">
        <v>2268</v>
      </c>
      <c r="F93" s="3120"/>
      <c r="G93" s="3120"/>
      <c r="H93" s="312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67" t="s">
        <v>2289</v>
      </c>
      <c r="F94" s="3168"/>
      <c r="G94" s="3168"/>
      <c r="H94" s="316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5897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159.37837837837839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3525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71" t="s">
        <v>2291</v>
      </c>
      <c r="B100" s="3072"/>
      <c r="C100" s="3072"/>
      <c r="D100" s="3103"/>
      <c r="E100" s="3072" t="s">
        <v>2292</v>
      </c>
      <c r="F100" s="3072"/>
      <c r="G100" s="3072"/>
      <c r="H100" s="3103"/>
      <c r="I100" s="138"/>
    </row>
    <row r="101" spans="1:35" ht="18.75" customHeight="1">
      <c r="A101" s="3111" t="s">
        <v>2293</v>
      </c>
      <c r="B101" s="3112"/>
      <c r="C101" s="736" t="str">
        <f>C4</f>
        <v>典型户型修正</v>
      </c>
      <c r="D101" s="737" t="str">
        <f>D4</f>
        <v>典型户型修正</v>
      </c>
      <c r="E101" s="3083" t="s">
        <v>2294</v>
      </c>
      <c r="F101" s="3084"/>
      <c r="G101" s="2521" t="s">
        <v>2295</v>
      </c>
      <c r="H101" s="1048">
        <f ca="1">H118</f>
        <v>6231</v>
      </c>
      <c r="I101" s="138"/>
    </row>
    <row r="102" spans="1:35" ht="18.75" customHeight="1">
      <c r="A102" s="3113" t="s">
        <v>2296</v>
      </c>
      <c r="B102" s="2521" t="s">
        <v>2295</v>
      </c>
      <c r="C102" s="736">
        <f ca="1">C19</f>
        <v>6231</v>
      </c>
      <c r="D102" s="737">
        <f ca="1">D19</f>
        <v>6231</v>
      </c>
      <c r="E102" s="3083"/>
      <c r="F102" s="3084"/>
      <c r="G102" s="2521" t="s">
        <v>2297</v>
      </c>
      <c r="H102" s="371">
        <f ca="1">I118</f>
        <v>4272</v>
      </c>
      <c r="I102" s="138"/>
    </row>
    <row r="103" spans="1:35" ht="42.75" customHeight="1">
      <c r="A103" s="3113"/>
      <c r="B103" s="2521" t="s">
        <v>2297</v>
      </c>
      <c r="C103" s="738">
        <f ca="1">C20</f>
        <v>4272</v>
      </c>
      <c r="D103" s="739">
        <f ca="1">D20</f>
        <v>4272</v>
      </c>
      <c r="E103" s="3077" t="s">
        <v>2298</v>
      </c>
      <c r="F103" s="3078"/>
      <c r="G103" s="2522" t="s">
        <v>2299</v>
      </c>
      <c r="H103" s="1048">
        <f>IF(D36="正常操作",H104+H105+H106,H105+H106)</f>
        <v>0</v>
      </c>
      <c r="I103" s="138"/>
    </row>
    <row r="104" spans="1:35" ht="18.75" customHeight="1">
      <c r="A104" s="3113" t="s">
        <v>2300</v>
      </c>
      <c r="B104" s="2523" t="s">
        <v>2295</v>
      </c>
      <c r="C104" s="740">
        <f ca="1">H118</f>
        <v>6231</v>
      </c>
      <c r="D104" s="741"/>
      <c r="E104" s="2268" t="s">
        <v>2301</v>
      </c>
      <c r="F104" s="2259"/>
      <c r="G104" s="2522" t="s">
        <v>2299</v>
      </c>
      <c r="H104" s="1049">
        <f>IF(D36="同一抵押权人同一抵押物续贷",C36&amp;"（未扣减，详见特别提示）",C36)</f>
        <v>0</v>
      </c>
      <c r="I104" s="138"/>
    </row>
    <row r="105" spans="1:35" ht="18.75" customHeight="1" thickBot="1">
      <c r="A105" s="3125"/>
      <c r="B105" s="2524" t="s">
        <v>2297</v>
      </c>
      <c r="C105" s="742">
        <f ca="1">I118</f>
        <v>4272</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14" t="str">
        <f>IF(项目基本情况!E8="已注销","——","3.房地产抵押价值")</f>
        <v>3.房地产抵押价值</v>
      </c>
      <c r="F107" s="3084"/>
      <c r="G107" s="2521" t="s">
        <v>2295</v>
      </c>
      <c r="H107" s="1048">
        <f ca="1">IF(E107="——","——",H101-H103)</f>
        <v>6231</v>
      </c>
      <c r="I107" s="138"/>
    </row>
    <row r="108" spans="1:35" ht="18.75" customHeight="1">
      <c r="A108" s="138"/>
      <c r="B108" s="138"/>
      <c r="C108" s="138"/>
      <c r="D108" s="138"/>
      <c r="E108" s="3114"/>
      <c r="F108" s="3084"/>
      <c r="G108" s="2521" t="s">
        <v>2297</v>
      </c>
      <c r="H108" s="371">
        <f ca="1">ROUND(H107*10000/'数据-汇总表'!E3,0)</f>
        <v>4272</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21" t="s">
        <v>2295</v>
      </c>
      <c r="H109" s="348" t="str">
        <f>IF(E109="——","——",H101-H105-H106)</f>
        <v>——</v>
      </c>
      <c r="I109" s="138"/>
    </row>
    <row r="110" spans="1:35" ht="18.75" customHeight="1">
      <c r="A110" s="138"/>
      <c r="B110" s="138"/>
      <c r="C110" s="138"/>
      <c r="D110" s="138"/>
      <c r="E110" s="3114"/>
      <c r="F110" s="3084"/>
      <c r="G110" s="2521" t="s">
        <v>2297</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21" t="s">
        <v>2295</v>
      </c>
      <c r="H111" s="1048" t="str">
        <f>IF(E111="——","——",N59)</f>
        <v>——</v>
      </c>
      <c r="I111" s="138"/>
    </row>
    <row r="112" spans="1:35" ht="18.75" customHeight="1" thickBot="1">
      <c r="A112" s="138"/>
      <c r="B112" s="138"/>
      <c r="C112" s="138"/>
      <c r="D112" s="138"/>
      <c r="E112" s="3117"/>
      <c r="F112" s="3118"/>
      <c r="G112" s="2526" t="s">
        <v>2297</v>
      </c>
      <c r="H112" s="790" t="str">
        <f>IF(E111="——","——",N61)</f>
        <v>——</v>
      </c>
      <c r="I112" s="138"/>
    </row>
    <row r="113" spans="1:11" ht="18.75" customHeight="1">
      <c r="A113" s="138"/>
      <c r="B113" s="138"/>
      <c r="C113" s="138"/>
      <c r="D113" s="138"/>
      <c r="E113" s="3126" t="s">
        <v>2303</v>
      </c>
      <c r="F113" s="3126"/>
      <c r="G113" s="3126"/>
      <c r="H113" s="3126"/>
      <c r="I113" s="138"/>
    </row>
    <row r="114" spans="1:11" ht="3.75" customHeight="1">
      <c r="A114" s="2419"/>
      <c r="B114" s="2419"/>
      <c r="C114" s="2419"/>
      <c r="D114" s="2419"/>
      <c r="E114" s="2497"/>
      <c r="F114" s="2497"/>
      <c r="G114" s="2497"/>
      <c r="H114" s="2497"/>
      <c r="I114" s="2419"/>
    </row>
    <row r="115" spans="1:11" ht="18.75" customHeight="1">
      <c r="A115" s="3139" t="s">
        <v>2305</v>
      </c>
      <c r="B115" s="3140"/>
      <c r="C115" s="3140"/>
      <c r="D115" s="3140"/>
      <c r="E115" s="3140"/>
      <c r="F115" s="3140"/>
      <c r="G115" s="3140"/>
      <c r="H115" s="3140"/>
      <c r="I115" s="3141"/>
    </row>
    <row r="116" spans="1:11" ht="27" customHeight="1">
      <c r="A116" s="3050" t="s">
        <v>2306</v>
      </c>
      <c r="B116" s="3093" t="s">
        <v>2307</v>
      </c>
      <c r="C116" s="3093" t="s">
        <v>2308</v>
      </c>
      <c r="D116" s="3099" t="s">
        <v>2309</v>
      </c>
      <c r="E116" s="3100"/>
      <c r="F116" s="3135" t="s">
        <v>2310</v>
      </c>
      <c r="G116" s="3135"/>
      <c r="H116" s="3050" t="s">
        <v>2311</v>
      </c>
      <c r="I116" s="3050"/>
    </row>
    <row r="117" spans="1:11" ht="18.75" customHeight="1">
      <c r="A117" s="3050"/>
      <c r="B117" s="3094"/>
      <c r="C117" s="3094"/>
      <c r="D117" s="1795" t="s">
        <v>2312</v>
      </c>
      <c r="E117" s="1795" t="s">
        <v>2313</v>
      </c>
      <c r="F117" s="1795" t="s">
        <v>2312</v>
      </c>
      <c r="G117" s="1795" t="s">
        <v>2314</v>
      </c>
      <c r="H117" s="1795" t="s">
        <v>2312</v>
      </c>
      <c r="I117" s="1795" t="s">
        <v>2314</v>
      </c>
    </row>
    <row r="118" spans="1:11" ht="24.75" customHeight="1">
      <c r="A118" s="2527" t="str">
        <f>项目基本情况!S2</f>
        <v>房地产</v>
      </c>
      <c r="B118" s="1795">
        <f>M18</f>
        <v>14583.989999999998</v>
      </c>
      <c r="C118" s="1795">
        <f>M19</f>
        <v>0</v>
      </c>
      <c r="D118" s="1795">
        <f ca="1">ROUND(IF(D32="总价",C34,E118*B118/10000),0)</f>
        <v>3894</v>
      </c>
      <c r="E118" s="1795">
        <f ca="1">ROUND(IF(C33="自定义",IF(D32="楼面单价",C34,D118*10000/B118),I118-G118),0)</f>
        <v>2670</v>
      </c>
      <c r="F118" s="1795">
        <f ca="1">ROUND(IF(D32="总价",C35,G118*B118/10000),0)</f>
        <v>2337</v>
      </c>
      <c r="G118" s="1795">
        <f ca="1">ROUND(IF(D32="楼面单价",C35,F118*10000/B118),0)</f>
        <v>1602</v>
      </c>
      <c r="H118" s="1795">
        <f ca="1">ROUND(IF(D32="总价",C32,I118*B118/10000),0)</f>
        <v>6231</v>
      </c>
      <c r="I118" s="1795">
        <f ca="1">ROUND(IF(D32="楼面单价",C32,H118*10000/B118),0)</f>
        <v>4272</v>
      </c>
    </row>
    <row r="119" spans="1:11" ht="18.75" customHeight="1">
      <c r="A119" s="3050" t="s">
        <v>2315</v>
      </c>
      <c r="B119" s="3050"/>
      <c r="C119" s="3050"/>
      <c r="D119" s="3095" t="str">
        <f ca="1">NUMBERSTRING(INT(D118*10000),2)&amp;"元整"</f>
        <v>叁仟捌佰玖拾肆万元整</v>
      </c>
      <c r="E119" s="3096"/>
      <c r="F119" s="3095" t="str">
        <f ca="1">NUMBERSTRING(INT(F118*10000),2)&amp;"元整"</f>
        <v>贰仟叁佰叁拾柒万元整</v>
      </c>
      <c r="G119" s="3096"/>
      <c r="H119" s="3095" t="str">
        <f ca="1">NUMBERSTRING(INT(H118*10000),2)&amp;"元整"</f>
        <v>陆仟贰佰叁拾壹万元整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4" t="str">
        <f>IF(D120=0,"故，本次评估不存在"&amp;A120,"故，本次评估"&amp;A120&amp;"为人民币"&amp;D120&amp;"万元整。")</f>
        <v>故，本次评估不存在估价师知悉的法定优先受偿款</v>
      </c>
    </row>
    <row r="121" spans="1:11" ht="18.75" customHeight="1">
      <c r="A121" s="3136" t="s">
        <v>2315</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6231</v>
      </c>
      <c r="E122" s="3091"/>
      <c r="F122" s="3091"/>
      <c r="G122" s="3091"/>
      <c r="H122" s="3091"/>
      <c r="I122" s="3092"/>
    </row>
    <row r="123" spans="1:11" ht="18.75" customHeight="1">
      <c r="A123" s="3050" t="s">
        <v>2315</v>
      </c>
      <c r="B123" s="3050"/>
      <c r="C123" s="3050"/>
      <c r="D123" s="3095" t="str">
        <f ca="1">NUMBERSTRING(INT(D122*10000),2)&amp;"元整"</f>
        <v>陆仟贰佰叁拾壹万元整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2315</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2315</v>
      </c>
      <c r="B127" s="3050"/>
      <c r="C127" s="3050"/>
      <c r="D127" s="3095" t="e">
        <f>NUMBERSTRING(INT(D126*10000),2)&amp;"元整"</f>
        <v>#VALUE!</v>
      </c>
      <c r="E127" s="3097"/>
      <c r="F127" s="3097"/>
      <c r="G127" s="3097"/>
      <c r="H127" s="3097"/>
      <c r="I127" s="3096"/>
    </row>
    <row r="128" spans="1:11" ht="21.75" customHeight="1">
      <c r="A128" s="3098" t="s">
        <v>2316</v>
      </c>
      <c r="B128" s="3098"/>
      <c r="C128" s="3098"/>
      <c r="D128" s="3098"/>
      <c r="E128" s="3098"/>
      <c r="F128" s="3098"/>
      <c r="G128" s="3098"/>
      <c r="H128" s="3098"/>
      <c r="I128" s="309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0">
        <f>MATCH(B1,'数据-取费表'!A6:A16,0)+5</f>
        <v>8</v>
      </c>
    </row>
    <row r="2" spans="1:9" s="244" customFormat="1" ht="18" customHeight="1">
      <c r="A2" s="245" t="s">
        <v>2325</v>
      </c>
      <c r="B2" s="246">
        <f ca="1">IF(D2="——",C52,C52-E2)</f>
        <v>2544</v>
      </c>
      <c r="C2" s="243" t="s">
        <v>2326</v>
      </c>
      <c r="D2" s="2550" t="s">
        <v>70</v>
      </c>
      <c r="E2" s="1441"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1744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1"/>
      <c r="I9" s="2555" t="s">
        <v>2342</v>
      </c>
    </row>
    <row r="10" spans="1:9" s="258" customFormat="1" ht="13.5" customHeight="1">
      <c r="A10" s="953" t="s">
        <v>801</v>
      </c>
      <c r="B10" s="268" t="s">
        <v>2343</v>
      </c>
      <c r="C10" s="269">
        <f ca="1">ROUND(D10*E10/10000,0)</f>
        <v>219</v>
      </c>
      <c r="D10" s="1035">
        <f ca="1">IF(B1="",'数据-汇总表'!E6,IF(INDIRECT("'数据-取费表'!c"&amp;$G$1)="住宅",INDIRECT("'数据-取费表'!s"&amp;$G$1),INDIRECT("'数据-取费表'!k"&amp;$G$1)+INDIRECT("'数据-取费表'!s"&amp;$G$1)))</f>
        <v>14583.989999999998</v>
      </c>
      <c r="E10" s="269">
        <f>'数据-取费表'!B28</f>
        <v>150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14583.989999999998</v>
      </c>
      <c r="E19" s="255">
        <f>'数据-取费表'!B31</f>
        <v>200</v>
      </c>
      <c r="F19" s="275"/>
      <c r="G19" s="2553" t="s">
        <v>3110</v>
      </c>
    </row>
    <row r="20" spans="1:7" s="258" customFormat="1" ht="13.5" customHeight="1">
      <c r="A20" s="299" t="s">
        <v>2356</v>
      </c>
      <c r="B20" s="254" t="s">
        <v>2357</v>
      </c>
      <c r="C20" s="276">
        <f>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0</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6">
        <f ca="1">ROUND(IF('数据-取费表'!B22&lt;=1,C5*F22*'数据-取费表'!B23,C5*(POWER((1+F22),'数据-取费表'!B23)-1)),0)</f>
        <v>0</v>
      </c>
      <c r="D23" s="282"/>
      <c r="E23" s="282"/>
      <c r="F23" s="283"/>
      <c r="G23" s="284" t="s">
        <v>2367</v>
      </c>
    </row>
    <row r="24" spans="1:7" s="258" customFormat="1" ht="13.5" customHeight="1">
      <c r="A24" s="954"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6">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0</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0</v>
      </c>
      <c r="D28" s="279"/>
      <c r="E28" s="280"/>
      <c r="F28" s="290"/>
      <c r="G28" s="291"/>
    </row>
    <row r="29" spans="1:7" s="258" customFormat="1" ht="13.5" customHeight="1">
      <c r="A29" s="954"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2777</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2333</v>
      </c>
      <c r="D34" s="261"/>
      <c r="E34" s="264"/>
      <c r="F34" s="301">
        <f ca="1">IF('数据-取费表'!B24=0,1,IF(B1="",'数据-取费表'!N16,INDIRECT("'数据-取费表'!n"&amp;$G$1)))</f>
        <v>1</v>
      </c>
      <c r="G34" s="263" t="s">
        <v>2389</v>
      </c>
    </row>
    <row r="35" spans="1:7" ht="13.5" customHeight="1">
      <c r="A35" s="954" t="s">
        <v>796</v>
      </c>
      <c r="B35" s="259" t="s">
        <v>2390</v>
      </c>
      <c r="C35" s="264">
        <f ca="1">ROUND(C34*F35,0)</f>
        <v>117</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292</v>
      </c>
      <c r="D37" s="261">
        <f ca="1">D19</f>
        <v>14583.989999999998</v>
      </c>
      <c r="E37" s="293">
        <f>'数据-取费表'!B35</f>
        <v>200</v>
      </c>
      <c r="F37" s="303"/>
      <c r="G37" s="305" t="s">
        <v>2395</v>
      </c>
    </row>
    <row r="38" spans="1:7" ht="13.5" customHeight="1">
      <c r="A38" s="954" t="s">
        <v>799</v>
      </c>
      <c r="B38" s="259" t="s">
        <v>2396</v>
      </c>
      <c r="C38" s="264">
        <f ca="1">ROUND(C34*F38,0)</f>
        <v>35</v>
      </c>
      <c r="D38" s="264"/>
      <c r="E38" s="264"/>
      <c r="F38" s="303">
        <f>'数据-取费表'!B36</f>
        <v>1.4999999999999999E-2</v>
      </c>
      <c r="G38" s="263" t="s">
        <v>2391</v>
      </c>
    </row>
    <row r="39" spans="1:7" s="258" customFormat="1" ht="13.5" customHeight="1">
      <c r="A39" s="299" t="s">
        <v>2397</v>
      </c>
      <c r="B39" s="254" t="s">
        <v>2398</v>
      </c>
      <c r="C39" s="276">
        <f ca="1">ROUND(C33*F20,0)</f>
        <v>56</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60</v>
      </c>
      <c r="D42" s="282"/>
      <c r="E42" s="282"/>
      <c r="F42" s="283"/>
      <c r="G42" s="3170" t="s">
        <v>2407</v>
      </c>
    </row>
    <row r="43" spans="1:7" ht="13.5" customHeight="1">
      <c r="A43" s="954" t="s">
        <v>792</v>
      </c>
      <c r="B43" s="259" t="s">
        <v>2408</v>
      </c>
      <c r="C43" s="282">
        <f ca="1">ROUND(IF('数据-取费表'!B22&lt;=1,C39*F22*'数据-取费表'!B21/2,C39*(POWER((1+F22),'数据-取费表'!B21/2)-1)),0)</f>
        <v>1</v>
      </c>
      <c r="D43" s="282"/>
      <c r="E43" s="282"/>
      <c r="F43" s="283"/>
      <c r="G43" s="3171"/>
    </row>
    <row r="44" spans="1:7" ht="13.5" customHeight="1">
      <c r="A44" s="954" t="s">
        <v>793</v>
      </c>
      <c r="B44" s="259" t="s">
        <v>2409</v>
      </c>
      <c r="C44" s="282">
        <f ca="1">ROUND(IF('数据-取费表'!B22&lt;=1,C40*F22*'数据-取费表'!B21/2,C40*(POWER((1+F22),'数据-取费表'!B21/2)-1)),4)</f>
        <v>4.0000000000000002E-4</v>
      </c>
      <c r="D44" s="282"/>
      <c r="E44" s="282"/>
      <c r="F44" s="283"/>
      <c r="G44" s="3172"/>
    </row>
    <row r="45" spans="1:7" s="258" customFormat="1" ht="13.5" customHeight="1">
      <c r="A45" s="299" t="s">
        <v>2410</v>
      </c>
      <c r="B45" s="288" t="s">
        <v>2376</v>
      </c>
      <c r="C45" s="289">
        <f ca="1">C46</f>
        <v>283</v>
      </c>
      <c r="D45" s="279">
        <f ca="1">C47</f>
        <v>2E-3</v>
      </c>
      <c r="E45" s="280" t="s">
        <v>2402</v>
      </c>
      <c r="F45" s="290"/>
      <c r="G45" s="291" t="s">
        <v>2411</v>
      </c>
    </row>
    <row r="46" spans="1:7" s="258" customFormat="1" ht="13.5" customHeight="1">
      <c r="A46" s="954" t="s">
        <v>791</v>
      </c>
      <c r="B46" s="292" t="s">
        <v>2412</v>
      </c>
      <c r="C46" s="293">
        <f ca="1">ROUND((C33+C39)*F27,0)</f>
        <v>283</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1729">
        <f>ROUND(F30/(1+'数据-取费表'!C42),4)</f>
        <v>5.3600000000000002E-2</v>
      </c>
      <c r="D48" s="280" t="s">
        <v>2402</v>
      </c>
      <c r="E48" s="276"/>
      <c r="F48" s="281"/>
      <c r="G48" s="278" t="s">
        <v>2415</v>
      </c>
    </row>
    <row r="49" spans="1:7" ht="16.5" customHeight="1">
      <c r="A49" s="299" t="s">
        <v>2381</v>
      </c>
      <c r="B49" s="254" t="s">
        <v>2416</v>
      </c>
      <c r="C49" s="276">
        <f ca="1">ROUND((C33+C39+C41+C45)/(1-C40-D41-D45-C48),0)</f>
        <v>3438</v>
      </c>
      <c r="D49" s="276"/>
      <c r="E49" s="276"/>
      <c r="F49" s="308"/>
      <c r="G49" s="278" t="s">
        <v>2417</v>
      </c>
    </row>
    <row r="50" spans="1:7" s="302" customFormat="1" ht="24">
      <c r="A50" s="299" t="s">
        <v>2418</v>
      </c>
      <c r="B50" s="254" t="s">
        <v>2419</v>
      </c>
      <c r="C50" s="276"/>
      <c r="D50" s="276"/>
      <c r="E50" s="276"/>
      <c r="F50" s="308">
        <f>IF('数据-取费表'!B24=0,'数据-取费表'!N16,1)</f>
        <v>0.74</v>
      </c>
      <c r="G50" s="291" t="s">
        <v>2420</v>
      </c>
    </row>
    <row r="51" spans="1:7" ht="16.5" customHeight="1">
      <c r="A51" s="299" t="s">
        <v>2421</v>
      </c>
      <c r="B51" s="254" t="s">
        <v>2422</v>
      </c>
      <c r="C51" s="276">
        <f ca="1">ROUND(C49*F50,0)</f>
        <v>2544</v>
      </c>
      <c r="D51" s="276"/>
      <c r="E51" s="276"/>
      <c r="F51" s="308"/>
      <c r="G51" s="278" t="s">
        <v>2423</v>
      </c>
    </row>
    <row r="52" spans="1:7" s="252" customFormat="1" ht="16.5" thickBot="1">
      <c r="A52" s="309" t="s">
        <v>2424</v>
      </c>
      <c r="B52" s="310"/>
      <c r="C52" s="311">
        <f ca="1">C31+C51</f>
        <v>2544</v>
      </c>
      <c r="D52" s="310"/>
      <c r="E52" s="310"/>
      <c r="F52" s="310"/>
      <c r="G52" s="312"/>
    </row>
    <row r="55" spans="1:7" ht="15">
      <c r="B55" s="314" t="s">
        <v>2425</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4" t="str">
        <f>项目基本情况!B1</f>
        <v>房地产抵押价值预评估</v>
      </c>
      <c r="C37" s="2984"/>
      <c r="D37" s="2984"/>
      <c r="E37" s="2984"/>
      <c r="F37" s="2984"/>
      <c r="G37" s="2984"/>
      <c r="H37" s="2984"/>
      <c r="I37" s="2984"/>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6" t="s">
        <v>2426</v>
      </c>
      <c r="D1" s="242"/>
      <c r="E1" s="242"/>
      <c r="F1" s="242"/>
      <c r="G1" s="1380">
        <f>MATCH(B1,'数据-取费表'!A6:A16,0)+5</f>
        <v>8</v>
      </c>
      <c r="H1" s="1283" t="str">
        <f>IF(ISERROR(FIND("住宅",B1)),"非住宅","住宅")</f>
        <v>非住宅</v>
      </c>
    </row>
    <row r="2" spans="1:8" s="244" customFormat="1" ht="18" customHeight="1">
      <c r="A2" s="245" t="s">
        <v>2325</v>
      </c>
      <c r="B2" s="246">
        <f ca="1">ROUND(IF(D2="——",C52/10000,C52/10000-E2),0)</f>
        <v>3189</v>
      </c>
      <c r="C2" s="243" t="s">
        <v>2326</v>
      </c>
      <c r="D2" s="2550" t="s">
        <v>70</v>
      </c>
      <c r="E2" s="1441"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2187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2187599</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2187599</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2187599</v>
      </c>
      <c r="D10" s="1035">
        <f ca="1">IF(B1="",'数据-汇总表'!E6,IF(INDIRECT("'数据-取费表'!c"&amp;$G$1)="住宅",INDIRECT("'数据-取费表'!s"&amp;$G$1),INDIRECT("'数据-取费表'!k"&amp;$G$1)+INDIRECT("'数据-取费表'!s"&amp;$G$1)))</f>
        <v>14583.989999999998</v>
      </c>
      <c r="E10" s="269">
        <f>'数据-取费表'!B28</f>
        <v>150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2916798</v>
      </c>
      <c r="D19" s="1039">
        <f ca="1">D9+D10</f>
        <v>14583.989999999998</v>
      </c>
      <c r="E19" s="255">
        <f>'数据-取费表'!B31</f>
        <v>200</v>
      </c>
      <c r="F19" s="275"/>
      <c r="G19" s="2553"/>
    </row>
    <row r="20" spans="1:7" s="258" customFormat="1" ht="13.5" customHeight="1">
      <c r="A20" s="299" t="s">
        <v>2437</v>
      </c>
      <c r="B20" s="254" t="s">
        <v>2438</v>
      </c>
      <c r="C20" s="276">
        <f ca="1">ROUND((C5+C19)*F20,0)</f>
        <v>102088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224262</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2">
        <f ca="1">ROUND(IF('数据-取费表'!B22&lt;=1,C5*F22*'数据-取费表'!B22,C5*(POWER((1+F22),'数据-取费表'!B22)-1)),0)</f>
        <v>95161</v>
      </c>
      <c r="D23" s="282"/>
      <c r="E23" s="282"/>
      <c r="F23" s="283"/>
      <c r="G23" s="284" t="s">
        <v>2447</v>
      </c>
    </row>
    <row r="24" spans="1:7" s="258" customFormat="1" ht="13.5" customHeight="1">
      <c r="A24" s="954" t="s">
        <v>2337</v>
      </c>
      <c r="B24" s="259" t="s">
        <v>2448</v>
      </c>
      <c r="C24" s="1382">
        <f ca="1">ROUND(IF('数据-取费表'!B22&lt;=1,C19*F22*('数据-取费表'!B19/2+'数据-取费表'!B20),C19*(POWER((1+F22),('数据-取费表'!B19/2+'数据-取费表'!B20))-1)),0)</f>
        <v>126881</v>
      </c>
      <c r="D24" s="282"/>
      <c r="E24" s="282"/>
      <c r="F24" s="283"/>
      <c r="G24" s="284" t="s">
        <v>2449</v>
      </c>
    </row>
    <row r="25" spans="1:7" s="258" customFormat="1" ht="24">
      <c r="A25" s="954" t="s">
        <v>2339</v>
      </c>
      <c r="B25" s="259" t="s">
        <v>2450</v>
      </c>
      <c r="C25" s="1382">
        <f ca="1">ROUND(IF('数据-取费表'!B22&lt;=1,C20*F22*'数据-取费表'!B22/2,C20*(POWER((1+F22),'数据-取费表'!B22/2)-1)),0)</f>
        <v>2220</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520649</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ROUND((C5+C19+C20)*F27,0)</f>
        <v>520649</v>
      </c>
      <c r="D28" s="279"/>
      <c r="E28" s="280"/>
      <c r="F28" s="290"/>
      <c r="G28" s="291"/>
    </row>
    <row r="29" spans="1:7" s="258" customFormat="1" ht="13.5" customHeight="1">
      <c r="A29" s="954" t="s">
        <v>792</v>
      </c>
      <c r="B29" s="292" t="s">
        <v>2380</v>
      </c>
      <c r="C29" s="282">
        <f ca="1">ROUND(C21*F27,4)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6440905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27767917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23334384</v>
      </c>
      <c r="D34" s="261"/>
      <c r="E34" s="264"/>
      <c r="F34" s="301"/>
      <c r="G34" s="263"/>
    </row>
    <row r="35" spans="1:7" ht="13.5" customHeight="1">
      <c r="A35" s="954" t="s">
        <v>796</v>
      </c>
      <c r="B35" s="259" t="s">
        <v>2390</v>
      </c>
      <c r="C35" s="264">
        <f ca="1">ROUND(C34*F35,0)</f>
        <v>1166719</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2916798</v>
      </c>
      <c r="D37" s="261">
        <f ca="1">D19</f>
        <v>14583.989999999998</v>
      </c>
      <c r="E37" s="293">
        <f>'数据-取费表'!B35</f>
        <v>200</v>
      </c>
      <c r="F37" s="303"/>
      <c r="G37" s="305"/>
    </row>
    <row r="38" spans="1:7" ht="13.5" customHeight="1">
      <c r="A38" s="954" t="s">
        <v>799</v>
      </c>
      <c r="B38" s="259" t="s">
        <v>2396</v>
      </c>
      <c r="C38" s="264">
        <f ca="1">ROUND(C34*F38,0)</f>
        <v>350016</v>
      </c>
      <c r="D38" s="264"/>
      <c r="E38" s="264"/>
      <c r="F38" s="303">
        <f>'数据-取费表'!B36</f>
        <v>1.4999999999999999E-2</v>
      </c>
      <c r="G38" s="263" t="s">
        <v>2391</v>
      </c>
    </row>
    <row r="39" spans="1:7" s="258" customFormat="1" ht="13.5" customHeight="1">
      <c r="A39" s="299" t="s">
        <v>2397</v>
      </c>
      <c r="B39" s="254" t="s">
        <v>2398</v>
      </c>
      <c r="C39" s="276">
        <f ca="1">ROUND(C33*F20,0)</f>
        <v>555358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616031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603952</v>
      </c>
      <c r="D42" s="282"/>
      <c r="E42" s="282"/>
      <c r="F42" s="283"/>
      <c r="G42" s="3170" t="s">
        <v>2454</v>
      </c>
    </row>
    <row r="43" spans="1:7" ht="13.5" customHeight="1">
      <c r="A43" s="954" t="s">
        <v>792</v>
      </c>
      <c r="B43" s="259" t="s">
        <v>2408</v>
      </c>
      <c r="C43" s="282">
        <f ca="1">ROUND(IF('数据-取费表'!B22&lt;=1,C39*F22*'数据-取费表'!B20/2,C39*(POWER((1+F22),'数据-取费表'!B20/2)-1)),0)</f>
        <v>12079</v>
      </c>
      <c r="D43" s="282"/>
      <c r="E43" s="282"/>
      <c r="F43" s="283"/>
      <c r="G43" s="3171"/>
    </row>
    <row r="44" spans="1:7" ht="13.5" customHeight="1">
      <c r="A44" s="954" t="s">
        <v>793</v>
      </c>
      <c r="B44" s="259" t="s">
        <v>2409</v>
      </c>
      <c r="C44" s="282">
        <f ca="1">ROUND(IF('数据-取费表'!B22&lt;=1,C40*F22*'数据-取费表'!B20/2,C40*(POWER((1+F22),'数据-取费表'!B20/2)-1)),4)</f>
        <v>4.0000000000000002E-4</v>
      </c>
      <c r="D44" s="282"/>
      <c r="E44" s="282"/>
      <c r="F44" s="283"/>
      <c r="G44" s="3172"/>
    </row>
    <row r="45" spans="1:7" s="258" customFormat="1" ht="13.5" customHeight="1">
      <c r="A45" s="299" t="s">
        <v>2410</v>
      </c>
      <c r="B45" s="288" t="s">
        <v>2376</v>
      </c>
      <c r="C45" s="289">
        <f ca="1">C46</f>
        <v>2832328</v>
      </c>
      <c r="D45" s="279">
        <f ca="1">C47</f>
        <v>2E-3</v>
      </c>
      <c r="E45" s="280" t="s">
        <v>2402</v>
      </c>
      <c r="F45" s="290"/>
      <c r="G45" s="291" t="s">
        <v>2411</v>
      </c>
    </row>
    <row r="46" spans="1:7" s="258" customFormat="1" ht="13.5" customHeight="1">
      <c r="A46" s="954" t="s">
        <v>791</v>
      </c>
      <c r="B46" s="292" t="s">
        <v>2412</v>
      </c>
      <c r="C46" s="293">
        <f ca="1">ROUND((C33+C39)*F27,0)</f>
        <v>2832328</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306">
        <f>ROUND(F30/(1+'数据-取费表'!C42),4)</f>
        <v>5.3600000000000002E-2</v>
      </c>
      <c r="D48" s="280" t="s">
        <v>2402</v>
      </c>
      <c r="E48" s="276"/>
      <c r="F48" s="281"/>
      <c r="G48" s="278" t="s">
        <v>2415</v>
      </c>
    </row>
    <row r="49" spans="1:7" ht="16.5" customHeight="1">
      <c r="A49" s="299" t="s">
        <v>2381</v>
      </c>
      <c r="B49" s="254" t="s">
        <v>2455</v>
      </c>
      <c r="C49" s="276">
        <f ca="1">ROUND((C33+C39+C41+C45)/(1-C40-D41-D45-C48),0)</f>
        <v>34384885</v>
      </c>
      <c r="D49" s="276"/>
      <c r="E49" s="276"/>
      <c r="F49" s="308"/>
      <c r="G49" s="278" t="s">
        <v>2417</v>
      </c>
    </row>
    <row r="50" spans="1:7" s="302" customFormat="1">
      <c r="A50" s="299" t="s">
        <v>2418</v>
      </c>
      <c r="B50" s="254" t="s">
        <v>2419</v>
      </c>
      <c r="C50" s="276"/>
      <c r="D50" s="276"/>
      <c r="E50" s="276"/>
      <c r="F50" s="308">
        <f>IF('数据-取费表'!B24=0,'数据-取费表'!N16,1)</f>
        <v>0.74</v>
      </c>
      <c r="G50" s="291"/>
    </row>
    <row r="51" spans="1:7" ht="16.5" customHeight="1">
      <c r="A51" s="299" t="s">
        <v>2421</v>
      </c>
      <c r="B51" s="254" t="s">
        <v>2456</v>
      </c>
      <c r="C51" s="276">
        <f ca="1">ROUND(C49*F50,0)</f>
        <v>25444815</v>
      </c>
      <c r="D51" s="276"/>
      <c r="E51" s="276"/>
      <c r="F51" s="308"/>
      <c r="G51" s="278" t="s">
        <v>2423</v>
      </c>
    </row>
    <row r="52" spans="1:7" s="252" customFormat="1" ht="16.5" thickBot="1">
      <c r="A52" s="309" t="s">
        <v>2424</v>
      </c>
      <c r="B52" s="310"/>
      <c r="C52" s="311">
        <f ca="1">C31+C51</f>
        <v>31885720</v>
      </c>
      <c r="D52" s="310"/>
      <c r="E52" s="310"/>
      <c r="F52" s="310"/>
      <c r="G52" s="312"/>
    </row>
    <row r="55" spans="1:7" ht="15">
      <c r="B55" s="314" t="s">
        <v>2425</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2"/>
      <c r="C1" s="1583"/>
      <c r="D1" s="1581"/>
      <c r="E1" s="320"/>
      <c r="F1" s="320"/>
      <c r="G1" s="1582"/>
      <c r="H1" s="320"/>
      <c r="I1" s="320"/>
      <c r="J1" s="320"/>
      <c r="K1" s="320">
        <f>MATCH(C1,'数据-取费表'!A6:A16,0)+5</f>
        <v>8</v>
      </c>
    </row>
    <row r="2" spans="1:33" ht="18" customHeight="1">
      <c r="A2" s="245" t="s">
        <v>2325</v>
      </c>
      <c r="B2" s="248">
        <f ca="1">C32</f>
        <v>-238</v>
      </c>
      <c r="C2" s="320" t="s">
        <v>2458</v>
      </c>
      <c r="D2" s="320"/>
      <c r="E2" s="320"/>
      <c r="F2" s="320"/>
      <c r="G2" s="320"/>
      <c r="H2" s="320"/>
      <c r="I2" s="320"/>
      <c r="J2" s="320"/>
      <c r="K2" s="320"/>
    </row>
    <row r="3" spans="1:33" ht="18" customHeight="1" thickBot="1">
      <c r="A3" s="247" t="s">
        <v>2327</v>
      </c>
      <c r="B3" s="248">
        <f ca="1">ROUND(B2*10000/IF(C1="",'数据-汇总表'!E3,INDIRECT("'数据-取费表'!K"&amp;$K$1)),0)</f>
        <v>-163</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14583.989999999998</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14583.989999999998</v>
      </c>
      <c r="E17" s="24">
        <f>'数据-取费表'!B32</f>
        <v>0</v>
      </c>
      <c r="F17" s="981"/>
      <c r="G17" s="140" t="s">
        <v>2489</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219</v>
      </c>
      <c r="D18" s="1036"/>
      <c r="E18" s="24"/>
      <c r="F18" s="979"/>
      <c r="G18" s="2559"/>
      <c r="H18" s="1578"/>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2493</v>
      </c>
      <c r="C20" s="24">
        <f ca="1">ROUND(D20*E20/10000,0)</f>
        <v>219</v>
      </c>
      <c r="D20" s="1036">
        <f ca="1">IF(C1="",'数据-汇总表'!E6,IF(INDIRECT("'数据-取费表'!c"&amp;$K$1)="住宅",INDIRECT("'数据-取费表'!s"&amp;$K$1),INDIRECT("'数据-取费表'!k"&amp;$K$1)+INDIRECT("'数据-取费表'!s"&amp;$K$1)))</f>
        <v>14583.989999999998</v>
      </c>
      <c r="E20" s="24">
        <f>'数据-取费表'!B28</f>
        <v>150</v>
      </c>
      <c r="F20" s="979"/>
      <c r="G20" s="15"/>
      <c r="H20" s="984"/>
      <c r="I20" s="984"/>
      <c r="J20" s="984"/>
      <c r="K20" s="985"/>
    </row>
    <row r="21" spans="1:33" s="978" customFormat="1" ht="13.5" customHeight="1">
      <c r="A21" s="964" t="s">
        <v>802</v>
      </c>
      <c r="B21" s="988" t="s">
        <v>2494</v>
      </c>
      <c r="C21" s="989">
        <f ca="1">C16+C17+C18</f>
        <v>219</v>
      </c>
      <c r="D21" s="990"/>
      <c r="E21" s="325"/>
      <c r="F21" s="325"/>
      <c r="G21" s="140" t="s">
        <v>2495</v>
      </c>
      <c r="H21" s="982"/>
      <c r="I21" s="982"/>
      <c r="J21" s="982"/>
      <c r="K21" s="983"/>
    </row>
    <row r="22" spans="1:33" s="978" customFormat="1" ht="13.5" customHeight="1">
      <c r="A22" s="964" t="s">
        <v>2467</v>
      </c>
      <c r="B22" s="988" t="s">
        <v>2496</v>
      </c>
      <c r="C22" s="989">
        <f ca="1">ROUND(C21*F22,0)</f>
        <v>4</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2507</v>
      </c>
      <c r="B28" s="2562" t="s">
        <v>2508</v>
      </c>
      <c r="C28" s="331">
        <f ca="1">C30</f>
        <v>22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22</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5.6300000000000003E-2</v>
      </c>
      <c r="G31" s="1013" t="s">
        <v>2514</v>
      </c>
      <c r="H31" s="1014"/>
      <c r="I31" s="1014"/>
      <c r="J31" s="1014"/>
      <c r="K31" s="1015"/>
    </row>
    <row r="32" spans="1:33" s="973" customFormat="1" ht="13.5" customHeight="1" thickBot="1">
      <c r="A32" s="1003" t="s">
        <v>2515</v>
      </c>
      <c r="B32" s="1004"/>
      <c r="C32" s="1005">
        <f ca="1">ROUND((C4-C21-C22-C23-C25-C28-C31)/(1+C24+D25+D28),0)</f>
        <v>-238</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t="s">
        <v>3117</v>
      </c>
      <c r="D1" s="2419"/>
      <c r="E1" s="2419"/>
      <c r="F1" s="2421" t="s">
        <v>2117</v>
      </c>
      <c r="G1" s="2071" t="s">
        <v>3090</v>
      </c>
      <c r="H1" s="2422" t="str">
        <f>IF(G1="现房","——","估价对象范围")</f>
        <v>——</v>
      </c>
      <c r="I1" s="2423"/>
    </row>
    <row r="2" spans="1:12" ht="21.75" customHeight="1" thickBot="1">
      <c r="A2" s="3149" t="str">
        <f>项目基本情况!S2</f>
        <v>房地产</v>
      </c>
      <c r="B2" s="3150"/>
      <c r="C2" s="3150"/>
      <c r="D2" s="3150"/>
      <c r="E2" s="3150"/>
      <c r="F2" s="3150"/>
      <c r="G2" s="3150"/>
      <c r="H2" s="3150"/>
      <c r="I2" s="3151"/>
    </row>
    <row r="3" spans="1:12" ht="12.75">
      <c r="A3" s="3152" t="s">
        <v>2118</v>
      </c>
      <c r="B3" s="3153"/>
      <c r="C3" s="3153"/>
      <c r="D3" s="3153"/>
      <c r="E3" s="3153"/>
      <c r="F3" s="3153"/>
      <c r="G3" s="3153"/>
      <c r="H3" s="3153"/>
      <c r="I3" s="3153"/>
    </row>
    <row r="4" spans="1:12" ht="14.25">
      <c r="A4" s="2426" t="s">
        <v>2119</v>
      </c>
      <c r="B4" s="2427" t="s">
        <v>2120</v>
      </c>
      <c r="C4" s="2428" t="s">
        <v>3053</v>
      </c>
      <c r="D4" s="2428" t="s">
        <v>3091</v>
      </c>
      <c r="E4" s="3133" t="s">
        <v>2121</v>
      </c>
      <c r="F4" s="3146"/>
      <c r="G4" s="3146"/>
      <c r="H4" s="3146"/>
      <c r="I4" s="3134"/>
      <c r="K4" s="2429" t="str">
        <f>IF(ISNUMBER(FIND("比较法",'结果表 (2)'!C4)),"比较法",IF(ISNUMBER(FIND("成本法",'结果表 (2)'!C4)),"成本法",IF(ISNUMBER(FIND("假设开发法",'结果表 (2)'!C4)),"假设开发法",IF(ISNUMBER(FIND("收益法",'结果表 (2)'!C4)),"收益法","基准地价系数修正法"))))</f>
        <v>收益法</v>
      </c>
      <c r="L4" s="2429" t="str">
        <f>IF(ISNUMBER(FIND("比较法",'结果表 (2)'!D4)),"比较法",IF(ISNUMBER(FIND("成本法",'结果表 (2)'!D4)),"成本法",IF(ISNUMBER(FIND("假设开发法",'结果表 (2)'!D4)),"假设开发法",IF(ISNUMBER(FIND("收益法",'结果表 (2)'!D4)),"收益法","基准地价系数修正法"))))</f>
        <v>比较法</v>
      </c>
    </row>
    <row r="5" spans="1:12" ht="12.75">
      <c r="A5" s="3124" t="s">
        <v>2122</v>
      </c>
      <c r="B5" s="3050">
        <v>25</v>
      </c>
      <c r="C5" s="3154"/>
      <c r="D5" s="3142"/>
      <c r="E5" s="140" t="s">
        <v>2123</v>
      </c>
      <c r="F5" s="2430"/>
      <c r="G5" s="2430"/>
      <c r="H5" s="2430"/>
      <c r="I5" s="1831"/>
    </row>
    <row r="6" spans="1:12" ht="12.75">
      <c r="A6" s="3124"/>
      <c r="B6" s="3050"/>
      <c r="C6" s="3156"/>
      <c r="D6" s="3142"/>
      <c r="E6" s="140" t="s">
        <v>2124</v>
      </c>
      <c r="F6" s="2430"/>
      <c r="G6" s="2430"/>
      <c r="H6" s="2430"/>
      <c r="I6" s="1831"/>
    </row>
    <row r="7" spans="1:12" ht="12.75">
      <c r="A7" s="3124"/>
      <c r="B7" s="3050"/>
      <c r="C7" s="3155"/>
      <c r="D7" s="3142"/>
      <c r="E7" s="140" t="s">
        <v>2125</v>
      </c>
      <c r="F7" s="2430"/>
      <c r="G7" s="2430"/>
      <c r="H7" s="2430"/>
      <c r="I7" s="1831"/>
    </row>
    <row r="8" spans="1:12" ht="12.75">
      <c r="A8" s="3124" t="s">
        <v>2126</v>
      </c>
      <c r="B8" s="3050">
        <v>15</v>
      </c>
      <c r="C8" s="3154"/>
      <c r="D8" s="3142"/>
      <c r="E8" s="140" t="s">
        <v>2127</v>
      </c>
      <c r="F8" s="2430"/>
      <c r="G8" s="2430"/>
      <c r="H8" s="2430"/>
      <c r="I8" s="1831"/>
    </row>
    <row r="9" spans="1:12" ht="12.75">
      <c r="A9" s="3124"/>
      <c r="B9" s="3050"/>
      <c r="C9" s="3155"/>
      <c r="D9" s="3142"/>
      <c r="E9" s="140" t="s">
        <v>2128</v>
      </c>
      <c r="F9" s="2430"/>
      <c r="G9" s="2430"/>
      <c r="H9" s="2430"/>
      <c r="I9" s="1831"/>
    </row>
    <row r="10" spans="1:12" ht="12.75">
      <c r="A10" s="3124" t="s">
        <v>2129</v>
      </c>
      <c r="B10" s="3050">
        <v>15</v>
      </c>
      <c r="C10" s="3154"/>
      <c r="D10" s="3142"/>
      <c r="E10" s="140" t="s">
        <v>2130</v>
      </c>
      <c r="F10" s="2430"/>
      <c r="G10" s="2430"/>
      <c r="H10" s="2430"/>
      <c r="I10" s="1831"/>
    </row>
    <row r="11" spans="1:12" ht="12.75">
      <c r="A11" s="3124"/>
      <c r="B11" s="3050"/>
      <c r="C11" s="3155"/>
      <c r="D11" s="3142"/>
      <c r="E11" s="140" t="s">
        <v>2131</v>
      </c>
      <c r="F11" s="2430"/>
      <c r="G11" s="2430"/>
      <c r="H11" s="2430"/>
      <c r="I11" s="1831"/>
    </row>
    <row r="12" spans="1:12" ht="12.75">
      <c r="A12" s="3124" t="s">
        <v>2132</v>
      </c>
      <c r="B12" s="3050">
        <v>15</v>
      </c>
      <c r="C12" s="3154"/>
      <c r="D12" s="3142"/>
      <c r="E12" s="140" t="s">
        <v>2133</v>
      </c>
      <c r="F12" s="2430"/>
      <c r="G12" s="2430"/>
      <c r="H12" s="2430"/>
      <c r="I12" s="1831"/>
    </row>
    <row r="13" spans="1:12" ht="12.75">
      <c r="A13" s="3124"/>
      <c r="B13" s="3050"/>
      <c r="C13" s="3155"/>
      <c r="D13" s="3142"/>
      <c r="E13" s="140" t="s">
        <v>2134</v>
      </c>
      <c r="F13" s="2430"/>
      <c r="G13" s="2430"/>
      <c r="H13" s="2430"/>
      <c r="I13" s="1831"/>
    </row>
    <row r="14" spans="1:12" ht="12.75">
      <c r="A14" s="3124" t="s">
        <v>2135</v>
      </c>
      <c r="B14" s="3050">
        <v>30</v>
      </c>
      <c r="C14" s="3154">
        <v>5</v>
      </c>
      <c r="D14" s="3142">
        <v>5</v>
      </c>
      <c r="E14" s="140" t="s">
        <v>2136</v>
      </c>
      <c r="F14" s="2430"/>
      <c r="G14" s="2430"/>
      <c r="H14" s="2430"/>
      <c r="I14" s="1831"/>
    </row>
    <row r="15" spans="1:12" ht="12.75">
      <c r="A15" s="3124"/>
      <c r="B15" s="3050"/>
      <c r="C15" s="3156"/>
      <c r="D15" s="3142"/>
      <c r="E15" s="140" t="s">
        <v>2137</v>
      </c>
      <c r="F15" s="2430"/>
      <c r="G15" s="2430"/>
      <c r="H15" s="2430"/>
      <c r="I15" s="1831"/>
    </row>
    <row r="16" spans="1:12" ht="12.75">
      <c r="A16" s="3124"/>
      <c r="B16" s="3050"/>
      <c r="C16" s="3155"/>
      <c r="D16" s="3142"/>
      <c r="E16" s="140" t="s">
        <v>2138</v>
      </c>
      <c r="F16" s="2430"/>
      <c r="G16" s="2430"/>
      <c r="H16" s="2430"/>
      <c r="I16" s="1831"/>
    </row>
    <row r="17" spans="1:35" ht="15">
      <c r="A17" s="2431" t="s">
        <v>2139</v>
      </c>
      <c r="B17" s="64"/>
      <c r="C17" s="141">
        <f>SUM(C5:C16)</f>
        <v>5</v>
      </c>
      <c r="D17" s="141">
        <f>SUM(D5:D16)</f>
        <v>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1809.36</v>
      </c>
      <c r="M18" s="2429">
        <f>IF(C1="",'数据-汇总表'!E3,SUMIF(项目类型,C1,'数据-汇总表'!E17:E26))</f>
        <v>1809.36</v>
      </c>
    </row>
    <row r="19" spans="1:35" ht="15">
      <c r="A19" s="2435" t="s">
        <v>2144</v>
      </c>
      <c r="B19" s="2436" t="s">
        <v>2145</v>
      </c>
      <c r="C19" s="143">
        <f ca="1">SUMIF(INDIRECT("'"&amp;C4&amp;"'"&amp;"!A:A"),'结果表 (2)'!B19,INDIRECT("'"&amp;C4&amp;"'"&amp;"!B:B"))</f>
        <v>838</v>
      </c>
      <c r="D19" s="144">
        <f ca="1">SUMIF(INDIRECT("'"&amp;D4&amp;"'"&amp;"!A:A"),'结果表 (2)'!B19,INDIRECT("'"&amp;D4&amp;"'"&amp;"!B:B"))</f>
        <v>751</v>
      </c>
      <c r="E19" s="2435" t="s">
        <v>2146</v>
      </c>
      <c r="F19" s="2436" t="s">
        <v>2145</v>
      </c>
      <c r="G19" s="145">
        <f ca="1">ROUND(C19*$C$18+D19*$D$18,0)</f>
        <v>795</v>
      </c>
      <c r="H19" s="2437" t="s">
        <v>2147</v>
      </c>
      <c r="I19" s="138"/>
      <c r="K19" s="2429" t="s">
        <v>2148</v>
      </c>
      <c r="L19" s="2429">
        <f>IF(C1="",'数据-汇总表'!D3,SUMIF(项目类型,C1,'数据-汇总表'!D17:D26)+SUMIF(项目类型,C1,'数据-汇总表'!H17:H27))</f>
        <v>424</v>
      </c>
      <c r="M19" s="2429">
        <f>IF(C1="",'数据-汇总表'!D3,SUMIF(项目类型,C1,'数据-汇总表'!D17:D26))</f>
        <v>424</v>
      </c>
    </row>
    <row r="20" spans="1:35" ht="15">
      <c r="A20" s="2438"/>
      <c r="B20" s="1248" t="s">
        <v>2149</v>
      </c>
      <c r="C20" s="146">
        <f ca="1">SUMIF(INDIRECT("'"&amp;C4&amp;"'"&amp;"!A:A"),'结果表 (2)'!B20,INDIRECT("'"&amp;C4&amp;"'"&amp;"!B:B"))</f>
        <v>4631</v>
      </c>
      <c r="D20" s="147">
        <f ca="1">SUMIF(INDIRECT("'"&amp;D4&amp;"'"&amp;"!A:A"),'结果表 (2)'!B20,INDIRECT("'"&amp;D4&amp;"'"&amp;"!B:B"))</f>
        <v>4149</v>
      </c>
      <c r="E20" s="2438"/>
      <c r="F20" s="1248" t="s">
        <v>2149</v>
      </c>
      <c r="G20" s="148">
        <f ca="1">ROUND(C20*$C$18+D20*$D$18,0)</f>
        <v>4390</v>
      </c>
      <c r="H20" s="983" t="s">
        <v>2150</v>
      </c>
      <c r="I20" s="138"/>
    </row>
    <row r="21" spans="1:35" ht="15" customHeight="1" thickBot="1">
      <c r="A21" s="1003"/>
      <c r="B21" s="2439" t="s">
        <v>2151</v>
      </c>
      <c r="C21" s="789">
        <f ca="1">ROUND(C19*10000/L19,0)</f>
        <v>19764</v>
      </c>
      <c r="D21" s="790">
        <f ca="1">ROUND(D19*10000/L19,0)</f>
        <v>17712</v>
      </c>
      <c r="E21" s="1003"/>
      <c r="F21" s="2439" t="s">
        <v>2151</v>
      </c>
      <c r="G21" s="149">
        <f ca="1">ROUND(G19*10000/L19,0)</f>
        <v>18750</v>
      </c>
      <c r="H21" s="2440" t="s">
        <v>2150</v>
      </c>
      <c r="I21" s="138"/>
    </row>
    <row r="22" spans="1:35" ht="15" thickBot="1">
      <c r="A22" s="2282" t="s">
        <v>2152</v>
      </c>
      <c r="B22" s="2441"/>
      <c r="C22" s="2442"/>
      <c r="D22" s="791">
        <f ca="1">IF(C19&lt;D19,D19/C19-1,C19/D19-1)</f>
        <v>0.11584553928095875</v>
      </c>
      <c r="E22" s="138"/>
      <c r="F22" s="138"/>
      <c r="G22" s="138"/>
      <c r="H22" s="138"/>
      <c r="I22" s="138"/>
    </row>
    <row r="23" spans="1:35" ht="13.5" thickBot="1">
      <c r="A23" s="2419"/>
      <c r="B23" s="2419"/>
      <c r="C23" s="2419"/>
      <c r="D23" s="2419"/>
      <c r="E23" s="138"/>
      <c r="F23" s="138"/>
      <c r="G23" s="138"/>
      <c r="H23" s="138"/>
      <c r="I23" s="138"/>
    </row>
    <row r="24" spans="1:35" ht="14.25">
      <c r="A24" s="3163" t="s">
        <v>2153</v>
      </c>
      <c r="B24" s="2436" t="s">
        <v>2145</v>
      </c>
      <c r="C24" s="145">
        <f>IF(B30=0,0,D30)</f>
        <v>0</v>
      </c>
      <c r="D24" s="2443"/>
      <c r="E24" s="138"/>
      <c r="F24" s="138"/>
      <c r="G24" s="138"/>
      <c r="H24" s="138"/>
      <c r="I24" s="138"/>
    </row>
    <row r="25" spans="1:35" ht="14.25">
      <c r="A25" s="3164"/>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4390</v>
      </c>
      <c r="D32" s="2450" t="s">
        <v>3116</v>
      </c>
      <c r="E32" s="138"/>
      <c r="F32" s="138"/>
      <c r="G32" s="138"/>
      <c r="H32" s="138"/>
      <c r="I32" s="138"/>
    </row>
    <row r="33" spans="1:15" ht="15">
      <c r="A33" s="960" t="s">
        <v>2160</v>
      </c>
      <c r="B33" s="2451"/>
      <c r="C33" s="2452" t="s">
        <v>3092</v>
      </c>
      <c r="D33" s="2453" t="s">
        <v>3053</v>
      </c>
      <c r="E33" s="2454" t="s">
        <v>2161</v>
      </c>
      <c r="F33" s="2967" t="str">
        <f>IF(D32="楼面单价","取值（单价）","取值（总价）")</f>
        <v>取值（单价）</v>
      </c>
      <c r="G33" s="138"/>
      <c r="H33" s="138"/>
      <c r="I33" s="138"/>
    </row>
    <row r="34" spans="1:15" ht="15">
      <c r="A34" s="2456"/>
      <c r="B34" s="2457" t="s">
        <v>2162</v>
      </c>
      <c r="C34" s="157">
        <f ca="1">IF(C33="自定义",F34,C32-C35)</f>
        <v>2744</v>
      </c>
      <c r="D34" s="1058">
        <f ca="1">IF(C33="自定义",ROUND(C34/C32,3),IF(C33="收益比率",SUMIF(INDIRECT("'"&amp;D33&amp;"'"&amp;"!b:b"),"土地收益比率",INDIRECT("'"&amp;D33&amp;"'"&amp;"!c:c")),SUMIF(INDIRECT("'"&amp;D33&amp;"'"&amp;"!b:b"),"土地成本比率",INDIRECT("'"&amp;D33&amp;"'"&amp;"!c:c"))))</f>
        <v>0.625</v>
      </c>
      <c r="E34" s="2458" t="s">
        <v>2163</v>
      </c>
      <c r="F34" s="1737"/>
      <c r="G34" s="138"/>
      <c r="H34" s="138"/>
      <c r="I34" s="138"/>
    </row>
    <row r="35" spans="1:15" ht="15.75" thickBot="1">
      <c r="A35" s="2459"/>
      <c r="B35" s="2460" t="s">
        <v>2164</v>
      </c>
      <c r="C35" s="1442">
        <f ca="1">IF(C33="自定义",F35,ROUND(C32*D35,0))</f>
        <v>1646</v>
      </c>
      <c r="D35" s="1443">
        <f ca="1">IF(C33="自定义",ROUND(C35/C32,3),IF(C33="收益比率",SUMIF(INDIRECT("'"&amp;D33&amp;"'"&amp;"!b:b"),"建筑物收益比率",INDIRECT("'"&amp;D33&amp;"'"&amp;"!c:c")),SUMIF(INDIRECT("'"&amp;D33&amp;"'"&amp;"!b:b"),"建筑物成本比率",INDIRECT("'"&amp;D33&amp;"'"&amp;"!c:c"))))</f>
        <v>0.375</v>
      </c>
      <c r="E35" s="2461" t="s">
        <v>2165</v>
      </c>
      <c r="F35" s="163"/>
      <c r="G35" s="138"/>
      <c r="H35" s="138"/>
      <c r="I35" s="138"/>
    </row>
    <row r="36" spans="1:15" ht="15.75" thickBot="1">
      <c r="A36" s="3143" t="s">
        <v>2166</v>
      </c>
      <c r="B36" s="2462" t="s">
        <v>2167</v>
      </c>
      <c r="C36" s="154"/>
      <c r="D36" s="2463"/>
      <c r="E36" s="2464"/>
      <c r="F36" s="2465"/>
      <c r="G36" s="138"/>
      <c r="H36" s="138"/>
      <c r="I36" s="138"/>
    </row>
    <row r="37" spans="1:15" ht="15.75" thickBot="1">
      <c r="A37" s="3144"/>
      <c r="B37" s="2268" t="s">
        <v>2168</v>
      </c>
      <c r="C37" s="156"/>
      <c r="D37" s="1393"/>
      <c r="E37" s="1393"/>
      <c r="F37" s="2465"/>
      <c r="G37" s="138"/>
      <c r="H37" s="138"/>
      <c r="I37" s="138"/>
    </row>
    <row r="38" spans="1:15" ht="15.75" thickBot="1">
      <c r="A38" s="3145"/>
      <c r="B38" s="2466" t="s">
        <v>2169</v>
      </c>
      <c r="C38" s="727"/>
      <c r="D38" s="2467" t="s">
        <v>2170</v>
      </c>
      <c r="E38" s="1393"/>
      <c r="F38" s="2465"/>
      <c r="G38" s="138"/>
      <c r="H38" s="138"/>
      <c r="I38" s="138"/>
    </row>
    <row r="39" spans="1:15" ht="15">
      <c r="A39" s="2438" t="s">
        <v>2171</v>
      </c>
      <c r="B39" s="2468" t="s">
        <v>2155</v>
      </c>
      <c r="C39" s="2469" t="s">
        <v>2156</v>
      </c>
      <c r="D39" s="2469" t="s">
        <v>2174</v>
      </c>
      <c r="E39" s="2470" t="s">
        <v>2157</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60" t="s">
        <v>2180</v>
      </c>
      <c r="B45" s="3161"/>
      <c r="C45" s="3162"/>
      <c r="D45" s="164">
        <f ca="1">ROUND(H101*F45,0)</f>
        <v>794</v>
      </c>
      <c r="E45" s="165" t="s">
        <v>2181</v>
      </c>
      <c r="F45" s="166">
        <v>1</v>
      </c>
      <c r="G45" s="167" t="s">
        <v>2182</v>
      </c>
      <c r="H45" s="138"/>
      <c r="I45" s="138"/>
      <c r="J45" s="3079" t="s">
        <v>2183</v>
      </c>
      <c r="K45" s="3079"/>
      <c r="L45" s="3079"/>
      <c r="M45" s="3079"/>
      <c r="N45" s="3079"/>
      <c r="O45" s="3079"/>
    </row>
    <row r="46" spans="1:15" ht="14.25" customHeight="1">
      <c r="A46" s="3157" t="s">
        <v>2184</v>
      </c>
      <c r="B46" s="3158"/>
      <c r="C46" s="3158"/>
      <c r="D46" s="3158"/>
      <c r="E46" s="3158"/>
      <c r="F46" s="3158"/>
      <c r="G46" s="3159"/>
      <c r="H46" s="2481"/>
      <c r="I46" s="168"/>
      <c r="J46" s="2977">
        <v>1</v>
      </c>
      <c r="K46" s="3079" t="s">
        <v>2185</v>
      </c>
      <c r="L46" s="3079"/>
      <c r="M46" s="3080"/>
      <c r="N46" s="3080"/>
      <c r="O46" s="3080"/>
    </row>
    <row r="47" spans="1:15" ht="12" customHeight="1">
      <c r="A47" s="169" t="s">
        <v>2186</v>
      </c>
      <c r="B47" s="170"/>
      <c r="C47" s="171"/>
      <c r="D47" s="172" t="s">
        <v>2187</v>
      </c>
      <c r="E47" s="24" t="s">
        <v>2188</v>
      </c>
      <c r="F47" s="173" t="s">
        <v>2189</v>
      </c>
      <c r="G47" s="174" t="s">
        <v>2190</v>
      </c>
      <c r="H47" s="2481"/>
      <c r="I47" s="168"/>
      <c r="J47" s="2977">
        <v>2</v>
      </c>
      <c r="K47" s="3079" t="s">
        <v>2191</v>
      </c>
      <c r="L47" s="3079"/>
      <c r="M47" s="3081">
        <f>'数据-取费表'!B2</f>
        <v>43551</v>
      </c>
      <c r="N47" s="3081"/>
      <c r="O47" s="3081"/>
    </row>
    <row r="48" spans="1:15" ht="25.5">
      <c r="A48" s="3147" t="s">
        <v>2192</v>
      </c>
      <c r="B48" s="3148"/>
      <c r="C48" s="3148"/>
      <c r="D48" s="140">
        <f>IF(H48="情况1",0,IF(H48="情况2",D52,IF(H48="情况3",D53,IF(H48="情况4",D54))))</f>
        <v>0</v>
      </c>
      <c r="E48" s="2971" t="str">
        <f>IF(H48="情况4","(销售额-原购置价)×税（费）率","销售额×税（费）率")</f>
        <v>销售额×税（费）率</v>
      </c>
      <c r="F48" s="175" t="str">
        <f>IF(H48="情况1","免征",'数据-取费表'!B41)</f>
        <v>免征</v>
      </c>
      <c r="G48" s="2482" t="s">
        <v>2193</v>
      </c>
      <c r="H48" s="2483" t="s">
        <v>2194</v>
      </c>
      <c r="I48" s="2481"/>
      <c r="J48" s="2977">
        <v>3</v>
      </c>
      <c r="K48" s="3079" t="s">
        <v>2195</v>
      </c>
      <c r="L48" s="3079"/>
      <c r="M48" s="3082">
        <f ca="1">H101</f>
        <v>794</v>
      </c>
      <c r="N48" s="3082"/>
      <c r="O48" s="3082"/>
    </row>
    <row r="49" spans="1:35" ht="25.5" customHeight="1">
      <c r="A49" s="176" t="s">
        <v>2196</v>
      </c>
      <c r="B49" s="3127" t="s">
        <v>2197</v>
      </c>
      <c r="C49" s="3127"/>
      <c r="D49" s="177">
        <v>0</v>
      </c>
      <c r="E49" s="23" t="s">
        <v>2198</v>
      </c>
      <c r="F49" s="28" t="s">
        <v>34</v>
      </c>
      <c r="G49" s="3108"/>
      <c r="H49" s="138"/>
      <c r="I49" s="2484"/>
      <c r="J49" s="2977">
        <v>4</v>
      </c>
      <c r="K49" s="3079" t="str">
        <f>IF(项目基本情况!E8="房地产抵押价值","房地产抵押价值","抵押担保权已注销时的房地产抵押价值")</f>
        <v>房地产抵押价值</v>
      </c>
      <c r="L49" s="3079"/>
      <c r="M49" s="3082">
        <f ca="1">IF(项目基本情况!E8="房地产抵押价值",H107,H109)</f>
        <v>794</v>
      </c>
      <c r="N49" s="3082"/>
      <c r="O49" s="3082"/>
    </row>
    <row r="50" spans="1:35" ht="25.5" customHeight="1">
      <c r="A50" s="178"/>
      <c r="B50" s="3127" t="s">
        <v>2199</v>
      </c>
      <c r="C50" s="3127"/>
      <c r="D50" s="179"/>
      <c r="E50" s="31"/>
      <c r="F50" s="180"/>
      <c r="G50" s="3109"/>
      <c r="H50" s="138"/>
      <c r="I50" s="2484"/>
      <c r="J50" s="3079" t="s">
        <v>2200</v>
      </c>
      <c r="K50" s="3079"/>
      <c r="L50" s="3079"/>
      <c r="M50" s="3079"/>
      <c r="N50" s="3079"/>
      <c r="O50" s="3079"/>
    </row>
    <row r="51" spans="1:35" ht="12" customHeight="1">
      <c r="A51" s="181"/>
      <c r="B51" s="3127" t="s">
        <v>2201</v>
      </c>
      <c r="C51" s="3127"/>
      <c r="D51" s="182"/>
      <c r="E51" s="30"/>
      <c r="F51" s="180"/>
      <c r="G51" s="3110"/>
      <c r="H51" s="138"/>
      <c r="I51" s="2484"/>
      <c r="J51" s="2976" t="s">
        <v>2202</v>
      </c>
      <c r="K51" s="3079" t="s">
        <v>2203</v>
      </c>
      <c r="L51" s="3079"/>
      <c r="M51" s="2976" t="s">
        <v>2204</v>
      </c>
      <c r="N51" s="2976" t="s">
        <v>2205</v>
      </c>
      <c r="O51" s="2976" t="s">
        <v>2206</v>
      </c>
    </row>
    <row r="52" spans="1:35" ht="24" customHeight="1">
      <c r="A52" s="183" t="s">
        <v>2207</v>
      </c>
      <c r="B52" s="3127" t="s">
        <v>2208</v>
      </c>
      <c r="C52" s="3127"/>
      <c r="D52" s="182">
        <f ca="1">ROUND(D45*'数据-取费表'!B41/(1+'数据-取费表'!C42),0)</f>
        <v>43</v>
      </c>
      <c r="E52" s="11" t="s">
        <v>2209</v>
      </c>
      <c r="F52" s="184">
        <f>'数据-取费表'!B41</f>
        <v>5.6300000000000003E-2</v>
      </c>
      <c r="G52" s="2486"/>
      <c r="H52" s="138"/>
      <c r="I52" s="2484"/>
      <c r="J52" s="2977">
        <v>1</v>
      </c>
      <c r="K52" s="3102" t="s">
        <v>2210</v>
      </c>
      <c r="L52" s="3102"/>
      <c r="M52" s="1752">
        <f>D48</f>
        <v>0</v>
      </c>
      <c r="N52" s="2977" t="str">
        <f>E48</f>
        <v>销售额×税（费）率</v>
      </c>
      <c r="O52" s="1753" t="str">
        <f>F48</f>
        <v>免征</v>
      </c>
    </row>
    <row r="53" spans="1:35" ht="12" customHeight="1">
      <c r="A53" s="183" t="s">
        <v>2211</v>
      </c>
      <c r="B53" s="3128" t="s">
        <v>2212</v>
      </c>
      <c r="C53" s="3129"/>
      <c r="D53" s="182">
        <f ca="1">ROUND(D45*'数据-取费表'!B41/(1+'数据-取费表'!C42),0)</f>
        <v>43</v>
      </c>
      <c r="E53" s="11" t="s">
        <v>2209</v>
      </c>
      <c r="F53" s="184">
        <f>'数据-取费表'!B41</f>
        <v>5.6300000000000003E-2</v>
      </c>
      <c r="G53" s="2486"/>
      <c r="H53" s="138"/>
      <c r="I53" s="2484"/>
      <c r="J53" s="2977">
        <v>2</v>
      </c>
      <c r="K53" s="3102" t="s">
        <v>2213</v>
      </c>
      <c r="L53" s="3102"/>
      <c r="M53" s="1752">
        <f t="shared" ref="M53:O54" ca="1" si="0">D55</f>
        <v>0</v>
      </c>
      <c r="N53" s="2977" t="str">
        <f t="shared" si="0"/>
        <v>销售额×税（费）率</v>
      </c>
      <c r="O53" s="1753">
        <f t="shared" si="0"/>
        <v>5.0000000000000001E-4</v>
      </c>
    </row>
    <row r="54" spans="1:35" ht="12" customHeight="1">
      <c r="A54" s="183" t="s">
        <v>2214</v>
      </c>
      <c r="B54" s="3128" t="s">
        <v>2215</v>
      </c>
      <c r="C54" s="3129"/>
      <c r="D54" s="182">
        <f ca="1">C68</f>
        <v>43</v>
      </c>
      <c r="E54" s="30" t="s">
        <v>2216</v>
      </c>
      <c r="F54" s="184">
        <f>'数据-取费表'!B41</f>
        <v>5.6300000000000003E-2</v>
      </c>
      <c r="G54" s="2486"/>
      <c r="H54" s="2487"/>
      <c r="I54" s="2484"/>
      <c r="J54" s="2977">
        <v>3</v>
      </c>
      <c r="K54" s="3102" t="s">
        <v>2217</v>
      </c>
      <c r="L54" s="3102"/>
      <c r="M54" s="1752">
        <f t="shared" ca="1" si="0"/>
        <v>449</v>
      </c>
      <c r="N54" s="2977" t="str">
        <f t="shared" si="0"/>
        <v>增值额×税（费）率</v>
      </c>
      <c r="O54" s="1754" t="str">
        <f t="shared" si="0"/>
        <v>——</v>
      </c>
    </row>
    <row r="55" spans="1:35" ht="24" customHeight="1">
      <c r="A55" s="3166" t="s">
        <v>2218</v>
      </c>
      <c r="B55" s="3148"/>
      <c r="C55" s="3148"/>
      <c r="D55" s="185">
        <f ca="1">IF(H55="个人住宅",0,ROUND(D45*I55,0))</f>
        <v>0</v>
      </c>
      <c r="E55" s="11" t="s">
        <v>2219</v>
      </c>
      <c r="F55" s="184">
        <f>IF(H55="正常",I55,"免征")</f>
        <v>5.0000000000000001E-4</v>
      </c>
      <c r="G55" s="2486"/>
      <c r="H55" s="2483" t="s">
        <v>2220</v>
      </c>
      <c r="I55" s="186">
        <f>'数据-取费表'!B49</f>
        <v>5.0000000000000001E-4</v>
      </c>
      <c r="J55" s="2977" t="str">
        <f>IF(H59="非个人房产","",4)</f>
        <v/>
      </c>
      <c r="K55" s="3102" t="str">
        <f>IF(H59="非个人房产","——","个人所得税")</f>
        <v>——</v>
      </c>
      <c r="L55" s="3102"/>
      <c r="M55" s="1755" t="str">
        <f>D59</f>
        <v>——</v>
      </c>
      <c r="N55" s="2978" t="str">
        <f>E59</f>
        <v>——</v>
      </c>
      <c r="O55" s="1756" t="str">
        <f>F59</f>
        <v>——</v>
      </c>
    </row>
    <row r="56" spans="1:35" ht="24.75">
      <c r="A56" s="3166" t="s">
        <v>2221</v>
      </c>
      <c r="B56" s="3148"/>
      <c r="C56" s="3148"/>
      <c r="D56" s="185">
        <f ca="1">IF(H56="个人住宅",D57,D58)</f>
        <v>449</v>
      </c>
      <c r="E56" s="11" t="s">
        <v>2222</v>
      </c>
      <c r="F56" s="184" t="str">
        <f>IF(H56="正常",F58,"免征")</f>
        <v>——</v>
      </c>
      <c r="G56" s="2488" t="s">
        <v>2223</v>
      </c>
      <c r="H56" s="2489" t="s">
        <v>2220</v>
      </c>
      <c r="I56" s="2490"/>
      <c r="J56" s="2977" t="str">
        <f>IF(项目基本情况!K6="上海银行",IF(J55="",4,J55+1),"")</f>
        <v/>
      </c>
      <c r="K56" s="3085" t="str">
        <f>IF(项目基本情况!K6="上海银行","其他处置费用","")</f>
        <v/>
      </c>
      <c r="L56" s="3086"/>
      <c r="M56" s="1752" t="str">
        <f>IF(项目基本情况!K6="上海银行",M69,"")</f>
        <v/>
      </c>
      <c r="N56" s="3088" t="str">
        <f>IF(项目基本情况!K6="上海银行","包含处置中涉及的律师、诉讼、拍卖、评估等费用","")</f>
        <v/>
      </c>
      <c r="O56" s="3089"/>
    </row>
    <row r="57" spans="1:35" ht="12.75">
      <c r="A57" s="183" t="s">
        <v>2196</v>
      </c>
      <c r="B57" s="3133" t="s">
        <v>2224</v>
      </c>
      <c r="C57" s="3134"/>
      <c r="D57" s="187">
        <v>0</v>
      </c>
      <c r="E57" s="23" t="s">
        <v>2198</v>
      </c>
      <c r="F57" s="155"/>
      <c r="G57" s="2486"/>
      <c r="H57" s="2490"/>
      <c r="I57" s="2490"/>
      <c r="J57" s="3102">
        <f>IF(AND(J55="",J56=""),4,IF(项目基本情况!K6="上海银行",'结果表 (2)'!J56+1,'结果表 (2)'!J55+1))</f>
        <v>4</v>
      </c>
      <c r="K57" s="3102" t="s">
        <v>2225</v>
      </c>
      <c r="L57" s="2491" t="s">
        <v>2226</v>
      </c>
      <c r="M57" s="1757"/>
      <c r="N57" s="1758">
        <f ca="1">SUMIF(M52:M56,"&lt;9e307")</f>
        <v>449</v>
      </c>
      <c r="O57" s="2492"/>
      <c r="P57" s="1751">
        <f ca="1">N57/M49</f>
        <v>0.56549118387909325</v>
      </c>
    </row>
    <row r="58" spans="1:35" ht="24.75">
      <c r="A58" s="183" t="s">
        <v>2207</v>
      </c>
      <c r="B58" s="3133" t="s">
        <v>2227</v>
      </c>
      <c r="C58" s="3146"/>
      <c r="D58" s="185">
        <f ca="1">IF(H58="转让取得",C81,C97)</f>
        <v>449</v>
      </c>
      <c r="E58" s="11" t="s">
        <v>2222</v>
      </c>
      <c r="F58" s="24" t="s">
        <v>34</v>
      </c>
      <c r="G58" s="2486"/>
      <c r="H58" s="2489" t="s">
        <v>2228</v>
      </c>
      <c r="I58" s="2490"/>
      <c r="J58" s="3102"/>
      <c r="K58" s="3102"/>
      <c r="L58" s="2491" t="s">
        <v>2229</v>
      </c>
      <c r="M58" s="1759"/>
      <c r="N58" s="2493" t="str">
        <f ca="1">NUMBERSTRING(INT(N57*10000),2)&amp;"元整"</f>
        <v>肆佰肆拾玖万元整</v>
      </c>
      <c r="O58" s="2494"/>
    </row>
    <row r="59" spans="1:35" ht="24.75" thickBot="1">
      <c r="A59" s="3106" t="s">
        <v>2230</v>
      </c>
      <c r="B59" s="3107"/>
      <c r="C59" s="3107"/>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04">
        <f>J57+1</f>
        <v>5</v>
      </c>
      <c r="K59" s="3102" t="s">
        <v>2232</v>
      </c>
      <c r="L59" s="2977" t="s">
        <v>2226</v>
      </c>
      <c r="M59" s="1760"/>
      <c r="N59" s="1761">
        <f ca="1">M49-N57</f>
        <v>345</v>
      </c>
      <c r="O59" s="2496"/>
    </row>
    <row r="60" spans="1:35" ht="12" customHeight="1">
      <c r="A60" s="2497"/>
      <c r="B60" s="2419"/>
      <c r="C60" s="2419"/>
      <c r="D60" s="2419"/>
      <c r="E60" s="2167"/>
      <c r="F60" s="2490"/>
      <c r="G60" s="2490"/>
      <c r="H60" s="2498"/>
      <c r="I60" s="138"/>
      <c r="J60" s="3105"/>
      <c r="K60" s="3102"/>
      <c r="L60" s="2491" t="s">
        <v>2229</v>
      </c>
      <c r="M60" s="1759"/>
      <c r="N60" s="2493" t="str">
        <f ca="1">NUMBERSTRING(INT(N59*10000),2)&amp;"元整"</f>
        <v>叁佰肆拾伍万元整</v>
      </c>
      <c r="O60" s="2494"/>
    </row>
    <row r="61" spans="1:35" ht="13.5" thickBot="1">
      <c r="A61" s="3165" t="s">
        <v>2233</v>
      </c>
      <c r="B61" s="3165"/>
      <c r="C61" s="3165"/>
      <c r="D61" s="3165"/>
      <c r="E61" s="3165"/>
      <c r="F61" s="2490"/>
      <c r="G61" s="2490"/>
      <c r="H61" s="2498"/>
      <c r="I61" s="138"/>
      <c r="J61" s="2977">
        <f>J59+1</f>
        <v>6</v>
      </c>
      <c r="K61" s="3102" t="s">
        <v>2234</v>
      </c>
      <c r="L61" s="3102"/>
      <c r="M61" s="1762"/>
      <c r="N61" s="1763">
        <f ca="1">ROUND(N59*10000/'数据-汇总表'!E3,0)</f>
        <v>237</v>
      </c>
      <c r="O61" s="2499"/>
    </row>
    <row r="62" spans="1:35" ht="12.75">
      <c r="A62" s="3122" t="s">
        <v>2235</v>
      </c>
      <c r="B62" s="3123"/>
      <c r="C62" s="2974"/>
      <c r="D62" s="2974" t="s">
        <v>2236</v>
      </c>
      <c r="E62" s="192" t="s">
        <v>2237</v>
      </c>
      <c r="F62" s="2490"/>
      <c r="G62" s="2490"/>
      <c r="H62" s="2498"/>
      <c r="I62" s="138"/>
    </row>
    <row r="63" spans="1:35" ht="12.75">
      <c r="A63" s="203" t="s">
        <v>775</v>
      </c>
      <c r="B63" s="193" t="s">
        <v>2238</v>
      </c>
      <c r="C63" s="194">
        <f ca="1">ROUND((C64+C65)/(1+'数据-取费表'!C42),0)</f>
        <v>756</v>
      </c>
      <c r="D63" s="195"/>
      <c r="E63" s="196"/>
      <c r="F63" s="2490"/>
      <c r="G63" s="2490"/>
      <c r="H63" s="2498"/>
      <c r="I63" s="138"/>
      <c r="J63" s="3087" t="s">
        <v>2239</v>
      </c>
      <c r="K63" s="2979" t="s">
        <v>2240</v>
      </c>
      <c r="L63" s="1750">
        <f ca="1">IF(M49&gt;10000,M49*0.5%,IF(AND(M49&gt;1000,M49&lt;=10000),M49*1%,IF(AND(M49&gt;100,M49&lt;=1000),M49*3%,IF(AND(M49&gt;10,M49&lt;=100),M49*5%,M49*8%))))</f>
        <v>23.82</v>
      </c>
      <c r="M63" s="24">
        <f ca="1">ROUND(L63,1)</f>
        <v>23.8</v>
      </c>
      <c r="Z63" s="2424"/>
      <c r="AI63" s="2425"/>
    </row>
    <row r="64" spans="1:35" ht="14.25" customHeight="1">
      <c r="A64" s="197" t="s">
        <v>770</v>
      </c>
      <c r="B64" s="198" t="s">
        <v>2241</v>
      </c>
      <c r="C64" s="199">
        <f ca="1">D45</f>
        <v>794</v>
      </c>
      <c r="D64" s="200" t="s">
        <v>32</v>
      </c>
      <c r="E64" s="201"/>
      <c r="F64" s="2490"/>
      <c r="G64" s="2490"/>
      <c r="H64" s="2498"/>
      <c r="I64" s="138"/>
      <c r="J64" s="3087"/>
      <c r="K64" s="2979" t="s">
        <v>2242</v>
      </c>
      <c r="L64" s="1750">
        <f ca="1">IF(M49&gt;2000,M49*0.5%,IF(AND(M49&gt;1000,M49&lt;=2000),M49*0.6%,IF(AND(M49&gt;500,M49&lt;=1000),M49*0.7%,IF(AND(M49&gt;200,M49&lt;=500),M49*0.8%,IF(AND(M49&gt;100,M49&lt;=200),M49*0.9%,IF(AND(M49&gt;50,M49&lt;=100),M49*1%,IF(AND(M49&gt;20,M49&lt;=50),M49*1.5%,IF(AND(M49&gt;10,M49&lt;=20),M49*2%,IF(AND(M49&gt;1,M49&lt;=10),M49*2.5%)))))))))</f>
        <v>5.5579999999999998</v>
      </c>
      <c r="M64" s="24">
        <f t="shared" ref="M64:M65" ca="1" si="1">ROUND(L64,1)</f>
        <v>5.6</v>
      </c>
      <c r="N64" s="138" t="s">
        <v>2243</v>
      </c>
      <c r="Z64" s="2424"/>
      <c r="AI64" s="2425"/>
    </row>
    <row r="65" spans="1:35" ht="14.25" customHeight="1">
      <c r="A65" s="197" t="s">
        <v>771</v>
      </c>
      <c r="B65" s="198" t="s">
        <v>2244</v>
      </c>
      <c r="C65" s="202"/>
      <c r="D65" s="200"/>
      <c r="E65" s="201"/>
      <c r="F65" s="2490"/>
      <c r="G65" s="2490"/>
      <c r="H65" s="2498"/>
      <c r="I65" s="138"/>
      <c r="J65" s="3087"/>
      <c r="K65" s="2979" t="s">
        <v>2245</v>
      </c>
      <c r="L65" s="1750">
        <f ca="1">IF(M49&gt;1000,M49*0.1%,IF(AND(M49&gt;500,M49&lt;=1000),M49*0.5%,IF(AND(M49&gt;50,M49&lt;=500),M49*1%,IF(AND(M49&gt;1,M49&lt;=50),M49*1.5%))))</f>
        <v>3.97</v>
      </c>
      <c r="M65" s="24">
        <f t="shared" ca="1" si="1"/>
        <v>4</v>
      </c>
      <c r="N65" s="138" t="s">
        <v>2243</v>
      </c>
      <c r="Z65" s="2424"/>
      <c r="AI65" s="2425"/>
    </row>
    <row r="66" spans="1:35" ht="14.25" customHeight="1">
      <c r="A66" s="203" t="s">
        <v>772</v>
      </c>
      <c r="B66" s="204" t="s">
        <v>2246</v>
      </c>
      <c r="C66" s="205"/>
      <c r="D66" s="206" t="s">
        <v>32</v>
      </c>
      <c r="E66" s="1773" t="s">
        <v>1367</v>
      </c>
      <c r="F66" s="2490"/>
      <c r="G66" s="2490"/>
      <c r="H66" s="2498"/>
      <c r="I66" s="138"/>
      <c r="J66" s="3087"/>
      <c r="K66" s="2979" t="s">
        <v>2247</v>
      </c>
      <c r="L66" s="1750">
        <f ca="1">M49*0.5%</f>
        <v>3.97</v>
      </c>
      <c r="M66" s="24">
        <f ca="1">IF(L66&gt;0.5,0.5,ROUND(L66,0))</f>
        <v>0.5</v>
      </c>
      <c r="N66" s="138" t="s">
        <v>2248</v>
      </c>
      <c r="Z66" s="2424"/>
      <c r="AI66" s="2425"/>
    </row>
    <row r="67" spans="1:35" ht="14.25" customHeight="1">
      <c r="A67" s="203" t="s">
        <v>773</v>
      </c>
      <c r="B67" s="204" t="s">
        <v>2249</v>
      </c>
      <c r="C67" s="207">
        <f ca="1">C63-C66</f>
        <v>756</v>
      </c>
      <c r="D67" s="200" t="s">
        <v>32</v>
      </c>
      <c r="E67" s="201"/>
      <c r="F67" s="2490"/>
      <c r="G67" s="2490"/>
      <c r="H67" s="2498"/>
      <c r="I67" s="138"/>
      <c r="J67" s="3087"/>
      <c r="K67" s="2979" t="s">
        <v>2250</v>
      </c>
      <c r="L67" s="1750">
        <f ca="1">IF(M49&gt;=10000,(8.25+(M49-10000)*0.01%),IF(AND(M49&gt;=8000,M49&lt;10000),(7.85+(M49-8000)*0.02%),IF(AND(M49&gt;=5000,M49&lt;8000),(6.65+(M49-5000)*0.04%),IF(AND(M49&gt;=2000,M49&lt;5000),(4.25+(PM49-2000)*0.08%),IF(AND(M49&gt;=1000,M49&lt;2000),(2.75+(M49-1000)*0.15%),IF(AND(M49&gt;=100,M49&lt;1000),(0.5+(M49-100)*0.25%),IF(AND(M49&gt;0,M49&lt;100),M49*0.5%)))))))</f>
        <v>2.2350000000000003</v>
      </c>
      <c r="M67" s="24">
        <f ca="1">ROUND(L67*0.9,1)</f>
        <v>2</v>
      </c>
      <c r="Z67" s="2424"/>
      <c r="AI67" s="2425"/>
    </row>
    <row r="68" spans="1:35" ht="14.25" customHeight="1" thickBot="1">
      <c r="A68" s="208" t="s">
        <v>774</v>
      </c>
      <c r="B68" s="209" t="s">
        <v>2251</v>
      </c>
      <c r="C68" s="210">
        <f ca="1">IF(C67&lt;=0,0,ROUND(C67*D68,0))</f>
        <v>43</v>
      </c>
      <c r="D68" s="211">
        <f>'数据-取费表'!B41</f>
        <v>5.6300000000000003E-2</v>
      </c>
      <c r="E68" s="212"/>
      <c r="F68" s="2490"/>
      <c r="G68" s="2490"/>
      <c r="H68" s="2498"/>
      <c r="I68" s="138"/>
      <c r="J68" s="3087"/>
      <c r="K68" s="2979" t="s">
        <v>2252</v>
      </c>
      <c r="L68" s="1750">
        <f ca="1">IF(M49&gt;10000,M49*0.5%,IF(AND(M49&gt;5000,M49&lt;=10000),M49*1%,IF(AND(M49&gt;1000,M49&lt;=5000),M49*2%,IF(AND(M49&gt;200,M49&lt;=1000),M49*3%,M49*5%))))</f>
        <v>23.82</v>
      </c>
      <c r="M68" s="24">
        <f ca="1">ROUND(L68,1)</f>
        <v>23.8</v>
      </c>
      <c r="Z68" s="2424"/>
      <c r="AI68" s="2425"/>
    </row>
    <row r="69" spans="1:35" s="2447" customFormat="1" ht="16.5" customHeight="1">
      <c r="A69" s="2501"/>
      <c r="B69" s="2502"/>
      <c r="C69" s="2503"/>
      <c r="D69" s="2504"/>
      <c r="E69" s="2505"/>
      <c r="F69" s="2167"/>
      <c r="G69" s="2167"/>
      <c r="H69" s="2166"/>
      <c r="I69" s="2419"/>
      <c r="J69" s="3087"/>
      <c r="K69" s="2979" t="s">
        <v>2253</v>
      </c>
      <c r="L69" s="2506"/>
      <c r="M69" s="24">
        <f ca="1">ROUND(SUM(M63:M68),0)</f>
        <v>60</v>
      </c>
      <c r="N69" s="1751">
        <f ca="1">M69/M49</f>
        <v>7.5566750629722929E-2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1" t="s">
        <v>2254</v>
      </c>
      <c r="B70" s="3132"/>
      <c r="C70" s="3132"/>
      <c r="D70" s="3132"/>
      <c r="E70" s="3132"/>
      <c r="F70" s="3132"/>
      <c r="G70" s="3132"/>
      <c r="H70" s="313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2" t="s">
        <v>2235</v>
      </c>
      <c r="B71" s="3123"/>
      <c r="C71" s="2974"/>
      <c r="D71" s="297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756</v>
      </c>
      <c r="D72" s="200" t="s">
        <v>32</v>
      </c>
      <c r="E72" s="2973"/>
      <c r="F72" s="2968"/>
      <c r="G72" s="2968"/>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2973"/>
      <c r="F73" s="2968"/>
      <c r="G73" s="2968"/>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73"/>
      <c r="F74" s="2968"/>
      <c r="G74" s="2968"/>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28" t="s">
        <v>2263</v>
      </c>
      <c r="F76" s="3127"/>
      <c r="G76" s="3127"/>
      <c r="H76" s="313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80" t="s">
        <v>2265</v>
      </c>
      <c r="F77" s="224"/>
      <c r="G77" s="2514" t="s">
        <v>2266</v>
      </c>
      <c r="H77" s="297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6.3000000000000009E-3</v>
      </c>
      <c r="E78" s="3119" t="s">
        <v>2268</v>
      </c>
      <c r="F78" s="3120"/>
      <c r="G78" s="3120"/>
      <c r="H78" s="312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751</v>
      </c>
      <c r="D79" s="200" t="s">
        <v>32</v>
      </c>
      <c r="E79" s="2973"/>
      <c r="F79" s="2968"/>
      <c r="G79" s="2968"/>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150.19999999999999</v>
      </c>
      <c r="D80" s="200" t="s">
        <v>32</v>
      </c>
      <c r="E80" s="2980"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1" t="s">
        <v>2272</v>
      </c>
      <c r="B83" s="3132"/>
      <c r="C83" s="3132"/>
      <c r="D83" s="3132"/>
      <c r="E83" s="3132"/>
      <c r="F83" s="3132"/>
      <c r="G83" s="3132"/>
      <c r="H83" s="313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2" t="s">
        <v>2235</v>
      </c>
      <c r="B84" s="3123"/>
      <c r="C84" s="2974"/>
      <c r="D84" s="297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756</v>
      </c>
      <c r="D85" s="200" t="s">
        <v>32</v>
      </c>
      <c r="E85" s="2973"/>
      <c r="F85" s="2968"/>
      <c r="G85" s="2968"/>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2973"/>
      <c r="F86" s="2968"/>
      <c r="G86" s="2968"/>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69"/>
      <c r="F87" s="2970"/>
      <c r="G87" s="2970"/>
      <c r="H87" s="297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7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70"/>
      <c r="G89" s="2970"/>
      <c r="H89" s="297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70"/>
      <c r="G90" s="2970"/>
      <c r="H90" s="297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19" t="s">
        <v>2281</v>
      </c>
      <c r="F91" s="3120"/>
      <c r="G91" s="3120"/>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19" t="s">
        <v>2285</v>
      </c>
      <c r="F92" s="3120"/>
      <c r="G92" s="3120"/>
      <c r="H92" s="312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6.3000000000000009E-3</v>
      </c>
      <c r="E93" s="3119" t="s">
        <v>2268</v>
      </c>
      <c r="F93" s="3120"/>
      <c r="G93" s="3120"/>
      <c r="H93" s="312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67" t="s">
        <v>2289</v>
      </c>
      <c r="F94" s="3168"/>
      <c r="G94" s="3168"/>
      <c r="H94" s="316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751</v>
      </c>
      <c r="D95" s="200" t="s">
        <v>32</v>
      </c>
      <c r="E95" s="2973"/>
      <c r="F95" s="2968"/>
      <c r="G95" s="2968"/>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150.19999999999999</v>
      </c>
      <c r="D96" s="200" t="s">
        <v>32</v>
      </c>
      <c r="E96" s="2980"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71" t="s">
        <v>2291</v>
      </c>
      <c r="B100" s="3072"/>
      <c r="C100" s="3072"/>
      <c r="D100" s="3103"/>
      <c r="E100" s="3072" t="s">
        <v>2292</v>
      </c>
      <c r="F100" s="3072"/>
      <c r="G100" s="3072"/>
      <c r="H100" s="3103"/>
      <c r="I100" s="138"/>
    </row>
    <row r="101" spans="1:35" ht="18.75" customHeight="1">
      <c r="A101" s="3111" t="s">
        <v>2293</v>
      </c>
      <c r="B101" s="3112"/>
      <c r="C101" s="736" t="str">
        <f>C4</f>
        <v>收益法</v>
      </c>
      <c r="D101" s="737" t="str">
        <f>D4</f>
        <v>比较法-办公</v>
      </c>
      <c r="E101" s="3083" t="s">
        <v>2294</v>
      </c>
      <c r="F101" s="3084"/>
      <c r="G101" s="2521" t="s">
        <v>2295</v>
      </c>
      <c r="H101" s="1048">
        <f ca="1">H118</f>
        <v>794</v>
      </c>
      <c r="I101" s="138"/>
    </row>
    <row r="102" spans="1:35" ht="18.75" customHeight="1">
      <c r="A102" s="3113" t="s">
        <v>2296</v>
      </c>
      <c r="B102" s="2521" t="s">
        <v>2295</v>
      </c>
      <c r="C102" s="736">
        <f ca="1">C19</f>
        <v>838</v>
      </c>
      <c r="D102" s="737">
        <f ca="1">D19</f>
        <v>751</v>
      </c>
      <c r="E102" s="3083"/>
      <c r="F102" s="3084"/>
      <c r="G102" s="2521" t="s">
        <v>2297</v>
      </c>
      <c r="H102" s="371">
        <f ca="1">I118</f>
        <v>4390</v>
      </c>
      <c r="I102" s="138"/>
    </row>
    <row r="103" spans="1:35" ht="42.75" customHeight="1">
      <c r="A103" s="3113"/>
      <c r="B103" s="2521" t="s">
        <v>2297</v>
      </c>
      <c r="C103" s="738">
        <f ca="1">C20</f>
        <v>4631</v>
      </c>
      <c r="D103" s="739">
        <f ca="1">D20</f>
        <v>4149</v>
      </c>
      <c r="E103" s="3077" t="s">
        <v>2298</v>
      </c>
      <c r="F103" s="3078"/>
      <c r="G103" s="2522" t="s">
        <v>2299</v>
      </c>
      <c r="H103" s="1048">
        <f>IF(D36="正常操作",H104+H105+H106,H105+H106)</f>
        <v>0</v>
      </c>
      <c r="I103" s="138"/>
    </row>
    <row r="104" spans="1:35" ht="18.75" customHeight="1">
      <c r="A104" s="3113" t="s">
        <v>2300</v>
      </c>
      <c r="B104" s="2523" t="s">
        <v>2295</v>
      </c>
      <c r="C104" s="740">
        <f ca="1">H118</f>
        <v>794</v>
      </c>
      <c r="D104" s="741"/>
      <c r="E104" s="2268" t="s">
        <v>2301</v>
      </c>
      <c r="F104" s="2259"/>
      <c r="G104" s="2522" t="s">
        <v>2299</v>
      </c>
      <c r="H104" s="1049">
        <f>IF(D36="同一抵押权人同一抵押物续贷",C36&amp;"（未扣减，详见特别提示）",C36)</f>
        <v>0</v>
      </c>
      <c r="I104" s="138"/>
    </row>
    <row r="105" spans="1:35" ht="18.75" customHeight="1" thickBot="1">
      <c r="A105" s="3125"/>
      <c r="B105" s="2524" t="s">
        <v>2297</v>
      </c>
      <c r="C105" s="742">
        <f ca="1">I118</f>
        <v>4390</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14" t="str">
        <f>IF(项目基本情况!E8="已注销","——","3.房地产抵押价值")</f>
        <v>3.房地产抵押价值</v>
      </c>
      <c r="F107" s="3084"/>
      <c r="G107" s="2521" t="s">
        <v>2295</v>
      </c>
      <c r="H107" s="1048">
        <f ca="1">IF(E107="——","——",H101-H103)</f>
        <v>794</v>
      </c>
      <c r="I107" s="138"/>
    </row>
    <row r="108" spans="1:35" ht="18.75" customHeight="1">
      <c r="A108" s="138"/>
      <c r="B108" s="138"/>
      <c r="C108" s="138"/>
      <c r="D108" s="138"/>
      <c r="E108" s="3114"/>
      <c r="F108" s="3084"/>
      <c r="G108" s="2521" t="s">
        <v>2297</v>
      </c>
      <c r="H108" s="371">
        <f ca="1">ROUND(H107*10000/'数据-汇总表'!E3,0)</f>
        <v>544</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21" t="s">
        <v>2295</v>
      </c>
      <c r="H109" s="348" t="str">
        <f>IF(E109="——","——",H101-H105-H106)</f>
        <v>——</v>
      </c>
      <c r="I109" s="138"/>
    </row>
    <row r="110" spans="1:35" ht="18.75" customHeight="1">
      <c r="A110" s="138"/>
      <c r="B110" s="138"/>
      <c r="C110" s="138"/>
      <c r="D110" s="138"/>
      <c r="E110" s="3114"/>
      <c r="F110" s="3084"/>
      <c r="G110" s="2521" t="s">
        <v>2297</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21" t="s">
        <v>2295</v>
      </c>
      <c r="H111" s="1048" t="str">
        <f>IF(E111="——","——",N59)</f>
        <v>——</v>
      </c>
      <c r="I111" s="138"/>
    </row>
    <row r="112" spans="1:35" ht="18.75" customHeight="1" thickBot="1">
      <c r="A112" s="138"/>
      <c r="B112" s="138"/>
      <c r="C112" s="138"/>
      <c r="D112" s="138"/>
      <c r="E112" s="3117"/>
      <c r="F112" s="3118"/>
      <c r="G112" s="2526" t="s">
        <v>2297</v>
      </c>
      <c r="H112" s="790" t="str">
        <f>IF(E111="——","——",N61)</f>
        <v>——</v>
      </c>
      <c r="I112" s="138"/>
    </row>
    <row r="113" spans="1:11" ht="18.75" customHeight="1">
      <c r="A113" s="138"/>
      <c r="B113" s="138"/>
      <c r="C113" s="138"/>
      <c r="D113" s="138"/>
      <c r="E113" s="3126" t="s">
        <v>2303</v>
      </c>
      <c r="F113" s="3126"/>
      <c r="G113" s="3126"/>
      <c r="H113" s="3126"/>
      <c r="I113" s="138"/>
    </row>
    <row r="114" spans="1:11" ht="3.75" customHeight="1">
      <c r="A114" s="2419"/>
      <c r="B114" s="2419"/>
      <c r="C114" s="2419"/>
      <c r="D114" s="2419"/>
      <c r="E114" s="2497"/>
      <c r="F114" s="2497"/>
      <c r="G114" s="2497"/>
      <c r="H114" s="2497"/>
      <c r="I114" s="2419"/>
    </row>
    <row r="115" spans="1:11" ht="18.75" customHeight="1">
      <c r="A115" s="3139" t="s">
        <v>2305</v>
      </c>
      <c r="B115" s="3140"/>
      <c r="C115" s="3140"/>
      <c r="D115" s="3140"/>
      <c r="E115" s="3140"/>
      <c r="F115" s="3140"/>
      <c r="G115" s="3140"/>
      <c r="H115" s="3140"/>
      <c r="I115" s="3141"/>
    </row>
    <row r="116" spans="1:11" ht="27" customHeight="1">
      <c r="A116" s="3050" t="s">
        <v>2306</v>
      </c>
      <c r="B116" s="3093" t="s">
        <v>2307</v>
      </c>
      <c r="C116" s="3093" t="s">
        <v>2308</v>
      </c>
      <c r="D116" s="3099" t="s">
        <v>2309</v>
      </c>
      <c r="E116" s="3100"/>
      <c r="F116" s="3135" t="s">
        <v>2310</v>
      </c>
      <c r="G116" s="3135"/>
      <c r="H116" s="3050" t="s">
        <v>2311</v>
      </c>
      <c r="I116" s="3050"/>
    </row>
    <row r="117" spans="1:11" ht="18.75" customHeight="1">
      <c r="A117" s="3050"/>
      <c r="B117" s="3094"/>
      <c r="C117" s="3094"/>
      <c r="D117" s="2966" t="s">
        <v>2312</v>
      </c>
      <c r="E117" s="2966" t="s">
        <v>2313</v>
      </c>
      <c r="F117" s="2966" t="s">
        <v>2312</v>
      </c>
      <c r="G117" s="2966" t="s">
        <v>2314</v>
      </c>
      <c r="H117" s="2966" t="s">
        <v>2312</v>
      </c>
      <c r="I117" s="2966" t="s">
        <v>2314</v>
      </c>
    </row>
    <row r="118" spans="1:11" ht="24.75" customHeight="1">
      <c r="A118" s="2527" t="str">
        <f>项目基本情况!S2</f>
        <v>房地产</v>
      </c>
      <c r="B118" s="2966">
        <f>M18</f>
        <v>1809.36</v>
      </c>
      <c r="C118" s="2966">
        <f>M19</f>
        <v>424</v>
      </c>
      <c r="D118" s="2966">
        <f ca="1">ROUND(IF(D32="总价",C34,E118*B118/10000),0)</f>
        <v>496</v>
      </c>
      <c r="E118" s="2966">
        <f ca="1">ROUND(IF(C33="自定义",IF(D32="楼面单价",C34,D118*10000/B118),I118-G118),0)</f>
        <v>2744</v>
      </c>
      <c r="F118" s="2966">
        <f ca="1">ROUND(IF(D32="总价",C35,G118*B118/10000),0)</f>
        <v>298</v>
      </c>
      <c r="G118" s="2966">
        <f ca="1">ROUND(IF(D32="楼面单价",C35,F118*10000/B118),0)</f>
        <v>1646</v>
      </c>
      <c r="H118" s="2966">
        <f ca="1">ROUND(IF(D32="总价",C32,I118*B118/10000),0)</f>
        <v>794</v>
      </c>
      <c r="I118" s="2966">
        <f ca="1">ROUND(IF(D32="楼面单价",C32,H118*10000/B118),0)</f>
        <v>4390</v>
      </c>
    </row>
    <row r="119" spans="1:11" ht="18.75" customHeight="1">
      <c r="A119" s="3050" t="s">
        <v>2315</v>
      </c>
      <c r="B119" s="3050"/>
      <c r="C119" s="3050"/>
      <c r="D119" s="3095" t="str">
        <f ca="1">NUMBERSTRING(INT(D118*10000),2)&amp;"元整"</f>
        <v>肆佰玖拾陆万元整</v>
      </c>
      <c r="E119" s="3096"/>
      <c r="F119" s="3095" t="str">
        <f ca="1">NUMBERSTRING(INT(F118*10000),2)&amp;"元整"</f>
        <v>贰佰玖拾捌万元整</v>
      </c>
      <c r="G119" s="3096"/>
      <c r="H119" s="3095" t="str">
        <f ca="1">NUMBERSTRING(INT(H118*10000),2)&amp;"元整"</f>
        <v>柒佰玖拾肆万元整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4" t="str">
        <f>IF(D120=0,"故，本次评估不存在"&amp;A120,"故，本次评估"&amp;A120&amp;"为人民币"&amp;D120&amp;"万元整。")</f>
        <v>故，本次评估不存在估价师知悉的法定优先受偿款</v>
      </c>
    </row>
    <row r="121" spans="1:11" ht="18.75" customHeight="1">
      <c r="A121" s="3136" t="s">
        <v>2315</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794</v>
      </c>
      <c r="E122" s="3091"/>
      <c r="F122" s="3091"/>
      <c r="G122" s="3091"/>
      <c r="H122" s="3091"/>
      <c r="I122" s="3092"/>
    </row>
    <row r="123" spans="1:11" ht="18.75" customHeight="1">
      <c r="A123" s="3050" t="s">
        <v>2315</v>
      </c>
      <c r="B123" s="3050"/>
      <c r="C123" s="3050"/>
      <c r="D123" s="3095" t="str">
        <f ca="1">NUMBERSTRING(INT(D122*10000),2)&amp;"元整"</f>
        <v>柒佰玖拾肆万元整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2315</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2315</v>
      </c>
      <c r="B127" s="3050"/>
      <c r="C127" s="3050"/>
      <c r="D127" s="3095" t="e">
        <f>NUMBERSTRING(INT(D126*10000),2)&amp;"元整"</f>
        <v>#VALUE!</v>
      </c>
      <c r="E127" s="3097"/>
      <c r="F127" s="3097"/>
      <c r="G127" s="3097"/>
      <c r="H127" s="3097"/>
      <c r="I127" s="3096"/>
    </row>
    <row r="128" spans="1:11" ht="21.75" customHeight="1">
      <c r="A128" s="3098" t="s">
        <v>2316</v>
      </c>
      <c r="B128" s="3098"/>
      <c r="C128" s="3098"/>
      <c r="D128" s="3098"/>
      <c r="E128" s="3098"/>
      <c r="F128" s="3098"/>
      <c r="G128" s="3098"/>
      <c r="H128" s="3098"/>
      <c r="I128" s="309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2"/>
  <sheetViews>
    <sheetView zoomScaleNormal="100" zoomScaleSheetLayoutView="90" workbookViewId="0">
      <selection activeCell="G24" sqref="G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3117</v>
      </c>
      <c r="D1" s="1820" t="s">
        <v>70</v>
      </c>
      <c r="E1" s="1821" t="s">
        <v>1383</v>
      </c>
      <c r="F1" s="1284">
        <f ca="1">J53</f>
        <v>37.28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838</v>
      </c>
      <c r="C2" s="1845" t="s">
        <v>1512</v>
      </c>
      <c r="D2" s="1845"/>
      <c r="E2" s="1846"/>
      <c r="F2" s="1847"/>
      <c r="G2" s="1848"/>
      <c r="H2" s="1840"/>
      <c r="I2" s="1840"/>
      <c r="J2" s="1840"/>
      <c r="K2" s="1841"/>
      <c r="L2" s="1840"/>
      <c r="M2" s="1840"/>
    </row>
    <row r="3" spans="1:37" ht="18" customHeight="1" thickBot="1">
      <c r="A3" s="1849" t="s">
        <v>1513</v>
      </c>
      <c r="B3" s="1850">
        <f ca="1">IF(ISERROR(B2*10000/F43),0,ROUND(B2*10000/F43,0))</f>
        <v>4631</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75" t="s">
        <v>1399</v>
      </c>
      <c r="C6" s="1297">
        <f ca="1">ROUND(F6*F8*F7*(1-F9)/10000,0)</f>
        <v>59</v>
      </c>
      <c r="D6" s="164" t="s">
        <v>3026</v>
      </c>
      <c r="E6" s="347" t="s">
        <v>1401</v>
      </c>
      <c r="F6" s="348">
        <f ca="1">INDIRECT("'数据-取费表'!u"&amp;$G$1)</f>
        <v>1</v>
      </c>
      <c r="G6" s="1851"/>
      <c r="H6" s="1292" t="s">
        <v>1032</v>
      </c>
      <c r="I6" s="3175" t="s">
        <v>1399</v>
      </c>
      <c r="J6" s="346">
        <f ca="1">ROUND(M6*M8*M7*(1-M9)/10000,0)</f>
        <v>0</v>
      </c>
      <c r="K6" s="164" t="s">
        <v>3025</v>
      </c>
      <c r="L6" s="347" t="s">
        <v>1401</v>
      </c>
      <c r="M6" s="348">
        <f ca="1">INDIRECT("'数据-取费表'!z"&amp;$G$1)</f>
        <v>0</v>
      </c>
    </row>
    <row r="7" spans="1:37" ht="18" customHeight="1">
      <c r="A7" s="1296"/>
      <c r="B7" s="3176"/>
      <c r="C7" s="1298"/>
      <c r="D7" s="352"/>
      <c r="E7" s="1299" t="s">
        <v>1402</v>
      </c>
      <c r="F7" s="348">
        <f ca="1">IF(INDIRECT("'数据-取费表'!ah"&amp;$G$1)="",INDIRECT("'数据-取费表'!k"&amp;$G$1),INDIRECT("'数据-取费表'!ah"&amp;$G$1))</f>
        <v>1809.36</v>
      </c>
      <c r="G7" s="1851"/>
      <c r="H7" s="349"/>
      <c r="I7" s="3176"/>
      <c r="J7" s="351"/>
      <c r="K7" s="352"/>
      <c r="L7" s="347" t="s">
        <v>1402</v>
      </c>
      <c r="M7" s="348">
        <f ca="1">F7</f>
        <v>1809.36</v>
      </c>
    </row>
    <row r="8" spans="1:37" ht="18" customHeight="1">
      <c r="A8" s="349"/>
      <c r="B8" s="3176"/>
      <c r="C8" s="351"/>
      <c r="D8" s="352"/>
      <c r="E8" s="347" t="s">
        <v>1403</v>
      </c>
      <c r="F8" s="348">
        <f ca="1">INDIRECT("'数据-取费表'!ai"&amp;$G$1)</f>
        <v>365</v>
      </c>
      <c r="G8" s="1851"/>
      <c r="H8" s="349"/>
      <c r="I8" s="3176"/>
      <c r="J8" s="351"/>
      <c r="K8" s="352"/>
      <c r="L8" s="347" t="s">
        <v>1403</v>
      </c>
      <c r="M8" s="348">
        <f ca="1">INDIRECT("'数据-取费表'!ai"&amp;$G$1)</f>
        <v>365</v>
      </c>
    </row>
    <row r="9" spans="1:37" ht="18" customHeight="1">
      <c r="A9" s="349"/>
      <c r="B9" s="3177"/>
      <c r="C9" s="351"/>
      <c r="D9" s="352"/>
      <c r="E9" s="347" t="s">
        <v>1404</v>
      </c>
      <c r="F9" s="357">
        <f ca="1">INDIRECT("'数据-取费表'!w"&amp;$G$1)</f>
        <v>0.1</v>
      </c>
      <c r="G9" s="1851"/>
      <c r="H9" s="349"/>
      <c r="I9" s="3177"/>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3035</v>
      </c>
      <c r="E10" s="358" t="s">
        <v>1406</v>
      </c>
      <c r="F10" s="1367" t="s">
        <v>3108</v>
      </c>
      <c r="G10" s="1851"/>
      <c r="H10" s="1292" t="s">
        <v>1036</v>
      </c>
      <c r="I10" s="1823" t="s">
        <v>1405</v>
      </c>
      <c r="J10" s="346">
        <f ca="1">ROUND(IF(M10="押一",J6/12*M11,IF(M10="押二",J6/12*2*M11,IF(M10="押三",J6/12*3*M11,J11*M11))),0)</f>
        <v>0</v>
      </c>
      <c r="K10" s="1824" t="s">
        <v>3034</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0.34</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424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3054</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0.34</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424</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838</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37.28</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4631</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3055</v>
      </c>
      <c r="K47" s="1882" t="s">
        <v>1523</v>
      </c>
      <c r="L47" s="1883">
        <f ca="1">INDIRECT("'数据-取费表'!d"&amp;$G$1)</f>
        <v>50</v>
      </c>
      <c r="M47" s="1838" t="str">
        <f>IF(ISNUMBER(FIND("住宅",C1)),"住宅","非住宅")</f>
        <v>非住宅</v>
      </c>
      <c r="O47" s="1884" t="s">
        <v>1037</v>
      </c>
      <c r="P47" s="1885" t="s">
        <v>1524</v>
      </c>
      <c r="Q47" s="1886">
        <f ca="1">C40+J29</f>
        <v>838</v>
      </c>
      <c r="R47" s="1886" t="s">
        <v>1525</v>
      </c>
    </row>
    <row r="48" spans="1:18" s="1842" customFormat="1" ht="28.5" thickBot="1">
      <c r="A48" s="1361" t="s">
        <v>1132</v>
      </c>
      <c r="B48" s="345" t="s">
        <v>1397</v>
      </c>
      <c r="C48" s="1817">
        <f ca="1">C49+C53+C55</f>
        <v>0</v>
      </c>
      <c r="D48" s="1363"/>
      <c r="E48" s="1364"/>
      <c r="F48" s="1182"/>
      <c r="G48" s="792"/>
      <c r="H48" s="793"/>
      <c r="I48" s="1887" t="s">
        <v>1526</v>
      </c>
      <c r="J48" s="1888" t="s">
        <v>3056</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3027</v>
      </c>
      <c r="E49" s="1830" t="s">
        <v>1487</v>
      </c>
      <c r="F49" s="1282"/>
      <c r="G49" s="1891"/>
      <c r="H49" s="793"/>
      <c r="I49" s="1887" t="s">
        <v>1530</v>
      </c>
      <c r="J49" s="1892">
        <v>2007</v>
      </c>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38</v>
      </c>
      <c r="K51" s="1900" t="s">
        <v>1537</v>
      </c>
      <c r="L51" s="1901">
        <f ca="1">ROUND(-PV(INDIRECT("'数据-取费表'!h"&amp;$G$1),L48,(C39-C13*C76),0),0)</f>
        <v>266</v>
      </c>
      <c r="M51" s="1902"/>
      <c r="O51" s="1894" t="s">
        <v>1041</v>
      </c>
      <c r="P51" s="1885" t="s">
        <v>1538</v>
      </c>
      <c r="Q51" s="1897">
        <f>J52</f>
        <v>8.5000000000000006E-2</v>
      </c>
      <c r="R51" s="1886"/>
    </row>
    <row r="52" spans="1:18" s="1842" customFormat="1" ht="13.5" thickBot="1">
      <c r="A52" s="1197"/>
      <c r="B52" s="1199"/>
      <c r="C52" s="1200"/>
      <c r="D52" s="1173"/>
      <c r="E52" s="1201" t="s">
        <v>1404</v>
      </c>
      <c r="F52" s="1276"/>
      <c r="I52" s="1903" t="s">
        <v>1539</v>
      </c>
      <c r="J52" s="1904">
        <v>8.5000000000000006E-2</v>
      </c>
      <c r="K52" s="1903" t="s">
        <v>1540</v>
      </c>
      <c r="L52" s="1904">
        <v>0.05</v>
      </c>
      <c r="O52" s="1894" t="s">
        <v>1042</v>
      </c>
      <c r="P52" s="1885" t="s">
        <v>1541</v>
      </c>
      <c r="Q52" s="1886">
        <f ca="1">J53</f>
        <v>37.28</v>
      </c>
      <c r="R52" s="1886" t="s">
        <v>1542</v>
      </c>
    </row>
    <row r="53" spans="1:18" s="1842" customFormat="1" ht="24.75" thickBot="1">
      <c r="A53" s="1406" t="s">
        <v>1134</v>
      </c>
      <c r="B53" s="1831" t="s">
        <v>1405</v>
      </c>
      <c r="C53" s="361">
        <f ca="1">ROUND(IF(F53="押一",C49/12*F11,IF(F53="押二",C49/12*2*F11,IF(F53="押三",C49/12*3*F11,C54*F11))),0)</f>
        <v>0</v>
      </c>
      <c r="D53" s="1824" t="s">
        <v>3034</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37.28</v>
      </c>
      <c r="K53" s="3173" t="s">
        <v>1544</v>
      </c>
      <c r="L53" s="3174"/>
      <c r="O53" s="1884" t="s">
        <v>1043</v>
      </c>
      <c r="P53" s="1885" t="s">
        <v>1545</v>
      </c>
      <c r="Q53" s="1886">
        <f ca="1">Q47+Q48</f>
        <v>838</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3113</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1549</v>
      </c>
      <c r="J56" s="1917" t="s">
        <v>3051</v>
      </c>
      <c r="K56" s="1887" t="s">
        <v>1550</v>
      </c>
      <c r="L56" s="1890" t="str">
        <f ca="1">IF(L48&lt;J51,"——",L48-J53)</f>
        <v>——</v>
      </c>
      <c r="O56" s="1884" t="s">
        <v>1037</v>
      </c>
      <c r="P56" s="1885" t="s">
        <v>1524</v>
      </c>
      <c r="Q56" s="1886">
        <f ca="1">C40+J29</f>
        <v>838</v>
      </c>
      <c r="R56" s="1886" t="s">
        <v>1525</v>
      </c>
    </row>
    <row r="57" spans="1:18" s="1842" customFormat="1" ht="24.75" thickBot="1">
      <c r="A57" s="1918"/>
      <c r="B57" s="1170" t="s">
        <v>1474</v>
      </c>
      <c r="C57" s="282">
        <f ca="1">C29</f>
        <v>424</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8" t="s">
        <v>1420</v>
      </c>
      <c r="C58" s="361">
        <f ca="1">ROUND(C59+C64+C65+C66,0)</f>
        <v>43</v>
      </c>
      <c r="D58" s="1180" t="s">
        <v>1421</v>
      </c>
      <c r="E58" s="1181"/>
      <c r="F58" s="1182"/>
      <c r="I58" s="1922" t="s">
        <v>1555</v>
      </c>
      <c r="J58" s="1924" t="e">
        <f ca="1">IF(J55&lt;0.4,0.4,J55)</f>
        <v>#VALUE!</v>
      </c>
      <c r="K58" s="1900" t="s">
        <v>1556</v>
      </c>
      <c r="L58" s="1890">
        <f ca="1">ROUND(POWER(1+L52,L47-L48)*(POWER(1+L52,L48)-1)/(POWER(1+L52,L47)-1),4)</f>
        <v>0.91779999999999995</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ROUND(IF(项目基本情况!B11="自然人",C48*F59,C60+C61+C62),1)</f>
        <v>36</v>
      </c>
      <c r="D59" s="1183" t="s">
        <v>1426</v>
      </c>
      <c r="E59" s="1184" t="s">
        <v>1427</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0.92400000000000004</v>
      </c>
      <c r="M59" s="1838">
        <f ca="1">ROUND(POWER(1+L52,L47-(J51+'数据-取费表'!B24))*(POWER(1+L52,(J51+'数据-取费表'!B24))-1)/(POWER(1+L52,L47)-1),4)</f>
        <v>0.92400000000000004</v>
      </c>
      <c r="N59" s="1838">
        <f ca="1">ROUND(POWER(1+L52,L47-(J51+'数据-取费表'!B20))*(POWER(1+L52,(J51+'数据-取费表'!B20))-1)/(POWER(1+L52,L47)-1),4)</f>
        <v>0.93210000000000004</v>
      </c>
      <c r="O59" s="1894" t="s">
        <v>1040</v>
      </c>
      <c r="P59" s="1885" t="s">
        <v>1559</v>
      </c>
      <c r="Q59" s="1897">
        <f>L52</f>
        <v>0.05</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1560</v>
      </c>
      <c r="J60" s="1926" t="str">
        <f ca="1">IF(OR(M47="住宅",J51&lt;L48,J56="是"),"0",ROUND(J59/(1+J52)^J53,0))</f>
        <v>0</v>
      </c>
      <c r="K60" s="1927" t="s">
        <v>1561</v>
      </c>
      <c r="L60" s="1926">
        <f ca="1">IF(OR(M47="住宅",L48&lt;J51),0,ROUND(L57*(L58/L59-1),0))</f>
        <v>0</v>
      </c>
      <c r="O60" s="1894" t="s">
        <v>1041</v>
      </c>
      <c r="P60" s="1885" t="s">
        <v>1562</v>
      </c>
      <c r="Q60" s="1886">
        <f ca="1">L58</f>
        <v>0.91779999999999995</v>
      </c>
      <c r="R60" s="1886" t="s">
        <v>1563</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f ca="1">L59</f>
        <v>0.92400000000000004</v>
      </c>
      <c r="R61" s="1886" t="s">
        <v>1564</v>
      </c>
    </row>
    <row r="62" spans="1:18" s="1842" customFormat="1" ht="13.5" thickBot="1">
      <c r="A62" s="1202" t="s">
        <v>1491</v>
      </c>
      <c r="B62" s="1169" t="s">
        <v>1492</v>
      </c>
      <c r="C62" s="25">
        <f ca="1">IF(项目基本情况!B11="自然人","——",ROUND(F62*F63/10000,2))</f>
        <v>0.34</v>
      </c>
      <c r="D62" s="1185" t="s">
        <v>1493</v>
      </c>
      <c r="E62" s="1170" t="s">
        <v>1494</v>
      </c>
      <c r="F62" s="371">
        <f t="shared" si="0"/>
        <v>8</v>
      </c>
      <c r="I62" s="1929" t="s">
        <v>1565</v>
      </c>
      <c r="J62" s="1930" t="s">
        <v>1566</v>
      </c>
      <c r="K62" s="1930" t="s">
        <v>1567</v>
      </c>
      <c r="L62" s="1930" t="s">
        <v>1568</v>
      </c>
      <c r="M62" s="1931" t="s">
        <v>1569</v>
      </c>
      <c r="O62" s="1884" t="s">
        <v>1043</v>
      </c>
      <c r="P62" s="1885" t="s">
        <v>1570</v>
      </c>
      <c r="Q62" s="1886">
        <f ca="1">Q56+Q57</f>
        <v>838</v>
      </c>
      <c r="R62" s="1886" t="s">
        <v>1044</v>
      </c>
    </row>
    <row r="63" spans="1:18" s="1842" customFormat="1" ht="13.5" thickBot="1">
      <c r="A63" s="372"/>
      <c r="B63" s="1176"/>
      <c r="C63" s="29"/>
      <c r="D63" s="1186"/>
      <c r="E63" s="1170" t="s">
        <v>1495</v>
      </c>
      <c r="F63" s="348">
        <f t="shared" ca="1" si="0"/>
        <v>424</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1574</v>
      </c>
      <c r="J65" s="1930">
        <v>40</v>
      </c>
      <c r="K65" s="1930">
        <v>30</v>
      </c>
      <c r="L65" s="1930">
        <v>50</v>
      </c>
      <c r="M65" s="1932">
        <v>0.02</v>
      </c>
      <c r="O65" s="1884" t="s">
        <v>1037</v>
      </c>
      <c r="P65" s="1885" t="s">
        <v>1575</v>
      </c>
      <c r="Q65" s="1886">
        <f ca="1">C40+J29</f>
        <v>838</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1553</v>
      </c>
      <c r="Q66" s="1886">
        <f ca="1">L60</f>
        <v>0</v>
      </c>
      <c r="R66" s="1886" t="s">
        <v>1576</v>
      </c>
    </row>
    <row r="67" spans="1:18" s="1842" customFormat="1" ht="16.5" thickBot="1">
      <c r="A67" s="1177" t="s">
        <v>1028</v>
      </c>
      <c r="B67" s="1187" t="s">
        <v>1459</v>
      </c>
      <c r="C67" s="361">
        <f ca="1">C48-C58</f>
        <v>-43</v>
      </c>
      <c r="D67" s="1183" t="s">
        <v>1460</v>
      </c>
      <c r="E67" s="1188"/>
      <c r="F67" s="1189"/>
      <c r="O67" s="1894" t="s">
        <v>1039</v>
      </c>
      <c r="P67" s="1885" t="s">
        <v>1557</v>
      </c>
      <c r="Q67" s="1933">
        <f ca="1">L51</f>
        <v>266</v>
      </c>
      <c r="R67" s="1886" t="s">
        <v>1577</v>
      </c>
    </row>
    <row r="68" spans="1:18" s="1842" customFormat="1" ht="16.5" thickBot="1">
      <c r="A68" s="1167" t="s">
        <v>1029</v>
      </c>
      <c r="B68" s="1168" t="s">
        <v>1481</v>
      </c>
      <c r="C68" s="346">
        <f ca="1">ROUND(C67*(1-((1+F70)/(1+F68))^F69)/(F68-F70),0)</f>
        <v>-676</v>
      </c>
      <c r="D68" s="1185" t="s">
        <v>1465</v>
      </c>
      <c r="E68" s="1170" t="s">
        <v>1466</v>
      </c>
      <c r="F68" s="357">
        <f ca="1">F40</f>
        <v>5.5E-2</v>
      </c>
      <c r="O68" s="1894" t="s">
        <v>1040</v>
      </c>
      <c r="P68" s="1934" t="s">
        <v>1578</v>
      </c>
      <c r="Q68" s="1886">
        <f ca="1">ROUND(Q69-Q70*Q71,0)</f>
        <v>16</v>
      </c>
      <c r="R68" s="1886" t="s">
        <v>1048</v>
      </c>
    </row>
    <row r="69" spans="1:18" s="1842" customFormat="1" ht="13.5" thickBot="1">
      <c r="A69" s="1171"/>
      <c r="B69" s="1172"/>
      <c r="C69" s="351"/>
      <c r="D69" s="1190" t="s">
        <v>1469</v>
      </c>
      <c r="E69" s="1170" t="s">
        <v>1470</v>
      </c>
      <c r="F69" s="379">
        <f ca="1">F41</f>
        <v>37.28</v>
      </c>
      <c r="O69" s="1894" t="s">
        <v>1045</v>
      </c>
      <c r="P69" s="1934" t="s">
        <v>1579</v>
      </c>
      <c r="Q69" s="1886">
        <f ca="1">C39</f>
        <v>41</v>
      </c>
      <c r="R69" s="1886" t="s">
        <v>1525</v>
      </c>
    </row>
    <row r="70" spans="1:18" s="1842" customFormat="1" ht="13.5" thickBot="1">
      <c r="A70" s="1174"/>
      <c r="B70" s="1175"/>
      <c r="C70" s="355"/>
      <c r="D70" s="1186"/>
      <c r="E70" s="1170" t="s">
        <v>1473</v>
      </c>
      <c r="F70" s="1276"/>
      <c r="O70" s="1894" t="s">
        <v>1046</v>
      </c>
      <c r="P70" s="1934" t="s">
        <v>1580</v>
      </c>
      <c r="Q70" s="1886">
        <f ca="1">C13</f>
        <v>314</v>
      </c>
      <c r="R70" s="1886" t="s">
        <v>1525</v>
      </c>
    </row>
    <row r="71" spans="1:18" s="1842" customFormat="1" ht="13.5" thickBot="1">
      <c r="A71" s="1191" t="s">
        <v>1030</v>
      </c>
      <c r="B71" s="1192" t="s">
        <v>1483</v>
      </c>
      <c r="C71" s="382">
        <f ca="1">ROUND(C68*10000/F71,0)</f>
        <v>-3736</v>
      </c>
      <c r="D71" s="1193" t="s">
        <v>1484</v>
      </c>
      <c r="E71" s="1194" t="s">
        <v>1485</v>
      </c>
      <c r="F71" s="385">
        <f ca="1">F43</f>
        <v>1809.36</v>
      </c>
      <c r="O71" s="1894" t="s">
        <v>1047</v>
      </c>
      <c r="P71" s="1934" t="s">
        <v>1581</v>
      </c>
      <c r="Q71" s="1897">
        <f ca="1">C76</f>
        <v>0.08</v>
      </c>
      <c r="R71" s="1886"/>
    </row>
    <row r="72" spans="1:18" s="1842" customFormat="1" ht="13.5" thickBot="1">
      <c r="B72" s="796"/>
      <c r="C72" s="796"/>
      <c r="O72" s="1894" t="s">
        <v>1041</v>
      </c>
      <c r="P72" s="1885" t="s">
        <v>1559</v>
      </c>
      <c r="Q72" s="1897">
        <f>L52</f>
        <v>0.05</v>
      </c>
      <c r="R72" s="1886"/>
    </row>
    <row r="73" spans="1:18" ht="16.5" thickBot="1">
      <c r="A73" s="1842"/>
      <c r="B73" s="796"/>
      <c r="C73" s="796"/>
      <c r="D73" s="1842"/>
      <c r="E73" s="1842"/>
      <c r="F73" s="1842"/>
      <c r="O73" s="1894" t="s">
        <v>1042</v>
      </c>
      <c r="P73" s="1885" t="s">
        <v>1562</v>
      </c>
      <c r="Q73" s="1886">
        <f ca="1">L58</f>
        <v>0.91779999999999995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0.92400000000000004</v>
      </c>
      <c r="R74" s="1886" t="s">
        <v>1564</v>
      </c>
    </row>
    <row r="75" spans="1:18" ht="13.5" thickBot="1">
      <c r="A75" s="1842"/>
      <c r="B75" s="386" t="s">
        <v>1502</v>
      </c>
      <c r="C75" s="387">
        <f ca="1">ROUND(C13*C76,0)</f>
        <v>25</v>
      </c>
      <c r="D75" s="1842"/>
      <c r="E75" s="1842"/>
      <c r="F75" s="1842"/>
      <c r="K75" s="1868"/>
      <c r="L75" s="1842"/>
      <c r="O75" s="1884" t="s">
        <v>1043</v>
      </c>
      <c r="P75" s="1885" t="s">
        <v>1545</v>
      </c>
      <c r="Q75" s="1886">
        <f ca="1">Q65+Q66</f>
        <v>838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6">
      <c r="B81" s="314" t="s">
        <v>1508</v>
      </c>
      <c r="C81" s="282"/>
    </row>
    <row r="82" spans="2:6">
      <c r="B82" s="317" t="s">
        <v>1509</v>
      </c>
      <c r="C82" s="319">
        <f ca="1">1-C83</f>
        <v>0.625</v>
      </c>
    </row>
    <row r="83" spans="2:6">
      <c r="B83" s="317" t="s">
        <v>1510</v>
      </c>
      <c r="C83" s="318">
        <f ca="1">ROUND(C13/C40,3)</f>
        <v>0.375</v>
      </c>
    </row>
    <row r="89" spans="2:6">
      <c r="F89" s="302">
        <v>2006</v>
      </c>
    </row>
    <row r="90" spans="2:6">
      <c r="F90" s="302">
        <v>2019</v>
      </c>
    </row>
    <row r="91" spans="2:6">
      <c r="F91" s="302">
        <f>F90-F89</f>
        <v>13</v>
      </c>
    </row>
    <row r="92" spans="2:6">
      <c r="F92" s="302">
        <v>50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4"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3">
        <f ca="1">C6+C10+C12</f>
        <v>0</v>
      </c>
      <c r="D5" s="1822" t="s">
        <v>1596</v>
      </c>
      <c r="E5" s="1294"/>
      <c r="F5" s="1295"/>
      <c r="G5" s="1851"/>
      <c r="H5" s="344">
        <v>1</v>
      </c>
      <c r="I5" s="345" t="s">
        <v>1595</v>
      </c>
      <c r="J5" s="1293">
        <f ca="1">J6+J10+J12</f>
        <v>0</v>
      </c>
      <c r="K5" s="1822" t="s">
        <v>1596</v>
      </c>
      <c r="L5" s="1294"/>
      <c r="M5" s="1295"/>
    </row>
    <row r="6" spans="1:37" ht="18" customHeight="1">
      <c r="A6" s="1292" t="s">
        <v>1032</v>
      </c>
      <c r="B6" s="3175" t="s">
        <v>1399</v>
      </c>
      <c r="C6" s="1297">
        <f ca="1">ROUND(F6*F8*F7*(1-F9),0)</f>
        <v>0</v>
      </c>
      <c r="D6" s="164" t="s">
        <v>3023</v>
      </c>
      <c r="E6" s="347" t="s">
        <v>1401</v>
      </c>
      <c r="F6" s="348">
        <f ca="1">INDIRECT("'数据-取费表'!u"&amp;$G$1)</f>
        <v>0</v>
      </c>
      <c r="G6" s="1851"/>
      <c r="H6" s="1292" t="s">
        <v>1032</v>
      </c>
      <c r="I6" s="3175" t="s">
        <v>1399</v>
      </c>
      <c r="J6" s="346">
        <f ca="1">ROUND(M6*M8*M7*(1-M9),0)</f>
        <v>0</v>
      </c>
      <c r="K6" s="1834" t="s">
        <v>3024</v>
      </c>
      <c r="L6" s="347" t="s">
        <v>1401</v>
      </c>
      <c r="M6" s="348">
        <f ca="1">INDIRECT("'数据-取费表'!z"&amp;$G$1)</f>
        <v>0</v>
      </c>
    </row>
    <row r="7" spans="1:37" ht="18" customHeight="1">
      <c r="A7" s="1296"/>
      <c r="B7" s="3176"/>
      <c r="C7" s="1298"/>
      <c r="D7" s="352"/>
      <c r="E7" s="1299" t="s">
        <v>1402</v>
      </c>
      <c r="F7" s="348">
        <f ca="1">IF(INDIRECT("'数据-取费表'!ah"&amp;$G$1)="",INDIRECT("'数据-取费表'!k"&amp;$G$1),INDIRECT("'数据-取费表'!ah"&amp;$G$1))</f>
        <v>0</v>
      </c>
      <c r="G7" s="1851"/>
      <c r="H7" s="349"/>
      <c r="I7" s="3176"/>
      <c r="J7" s="351"/>
      <c r="K7" s="352"/>
      <c r="L7" s="347" t="s">
        <v>1402</v>
      </c>
      <c r="M7" s="348">
        <f ca="1">F7</f>
        <v>0</v>
      </c>
    </row>
    <row r="8" spans="1:37" ht="18" customHeight="1">
      <c r="A8" s="349"/>
      <c r="B8" s="3176"/>
      <c r="C8" s="351"/>
      <c r="D8" s="352"/>
      <c r="E8" s="347" t="s">
        <v>1403</v>
      </c>
      <c r="F8" s="348">
        <f ca="1">INDIRECT("'数据-取费表'!ai"&amp;$G$1)</f>
        <v>0</v>
      </c>
      <c r="G8" s="1851"/>
      <c r="H8" s="349"/>
      <c r="I8" s="3176"/>
      <c r="J8" s="351"/>
      <c r="K8" s="352"/>
      <c r="L8" s="347" t="s">
        <v>1403</v>
      </c>
      <c r="M8" s="348">
        <f ca="1">INDIRECT("'数据-取费表'!ai"&amp;$G$1)</f>
        <v>0</v>
      </c>
    </row>
    <row r="9" spans="1:37" ht="18" customHeight="1">
      <c r="A9" s="349"/>
      <c r="B9" s="3177"/>
      <c r="C9" s="351"/>
      <c r="D9" s="352"/>
      <c r="E9" s="347" t="s">
        <v>1404</v>
      </c>
      <c r="F9" s="357">
        <f ca="1">INDIRECT("'数据-取费表'!w"&amp;$G$1)</f>
        <v>0</v>
      </c>
      <c r="G9" s="1851"/>
      <c r="H9" s="349"/>
      <c r="I9" s="3177"/>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3034</v>
      </c>
      <c r="E10" s="358" t="s">
        <v>1406</v>
      </c>
      <c r="F10" s="1367"/>
      <c r="G10" s="1851"/>
      <c r="H10" s="1292" t="s">
        <v>1036</v>
      </c>
      <c r="I10" s="1823" t="s">
        <v>1405</v>
      </c>
      <c r="J10" s="346">
        <f ca="1">ROUND(IF(M10="押一",J6/12*M11,IF(M10="押二",J6/12*2*M11,IF(M10="押三",J6/12*3*M11,J11*M11))),0)</f>
        <v>0</v>
      </c>
      <c r="K10" s="1835" t="s">
        <v>3036</v>
      </c>
      <c r="L10" s="358" t="s">
        <v>1406</v>
      </c>
      <c r="M10" s="1367"/>
    </row>
    <row r="11" spans="1:37" ht="18" customHeight="1">
      <c r="A11" s="353"/>
      <c r="B11" s="1825" t="s">
        <v>1597</v>
      </c>
      <c r="C11" s="1179"/>
      <c r="D11" s="352"/>
      <c r="E11" s="358" t="s">
        <v>1408</v>
      </c>
      <c r="F11" s="359">
        <f ca="1">'数据-取费表'!B39</f>
        <v>1.4999999999999999E-2</v>
      </c>
      <c r="G11" s="1851"/>
      <c r="H11" s="1300"/>
      <c r="I11" s="1825" t="s">
        <v>1598</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3037</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73" t="s">
        <v>1544</v>
      </c>
      <c r="L53" s="3174"/>
      <c r="O53" s="1884" t="s">
        <v>1043</v>
      </c>
      <c r="P53" s="1885" t="s">
        <v>1545</v>
      </c>
      <c r="Q53" s="1886" t="e">
        <f ca="1">Q47+Q48</f>
        <v>#DIV/0!</v>
      </c>
      <c r="R53" s="1886" t="s">
        <v>1044</v>
      </c>
    </row>
    <row r="54" spans="1:18" s="1842" customFormat="1" ht="13.5" thickBot="1">
      <c r="A54" s="1195"/>
      <c r="B54" s="1941" t="s">
        <v>1598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8" t="s">
        <v>1420</v>
      </c>
      <c r="C58" s="361">
        <f ca="1">ROUND(C59+C64+C65+C66,0)</f>
        <v>0</v>
      </c>
      <c r="D58" s="1180" t="s">
        <v>1421</v>
      </c>
      <c r="E58" s="1181"/>
      <c r="F58" s="1182"/>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1553</v>
      </c>
      <c r="Q66" s="1886" t="e">
        <f ca="1">L60</f>
        <v>#DIV/0!</v>
      </c>
      <c r="R66" s="1886" t="s">
        <v>1576</v>
      </c>
    </row>
    <row r="67" spans="1:18" s="1842" customFormat="1" ht="16.5" thickBot="1">
      <c r="A67" s="1177" t="s">
        <v>1028</v>
      </c>
      <c r="B67" s="1187" t="s">
        <v>1459</v>
      </c>
      <c r="C67" s="361">
        <f ca="1">C48-C58</f>
        <v>0</v>
      </c>
      <c r="D67" s="1183" t="s">
        <v>1460</v>
      </c>
      <c r="E67" s="1188"/>
      <c r="F67" s="1189"/>
      <c r="O67" s="1894" t="s">
        <v>1039</v>
      </c>
      <c r="P67" s="1885" t="s">
        <v>1557</v>
      </c>
      <c r="Q67" s="1933">
        <f ca="1">L51</f>
        <v>0</v>
      </c>
      <c r="R67" s="1886" t="s">
        <v>1577</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1578</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1579</v>
      </c>
      <c r="Q69" s="1886">
        <f ca="1">C39</f>
        <v>0</v>
      </c>
      <c r="R69" s="1886" t="s">
        <v>1525</v>
      </c>
    </row>
    <row r="70" spans="1:18" s="1842" customFormat="1" ht="13.5" thickBot="1">
      <c r="A70" s="1174"/>
      <c r="B70" s="1175"/>
      <c r="C70" s="355"/>
      <c r="D70" s="1186"/>
      <c r="E70" s="1170" t="s">
        <v>1473</v>
      </c>
      <c r="F70" s="1276">
        <f ca="1">F42</f>
        <v>0</v>
      </c>
      <c r="O70" s="1894" t="s">
        <v>1046</v>
      </c>
      <c r="P70" s="1934" t="s">
        <v>1580</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2524</v>
      </c>
      <c r="B1" s="2565"/>
      <c r="C1" s="2565"/>
      <c r="D1" s="2565"/>
      <c r="E1" s="2566"/>
    </row>
    <row r="2" spans="1:6" ht="15.75">
      <c r="A2" s="2567" t="s">
        <v>2325</v>
      </c>
      <c r="B2" s="2568">
        <f ca="1">SUMIF(B6:B13,"&lt;&gt;#ref!",B6:B13)</f>
        <v>838</v>
      </c>
      <c r="C2" s="2569" t="s">
        <v>2517</v>
      </c>
      <c r="D2" s="2570" t="s">
        <v>2518</v>
      </c>
      <c r="E2" s="2571">
        <f>SUM(E6:E13)</f>
        <v>1809.36</v>
      </c>
    </row>
    <row r="3" spans="1:6" ht="15.75">
      <c r="A3" s="2567" t="s">
        <v>1391</v>
      </c>
      <c r="B3" s="2568">
        <f ca="1">ROUND(B2*10000/E2,0)</f>
        <v>4631</v>
      </c>
      <c r="C3" s="2569" t="s">
        <v>2525</v>
      </c>
      <c r="D3" s="2572"/>
      <c r="E3" s="2573"/>
    </row>
    <row r="4" spans="1:6" ht="15.75">
      <c r="A4" s="2574"/>
      <c r="B4" s="2572"/>
      <c r="C4" s="2572"/>
      <c r="D4" s="2572"/>
      <c r="E4" s="2573"/>
    </row>
    <row r="5" spans="1:6" ht="15">
      <c r="A5" s="2575" t="s">
        <v>2519</v>
      </c>
      <c r="B5" s="3178" t="s">
        <v>2520</v>
      </c>
      <c r="C5" s="3178"/>
      <c r="D5" s="2576"/>
      <c r="E5" s="2577" t="s">
        <v>2521</v>
      </c>
      <c r="F5" s="2578" t="s">
        <v>2522</v>
      </c>
    </row>
    <row r="6" spans="1:6">
      <c r="A6" s="2579" t="str">
        <f>'数据-取费表'!AN6</f>
        <v>收益法</v>
      </c>
      <c r="B6" s="2578">
        <f ca="1">IF(F6="是",'数据-取费表'!AO6,0)</f>
        <v>838</v>
      </c>
      <c r="C6" s="2569" t="s">
        <v>2517</v>
      </c>
      <c r="D6" s="2572"/>
      <c r="E6" s="2580">
        <f>IF(OR(A6=0,F6="否"),0,'数据-取费表'!K6+'数据-取费表'!S6)</f>
        <v>1809.36</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79" t="s">
        <v>1073</v>
      </c>
      <c r="B1" s="3180"/>
      <c r="C1" s="3181"/>
      <c r="D1" s="3182">
        <f>SUM(I10,I15,I20,I21,I23)</f>
        <v>0</v>
      </c>
      <c r="E1" s="3182"/>
      <c r="F1" s="3182"/>
      <c r="G1" s="3182"/>
      <c r="H1" s="3182"/>
      <c r="I1" s="3183"/>
    </row>
    <row r="2" spans="1:9">
      <c r="A2" s="3184" t="s">
        <v>1074</v>
      </c>
      <c r="B2" s="3185" t="s">
        <v>1075</v>
      </c>
      <c r="C2" s="3185"/>
      <c r="D2" s="1302" t="s">
        <v>1076</v>
      </c>
      <c r="E2" s="1302" t="s">
        <v>1077</v>
      </c>
      <c r="F2" s="1302" t="s">
        <v>1078</v>
      </c>
      <c r="G2" s="1302" t="s">
        <v>1079</v>
      </c>
      <c r="H2" s="1302" t="s">
        <v>1080</v>
      </c>
      <c r="I2" s="1303" t="s">
        <v>1081</v>
      </c>
    </row>
    <row r="3" spans="1:9">
      <c r="A3" s="3184"/>
      <c r="B3" s="3185" t="s">
        <v>1082</v>
      </c>
      <c r="C3" s="3185"/>
      <c r="D3" s="1304"/>
      <c r="E3" s="1302"/>
      <c r="F3" s="1305"/>
      <c r="G3" s="1305"/>
      <c r="H3" s="1306"/>
      <c r="I3" s="1307">
        <f>ROUND(D3*E3*F3*G3*H3/10000,0)</f>
        <v>0</v>
      </c>
    </row>
    <row r="4" spans="1:9">
      <c r="A4" s="3184"/>
      <c r="B4" s="3185" t="s">
        <v>1083</v>
      </c>
      <c r="C4" s="3185"/>
      <c r="D4" s="1304"/>
      <c r="E4" s="1302"/>
      <c r="F4" s="1305"/>
      <c r="G4" s="1305"/>
      <c r="H4" s="1306"/>
      <c r="I4" s="1307">
        <f t="shared" ref="I4:I9" si="0">ROUND(D4*E4*F4*G4*H4/10000,0)</f>
        <v>0</v>
      </c>
    </row>
    <row r="5" spans="1:9">
      <c r="A5" s="3184"/>
      <c r="B5" s="3185" t="s">
        <v>1084</v>
      </c>
      <c r="C5" s="3185"/>
      <c r="D5" s="1304"/>
      <c r="E5" s="1302"/>
      <c r="F5" s="1305"/>
      <c r="G5" s="1305"/>
      <c r="H5" s="1306"/>
      <c r="I5" s="1307">
        <f t="shared" si="0"/>
        <v>0</v>
      </c>
    </row>
    <row r="6" spans="1:9">
      <c r="A6" s="3184"/>
      <c r="B6" s="3185" t="s">
        <v>1085</v>
      </c>
      <c r="C6" s="3185"/>
      <c r="D6" s="1304"/>
      <c r="E6" s="1302"/>
      <c r="F6" s="1305"/>
      <c r="G6" s="1305"/>
      <c r="H6" s="1306"/>
      <c r="I6" s="1307">
        <f t="shared" si="0"/>
        <v>0</v>
      </c>
    </row>
    <row r="7" spans="1:9">
      <c r="A7" s="3184"/>
      <c r="B7" s="3185" t="s">
        <v>1086</v>
      </c>
      <c r="C7" s="3185"/>
      <c r="D7" s="1304"/>
      <c r="E7" s="1302"/>
      <c r="F7" s="1305"/>
      <c r="G7" s="1305"/>
      <c r="H7" s="1306"/>
      <c r="I7" s="1307">
        <f t="shared" si="0"/>
        <v>0</v>
      </c>
    </row>
    <row r="8" spans="1:9">
      <c r="A8" s="3184"/>
      <c r="B8" s="3185" t="s">
        <v>1087</v>
      </c>
      <c r="C8" s="3185"/>
      <c r="D8" s="1304"/>
      <c r="E8" s="1302"/>
      <c r="F8" s="1305"/>
      <c r="G8" s="1305"/>
      <c r="H8" s="1306"/>
      <c r="I8" s="1307">
        <f t="shared" si="0"/>
        <v>0</v>
      </c>
    </row>
    <row r="9" spans="1:9">
      <c r="A9" s="3184"/>
      <c r="B9" s="3185" t="s">
        <v>1088</v>
      </c>
      <c r="C9" s="3185"/>
      <c r="D9" s="1304"/>
      <c r="E9" s="1302"/>
      <c r="F9" s="1305"/>
      <c r="G9" s="1305"/>
      <c r="H9" s="1306"/>
      <c r="I9" s="1307">
        <f t="shared" si="0"/>
        <v>0</v>
      </c>
    </row>
    <row r="10" spans="1:9">
      <c r="A10" s="3184"/>
      <c r="B10" s="3186" t="s">
        <v>1089</v>
      </c>
      <c r="C10" s="3186"/>
      <c r="D10" s="1308"/>
      <c r="E10" s="1308" t="e">
        <f>ROUND(D1*10000/D10/H9,0)</f>
        <v>#DIV/0!</v>
      </c>
      <c r="F10" s="1309"/>
      <c r="G10" s="1309"/>
      <c r="H10" s="1310"/>
      <c r="I10" s="1311">
        <f>SUM(I3:I9)</f>
        <v>0</v>
      </c>
    </row>
    <row r="11" spans="1:9" ht="14.25">
      <c r="A11" s="3184" t="s">
        <v>1090</v>
      </c>
      <c r="B11" s="3185" t="s">
        <v>1091</v>
      </c>
      <c r="C11" s="3185"/>
      <c r="D11" s="1304" t="s">
        <v>1092</v>
      </c>
      <c r="E11" s="1304" t="s">
        <v>1093</v>
      </c>
      <c r="F11" s="1305" t="s">
        <v>1094</v>
      </c>
      <c r="G11" s="1305" t="s">
        <v>1080</v>
      </c>
      <c r="H11" s="1312" t="s">
        <v>1095</v>
      </c>
      <c r="I11" s="1303" t="s">
        <v>1081</v>
      </c>
    </row>
    <row r="12" spans="1:9">
      <c r="A12" s="3184"/>
      <c r="B12" s="3185" t="s">
        <v>1096</v>
      </c>
      <c r="C12" s="3185"/>
      <c r="D12" s="1304"/>
      <c r="E12" s="1304"/>
      <c r="F12" s="1305"/>
      <c r="G12" s="1306"/>
      <c r="H12" s="1313"/>
      <c r="I12" s="1303">
        <f>ROUND(D12*E12*F12*G12/10000,0)</f>
        <v>0</v>
      </c>
    </row>
    <row r="13" spans="1:9">
      <c r="A13" s="3184"/>
      <c r="B13" s="3185" t="s">
        <v>1097</v>
      </c>
      <c r="C13" s="3185"/>
      <c r="D13" s="1304"/>
      <c r="E13" s="1304"/>
      <c r="F13" s="1305"/>
      <c r="G13" s="1306"/>
      <c r="H13" s="1313"/>
      <c r="I13" s="1303">
        <f>ROUND(D13*E13*F13*G13/10000,0)</f>
        <v>0</v>
      </c>
    </row>
    <row r="14" spans="1:9">
      <c r="A14" s="3184"/>
      <c r="B14" s="3185" t="s">
        <v>1098</v>
      </c>
      <c r="C14" s="3185"/>
      <c r="D14" s="1304"/>
      <c r="E14" s="1304"/>
      <c r="F14" s="1305"/>
      <c r="G14" s="1306"/>
      <c r="H14" s="1313"/>
      <c r="I14" s="1303">
        <f>ROUND(D14*E14*F14*G14/10000,0)</f>
        <v>0</v>
      </c>
    </row>
    <row r="15" spans="1:9">
      <c r="A15" s="3184"/>
      <c r="B15" s="3186" t="s">
        <v>1089</v>
      </c>
      <c r="C15" s="3186"/>
      <c r="D15" s="1308"/>
      <c r="E15" s="1308">
        <f>SUM(E12:E14)</f>
        <v>0</v>
      </c>
      <c r="F15" s="1309"/>
      <c r="G15" s="1306"/>
      <c r="H15" s="1313"/>
      <c r="I15" s="1314">
        <f>SUM(I12:I14)</f>
        <v>0</v>
      </c>
    </row>
    <row r="16" spans="1:9" ht="24">
      <c r="A16" s="3184" t="s">
        <v>1099</v>
      </c>
      <c r="B16" s="3185" t="s">
        <v>1100</v>
      </c>
      <c r="C16" s="3185"/>
      <c r="D16" s="1304" t="s">
        <v>1076</v>
      </c>
      <c r="E16" s="1315" t="s">
        <v>1101</v>
      </c>
      <c r="F16" s="1305" t="s">
        <v>1102</v>
      </c>
      <c r="G16" s="1306" t="s">
        <v>1080</v>
      </c>
      <c r="H16" s="1312" t="s">
        <v>1095</v>
      </c>
      <c r="I16" s="1303" t="s">
        <v>1081</v>
      </c>
    </row>
    <row r="17" spans="1:9" ht="14.25">
      <c r="A17" s="3184"/>
      <c r="B17" s="3185" t="s">
        <v>1103</v>
      </c>
      <c r="C17" s="3185"/>
      <c r="D17" s="1304"/>
      <c r="E17" s="1304"/>
      <c r="F17" s="1305"/>
      <c r="G17" s="1306"/>
      <c r="H17" s="1316"/>
      <c r="I17" s="1317">
        <f>ROUND(D17*E17*F17*G17/10000,0)</f>
        <v>0</v>
      </c>
    </row>
    <row r="18" spans="1:9" ht="14.25">
      <c r="A18" s="3184"/>
      <c r="B18" s="3185" t="s">
        <v>1104</v>
      </c>
      <c r="C18" s="3185"/>
      <c r="D18" s="1304"/>
      <c r="E18" s="1304"/>
      <c r="F18" s="1305"/>
      <c r="G18" s="1306"/>
      <c r="H18" s="1316"/>
      <c r="I18" s="1317">
        <f>ROUND(D18*E18*F18*G18/10000,0)</f>
        <v>0</v>
      </c>
    </row>
    <row r="19" spans="1:9" ht="14.25">
      <c r="A19" s="3184"/>
      <c r="B19" s="3185" t="s">
        <v>1105</v>
      </c>
      <c r="C19" s="3185"/>
      <c r="D19" s="1304"/>
      <c r="E19" s="1304"/>
      <c r="F19" s="1305"/>
      <c r="G19" s="1306"/>
      <c r="H19" s="1316"/>
      <c r="I19" s="1317">
        <f>ROUND(D19*E19*F19*G19/10000,0)</f>
        <v>0</v>
      </c>
    </row>
    <row r="20" spans="1:9">
      <c r="A20" s="3184"/>
      <c r="B20" s="3186" t="s">
        <v>1089</v>
      </c>
      <c r="C20" s="3186"/>
      <c r="D20" s="1308">
        <f>SUM(D17:D19)</f>
        <v>0</v>
      </c>
      <c r="E20" s="1308"/>
      <c r="F20" s="1309"/>
      <c r="G20" s="1306"/>
      <c r="H20" s="1313"/>
      <c r="I20" s="1314">
        <f>SUM(I17:I19)</f>
        <v>0</v>
      </c>
    </row>
    <row r="21" spans="1:9">
      <c r="A21" s="3184" t="s">
        <v>1106</v>
      </c>
      <c r="B21" s="3188"/>
      <c r="C21" s="3188"/>
      <c r="D21" s="3188"/>
      <c r="E21" s="3188"/>
      <c r="F21" s="3188"/>
      <c r="G21" s="3188"/>
      <c r="H21" s="1766">
        <v>0.1</v>
      </c>
      <c r="I21" s="1311">
        <f>ROUND(I10*H21,0)</f>
        <v>0</v>
      </c>
    </row>
    <row r="22" spans="1:9" ht="14.25">
      <c r="A22" s="3189" t="s">
        <v>1107</v>
      </c>
      <c r="B22" s="3190"/>
      <c r="C22" s="3191"/>
      <c r="D22" s="1318" t="s">
        <v>1108</v>
      </c>
      <c r="E22" s="1318" t="s">
        <v>1109</v>
      </c>
      <c r="F22" s="1319" t="s">
        <v>1110</v>
      </c>
      <c r="G22" s="1319" t="s">
        <v>1111</v>
      </c>
      <c r="H22" s="1312" t="s">
        <v>1112</v>
      </c>
      <c r="I22" s="1303" t="s">
        <v>1113</v>
      </c>
    </row>
    <row r="23" spans="1:9" ht="14.25" thickBot="1">
      <c r="A23" s="3192"/>
      <c r="B23" s="3193"/>
      <c r="C23" s="3194"/>
      <c r="D23" s="1320"/>
      <c r="E23" s="1320"/>
      <c r="F23" s="1320"/>
      <c r="G23" s="1321"/>
      <c r="H23" s="1322"/>
      <c r="I23" s="1323">
        <f>ROUND(E23*D23*F23*(1-G23)/10000,0)</f>
        <v>0</v>
      </c>
    </row>
    <row r="26" spans="1:9">
      <c r="A26" s="1324" t="s">
        <v>1114</v>
      </c>
      <c r="B26" s="1324"/>
      <c r="C26" s="1324"/>
      <c r="D26" s="1324"/>
      <c r="E26" s="3195">
        <f>C27-C30-C31-C32</f>
        <v>0</v>
      </c>
      <c r="F26" s="3195"/>
      <c r="G26" s="3195"/>
      <c r="H26" s="1738" t="s">
        <v>1336</v>
      </c>
    </row>
    <row r="27" spans="1:9">
      <c r="A27" s="1325">
        <v>1</v>
      </c>
      <c r="B27" s="1326" t="s">
        <v>1115</v>
      </c>
      <c r="C27" s="1326">
        <f>C28+C29</f>
        <v>0</v>
      </c>
      <c r="D27" s="1326"/>
      <c r="E27" s="3196"/>
      <c r="F27" s="3196"/>
      <c r="G27" s="3196"/>
    </row>
    <row r="28" spans="1:9">
      <c r="A28" s="1327" t="s">
        <v>1116</v>
      </c>
      <c r="B28" s="1326" t="s">
        <v>1117</v>
      </c>
      <c r="C28" s="1326"/>
      <c r="D28" s="1326"/>
      <c r="E28" s="3196"/>
      <c r="F28" s="3196"/>
      <c r="G28" s="3196"/>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87"/>
      <c r="F32" s="3187"/>
      <c r="G32" s="3187"/>
    </row>
    <row r="33" spans="1:7" hidden="1">
      <c r="A33" s="3197" t="s">
        <v>1126</v>
      </c>
      <c r="B33" s="3198"/>
      <c r="C33" s="3198"/>
      <c r="D33" s="3199"/>
      <c r="E33" s="3195"/>
      <c r="F33" s="3195"/>
      <c r="G33" s="3195"/>
    </row>
    <row r="34" spans="1:7" hidden="1">
      <c r="A34" s="1329">
        <v>1</v>
      </c>
      <c r="B34" s="1326" t="s">
        <v>1127</v>
      </c>
      <c r="C34" s="1326"/>
      <c r="D34" s="1326"/>
      <c r="E34" s="3196"/>
      <c r="F34" s="3196"/>
      <c r="G34" s="3196"/>
    </row>
    <row r="35" spans="1:7" hidden="1">
      <c r="A35" s="1329">
        <v>2</v>
      </c>
      <c r="B35" s="1326" t="s">
        <v>1128</v>
      </c>
      <c r="C35" s="1326"/>
      <c r="D35" s="1326"/>
      <c r="E35" s="3196"/>
      <c r="F35" s="3196"/>
      <c r="G35" s="3196"/>
    </row>
    <row r="36" spans="1:7" hidden="1">
      <c r="A36" s="1329">
        <v>3</v>
      </c>
      <c r="B36" s="1326" t="s">
        <v>1129</v>
      </c>
      <c r="C36" s="1326"/>
      <c r="D36" s="1326"/>
      <c r="E36" s="3196"/>
      <c r="F36" s="3196"/>
      <c r="G36" s="3196"/>
    </row>
    <row r="37" spans="1:7" hidden="1">
      <c r="A37" s="1329">
        <v>4</v>
      </c>
      <c r="B37" s="1326" t="s">
        <v>1130</v>
      </c>
      <c r="C37" s="1326"/>
      <c r="D37" s="1326"/>
      <c r="E37" s="3196"/>
      <c r="F37" s="3196"/>
      <c r="G37" s="3196"/>
    </row>
    <row r="38" spans="1:7" hidden="1">
      <c r="A38" s="3197" t="s">
        <v>1131</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14583.989999999998</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2533</v>
      </c>
      <c r="B4" s="402"/>
      <c r="C4" s="3218" t="s">
        <v>2534</v>
      </c>
      <c r="D4" s="3219"/>
      <c r="E4" s="3220" t="s">
        <v>2535</v>
      </c>
      <c r="F4" s="3221"/>
      <c r="G4" s="3218" t="s">
        <v>2536</v>
      </c>
      <c r="H4" s="3219"/>
      <c r="I4" s="3218" t="s">
        <v>2537</v>
      </c>
      <c r="J4" s="3219"/>
      <c r="K4" s="2599" t="s">
        <v>2538</v>
      </c>
      <c r="L4" s="1131"/>
      <c r="M4" s="1132"/>
      <c r="N4" s="1132"/>
      <c r="O4" s="1132"/>
      <c r="P4" s="3222" t="s">
        <v>2539</v>
      </c>
      <c r="Q4" s="3223"/>
      <c r="R4" s="3205" t="s">
        <v>2535</v>
      </c>
      <c r="S4" s="3206"/>
      <c r="T4" s="3205" t="s">
        <v>2536</v>
      </c>
      <c r="U4" s="3206"/>
      <c r="V4" s="3230" t="s">
        <v>2537</v>
      </c>
      <c r="W4" s="3230"/>
      <c r="X4" s="1813"/>
      <c r="Y4" s="3205" t="s">
        <v>2539</v>
      </c>
      <c r="Z4" s="3206"/>
      <c r="AA4" s="3200" t="s">
        <v>2535</v>
      </c>
      <c r="AB4" s="3200" t="s">
        <v>2536</v>
      </c>
      <c r="AC4" s="3200" t="s">
        <v>2537</v>
      </c>
    </row>
    <row r="5" spans="1:29" ht="15">
      <c r="A5" s="404"/>
      <c r="B5" s="405"/>
      <c r="C5" s="3211" t="s">
        <v>2540</v>
      </c>
      <c r="D5" s="3212"/>
      <c r="E5" s="3209" t="s">
        <v>2541</v>
      </c>
      <c r="F5" s="3210"/>
      <c r="G5" s="3211" t="s">
        <v>2542</v>
      </c>
      <c r="H5" s="3212"/>
      <c r="I5" s="3211" t="s">
        <v>2543</v>
      </c>
      <c r="J5" s="3212"/>
      <c r="K5" s="2600"/>
      <c r="L5" s="1131"/>
      <c r="M5" s="1132"/>
      <c r="N5" s="1132"/>
      <c r="O5" s="1132"/>
      <c r="P5" s="3224"/>
      <c r="Q5" s="3225"/>
      <c r="R5" s="3207"/>
      <c r="S5" s="3208"/>
      <c r="T5" s="3207"/>
      <c r="U5" s="3208"/>
      <c r="V5" s="3230"/>
      <c r="W5" s="3230"/>
      <c r="X5" s="1813"/>
      <c r="Y5" s="3207"/>
      <c r="Z5" s="3208"/>
      <c r="AA5" s="3201"/>
      <c r="AB5" s="3201"/>
      <c r="AC5" s="3201"/>
    </row>
    <row r="6" spans="1:29" ht="15.75" thickBot="1">
      <c r="A6" s="406"/>
      <c r="B6" s="407"/>
      <c r="C6" s="3213" t="s">
        <v>2544</v>
      </c>
      <c r="D6" s="3214"/>
      <c r="E6" s="3215" t="s">
        <v>2544</v>
      </c>
      <c r="F6" s="3216"/>
      <c r="G6" s="3213" t="s">
        <v>2544</v>
      </c>
      <c r="H6" s="3214"/>
      <c r="I6" s="3213" t="s">
        <v>2544</v>
      </c>
      <c r="J6" s="3214"/>
      <c r="K6" s="2600" t="s">
        <v>2545</v>
      </c>
      <c r="L6" s="1131"/>
      <c r="M6" s="1132"/>
      <c r="N6" s="1132"/>
      <c r="O6" s="1132"/>
      <c r="P6" s="3226"/>
      <c r="Q6" s="3227"/>
      <c r="R6" s="3207"/>
      <c r="S6" s="3208"/>
      <c r="T6" s="3228"/>
      <c r="U6" s="3229"/>
      <c r="V6" s="3230"/>
      <c r="W6" s="3230"/>
      <c r="X6" s="1813"/>
      <c r="Y6" s="3228"/>
      <c r="Z6" s="3229"/>
      <c r="AA6" s="3202"/>
      <c r="AB6" s="3202"/>
      <c r="AC6" s="3202"/>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03" t="s">
        <v>2547</v>
      </c>
      <c r="Q7" s="3231"/>
      <c r="R7" s="770" t="s">
        <v>23</v>
      </c>
      <c r="S7" s="771">
        <f t="shared" ref="S7:S15" si="0">F7</f>
        <v>0</v>
      </c>
      <c r="T7" s="770" t="s">
        <v>23</v>
      </c>
      <c r="U7" s="771">
        <f t="shared" ref="U7:U15" si="1">H7</f>
        <v>0</v>
      </c>
      <c r="V7" s="770" t="s">
        <v>23</v>
      </c>
      <c r="W7" s="771">
        <f t="shared" ref="W7:W15" si="2">J7</f>
        <v>0</v>
      </c>
      <c r="X7" s="772"/>
      <c r="Y7" s="3203" t="s">
        <v>2547</v>
      </c>
      <c r="Z7" s="3204"/>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03" t="s">
        <v>2550</v>
      </c>
      <c r="Q8" s="3204"/>
      <c r="R8" s="770" t="s">
        <v>23</v>
      </c>
      <c r="S8" s="771">
        <f t="shared" si="0"/>
        <v>0</v>
      </c>
      <c r="T8" s="770" t="s">
        <v>23</v>
      </c>
      <c r="U8" s="771">
        <f t="shared" si="1"/>
        <v>0</v>
      </c>
      <c r="V8" s="770" t="s">
        <v>23</v>
      </c>
      <c r="W8" s="771">
        <f t="shared" si="2"/>
        <v>0</v>
      </c>
      <c r="X8" s="772"/>
      <c r="Y8" s="3203" t="s">
        <v>2550</v>
      </c>
      <c r="Z8" s="320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7"/>
      <c r="Q11" s="179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17"/>
      <c r="Q12" s="179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17"/>
      <c r="Q13" s="179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17"/>
      <c r="Q14" s="179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2557</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4" t="s">
        <v>2558</v>
      </c>
      <c r="Q15" s="1810" t="str">
        <f t="shared" si="6"/>
        <v>居住社区成熟度</v>
      </c>
      <c r="R15" s="774" t="s">
        <v>21</v>
      </c>
      <c r="S15" s="775">
        <f t="shared" si="0"/>
        <v>100</v>
      </c>
      <c r="T15" s="774" t="s">
        <v>21</v>
      </c>
      <c r="U15" s="775">
        <f t="shared" si="1"/>
        <v>100</v>
      </c>
      <c r="V15" s="774" t="s">
        <v>21</v>
      </c>
      <c r="W15" s="775">
        <f t="shared" si="2"/>
        <v>100</v>
      </c>
      <c r="X15" s="1813"/>
      <c r="Y15" s="3237" t="s">
        <v>2558</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245"/>
      <c r="Q16" s="1810"/>
      <c r="R16" s="774"/>
      <c r="S16" s="775"/>
      <c r="T16" s="774"/>
      <c r="U16" s="775"/>
      <c r="V16" s="774"/>
      <c r="W16" s="775"/>
      <c r="X16" s="1813"/>
      <c r="Y16" s="3238"/>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5"/>
      <c r="Q17" s="1810" t="str">
        <f>B17</f>
        <v>交通便捷度</v>
      </c>
      <c r="R17" s="774" t="s">
        <v>21</v>
      </c>
      <c r="S17" s="775">
        <f>F17</f>
        <v>100</v>
      </c>
      <c r="T17" s="774" t="s">
        <v>21</v>
      </c>
      <c r="U17" s="775">
        <f>H17</f>
        <v>100</v>
      </c>
      <c r="V17" s="774" t="s">
        <v>21</v>
      </c>
      <c r="W17" s="775">
        <f>J17</f>
        <v>100</v>
      </c>
      <c r="X17" s="1813"/>
      <c r="Y17" s="3238"/>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245"/>
      <c r="Q18" s="1810"/>
      <c r="R18" s="774"/>
      <c r="S18" s="775"/>
      <c r="T18" s="774"/>
      <c r="U18" s="775"/>
      <c r="V18" s="774"/>
      <c r="W18" s="775"/>
      <c r="X18" s="1813"/>
      <c r="Y18" s="3238"/>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5"/>
      <c r="Q19" s="1810" t="str">
        <f>B19</f>
        <v>公共配套设施</v>
      </c>
      <c r="R19" s="774" t="s">
        <v>21</v>
      </c>
      <c r="S19" s="775">
        <f>F19</f>
        <v>100</v>
      </c>
      <c r="T19" s="774" t="s">
        <v>21</v>
      </c>
      <c r="U19" s="775">
        <f>H19</f>
        <v>100</v>
      </c>
      <c r="V19" s="774" t="s">
        <v>21</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245"/>
      <c r="Q20" s="1810"/>
      <c r="R20" s="774"/>
      <c r="S20" s="775"/>
      <c r="T20" s="774"/>
      <c r="U20" s="775"/>
      <c r="V20" s="774"/>
      <c r="W20" s="775"/>
      <c r="X20" s="1813"/>
      <c r="Y20" s="3238"/>
      <c r="Z20" s="1814"/>
      <c r="AA20" s="1811">
        <v>1</v>
      </c>
      <c r="AB20" s="1811">
        <v>1</v>
      </c>
      <c r="AC20" s="1811">
        <v>1</v>
      </c>
    </row>
    <row r="21" spans="1:29" ht="28.5">
      <c r="A21" s="428"/>
      <c r="B21" s="1385"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245"/>
      <c r="Q22" s="1810"/>
      <c r="R22" s="774"/>
      <c r="S22" s="775"/>
      <c r="T22" s="774"/>
      <c r="U22" s="775"/>
      <c r="V22" s="774"/>
      <c r="W22" s="775"/>
      <c r="X22" s="1813"/>
      <c r="Y22" s="3238"/>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5"/>
      <c r="Q23" s="1810" t="str">
        <f>B23</f>
        <v>自然及人文环境</v>
      </c>
      <c r="R23" s="774" t="s">
        <v>21</v>
      </c>
      <c r="S23" s="775">
        <f>F23</f>
        <v>100</v>
      </c>
      <c r="T23" s="774" t="s">
        <v>21</v>
      </c>
      <c r="U23" s="775">
        <f>H23</f>
        <v>100</v>
      </c>
      <c r="V23" s="774" t="s">
        <v>21</v>
      </c>
      <c r="W23" s="775">
        <f>J23</f>
        <v>100</v>
      </c>
      <c r="X23" s="1813"/>
      <c r="Y23" s="3238"/>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245"/>
      <c r="Q24" s="1810"/>
      <c r="R24" s="774"/>
      <c r="S24" s="775"/>
      <c r="T24" s="774"/>
      <c r="U24" s="775"/>
      <c r="V24" s="774"/>
      <c r="W24" s="775"/>
      <c r="X24" s="1813"/>
      <c r="Y24" s="3238"/>
      <c r="Z24" s="1814"/>
      <c r="AA24" s="1811">
        <v>1</v>
      </c>
      <c r="AB24" s="1811">
        <v>1</v>
      </c>
      <c r="AC24" s="1811">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8"/>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45"/>
      <c r="Q26" s="1810" t="str">
        <f t="shared" si="11"/>
        <v>朝向</v>
      </c>
      <c r="R26" s="774" t="s">
        <v>21</v>
      </c>
      <c r="S26" s="775">
        <f t="shared" si="12"/>
        <v>100</v>
      </c>
      <c r="T26" s="774" t="s">
        <v>21</v>
      </c>
      <c r="U26" s="775">
        <f t="shared" si="13"/>
        <v>100</v>
      </c>
      <c r="V26" s="774" t="s">
        <v>21</v>
      </c>
      <c r="W26" s="775">
        <f t="shared" si="14"/>
        <v>100</v>
      </c>
      <c r="X26" s="1813"/>
      <c r="Y26" s="3238"/>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45"/>
      <c r="Q27" s="1795">
        <f t="shared" si="11"/>
        <v>111</v>
      </c>
      <c r="R27" s="770" t="s">
        <v>21</v>
      </c>
      <c r="S27" s="771">
        <f t="shared" si="12"/>
        <v>100</v>
      </c>
      <c r="T27" s="770" t="s">
        <v>21</v>
      </c>
      <c r="U27" s="771">
        <f t="shared" si="13"/>
        <v>100</v>
      </c>
      <c r="V27" s="770" t="s">
        <v>21</v>
      </c>
      <c r="W27" s="771">
        <f t="shared" si="14"/>
        <v>100</v>
      </c>
      <c r="X27" s="772"/>
      <c r="Y27" s="3238"/>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45"/>
      <c r="Q28" s="1810">
        <f t="shared" si="11"/>
        <v>111</v>
      </c>
      <c r="R28" s="774" t="s">
        <v>21</v>
      </c>
      <c r="S28" s="775">
        <f t="shared" si="12"/>
        <v>100</v>
      </c>
      <c r="T28" s="774" t="s">
        <v>21</v>
      </c>
      <c r="U28" s="775">
        <f t="shared" si="13"/>
        <v>100</v>
      </c>
      <c r="V28" s="774" t="s">
        <v>21</v>
      </c>
      <c r="W28" s="775">
        <f t="shared" si="14"/>
        <v>100</v>
      </c>
      <c r="X28" s="1813"/>
      <c r="Y28" s="3238"/>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45"/>
      <c r="Q29" s="1810">
        <f t="shared" si="11"/>
        <v>111</v>
      </c>
      <c r="R29" s="774" t="s">
        <v>21</v>
      </c>
      <c r="S29" s="775">
        <f t="shared" si="12"/>
        <v>100</v>
      </c>
      <c r="T29" s="774" t="s">
        <v>21</v>
      </c>
      <c r="U29" s="775">
        <f t="shared" si="13"/>
        <v>100</v>
      </c>
      <c r="V29" s="774" t="s">
        <v>21</v>
      </c>
      <c r="W29" s="775">
        <f t="shared" si="14"/>
        <v>100</v>
      </c>
      <c r="X29" s="1813"/>
      <c r="Y29" s="3238"/>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45"/>
      <c r="Q30" s="1810">
        <f t="shared" si="11"/>
        <v>111</v>
      </c>
      <c r="R30" s="774" t="s">
        <v>21</v>
      </c>
      <c r="S30" s="775">
        <f t="shared" si="12"/>
        <v>100</v>
      </c>
      <c r="T30" s="774" t="s">
        <v>21</v>
      </c>
      <c r="U30" s="775">
        <f t="shared" si="13"/>
        <v>100</v>
      </c>
      <c r="V30" s="774" t="s">
        <v>21</v>
      </c>
      <c r="W30" s="775">
        <f t="shared" si="14"/>
        <v>100</v>
      </c>
      <c r="X30" s="1813"/>
      <c r="Y30" s="3238"/>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45"/>
      <c r="Q31" s="1810">
        <f t="shared" si="11"/>
        <v>111</v>
      </c>
      <c r="R31" s="774" t="s">
        <v>21</v>
      </c>
      <c r="S31" s="775">
        <f t="shared" si="12"/>
        <v>100</v>
      </c>
      <c r="T31" s="774" t="s">
        <v>21</v>
      </c>
      <c r="U31" s="775">
        <f t="shared" si="13"/>
        <v>100</v>
      </c>
      <c r="V31" s="774" t="s">
        <v>21</v>
      </c>
      <c r="W31" s="775">
        <f t="shared" si="14"/>
        <v>100</v>
      </c>
      <c r="X31" s="1813"/>
      <c r="Y31" s="3238"/>
      <c r="Z31" s="1814">
        <f t="shared" si="18"/>
        <v>111</v>
      </c>
      <c r="AA31" s="1811">
        <f t="shared" si="15"/>
        <v>1</v>
      </c>
      <c r="AB31" s="1811">
        <f t="shared" si="16"/>
        <v>1</v>
      </c>
      <c r="AC31" s="1811">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39" t="s">
        <v>2563</v>
      </c>
      <c r="Q32" s="1810" t="str">
        <f t="shared" si="11"/>
        <v>建筑类型</v>
      </c>
      <c r="R32" s="774" t="s">
        <v>21</v>
      </c>
      <c r="S32" s="775">
        <f t="shared" si="12"/>
        <v>100</v>
      </c>
      <c r="T32" s="774" t="s">
        <v>21</v>
      </c>
      <c r="U32" s="775">
        <f t="shared" si="13"/>
        <v>100</v>
      </c>
      <c r="V32" s="774" t="s">
        <v>21</v>
      </c>
      <c r="W32" s="775">
        <f t="shared" si="14"/>
        <v>100</v>
      </c>
      <c r="X32" s="1813"/>
      <c r="Y32" s="324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11" t="e">
        <f t="shared" si="15"/>
        <v>#N/A</v>
      </c>
      <c r="AB33" s="1811" t="e">
        <f t="shared" si="16"/>
        <v>#N/A</v>
      </c>
      <c r="AC33" s="1811"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40"/>
      <c r="Q34" s="1810" t="str">
        <f t="shared" si="11"/>
        <v>建筑结构</v>
      </c>
      <c r="R34" s="774" t="s">
        <v>21</v>
      </c>
      <c r="S34" s="775">
        <f t="shared" si="12"/>
        <v>100</v>
      </c>
      <c r="T34" s="774" t="s">
        <v>21</v>
      </c>
      <c r="U34" s="775">
        <f t="shared" si="13"/>
        <v>100</v>
      </c>
      <c r="V34" s="774" t="s">
        <v>21</v>
      </c>
      <c r="W34" s="775">
        <f t="shared" si="14"/>
        <v>100</v>
      </c>
      <c r="X34" s="1813"/>
      <c r="Y34" s="3242"/>
      <c r="Z34" s="1814" t="str">
        <f t="shared" si="18"/>
        <v>建筑结构</v>
      </c>
      <c r="AA34" s="1811">
        <f t="shared" si="15"/>
        <v>1</v>
      </c>
      <c r="AB34" s="1811">
        <f t="shared" si="16"/>
        <v>1</v>
      </c>
      <c r="AC34" s="1811">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40"/>
      <c r="Q35" s="1810" t="str">
        <f t="shared" si="11"/>
        <v>建筑品质</v>
      </c>
      <c r="R35" s="774" t="s">
        <v>21</v>
      </c>
      <c r="S35" s="775">
        <f t="shared" si="12"/>
        <v>100</v>
      </c>
      <c r="T35" s="774" t="s">
        <v>21</v>
      </c>
      <c r="U35" s="775">
        <f t="shared" si="13"/>
        <v>100</v>
      </c>
      <c r="V35" s="774" t="s">
        <v>21</v>
      </c>
      <c r="W35" s="775">
        <f t="shared" si="14"/>
        <v>100</v>
      </c>
      <c r="X35" s="1813"/>
      <c r="Y35" s="3242"/>
      <c r="Z35" s="1814" t="str">
        <f t="shared" si="18"/>
        <v>建筑品质</v>
      </c>
      <c r="AA35" s="1811">
        <f t="shared" si="15"/>
        <v>1</v>
      </c>
      <c r="AB35" s="1811">
        <f t="shared" si="16"/>
        <v>1</v>
      </c>
      <c r="AC35" s="1811">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40"/>
      <c r="Q36" s="1810" t="str">
        <f t="shared" si="11"/>
        <v>公共部分装修</v>
      </c>
      <c r="R36" s="774" t="s">
        <v>21</v>
      </c>
      <c r="S36" s="775">
        <f t="shared" si="12"/>
        <v>100</v>
      </c>
      <c r="T36" s="774" t="s">
        <v>21</v>
      </c>
      <c r="U36" s="775">
        <f t="shared" si="13"/>
        <v>100</v>
      </c>
      <c r="V36" s="774" t="s">
        <v>21</v>
      </c>
      <c r="W36" s="775">
        <f t="shared" si="14"/>
        <v>100</v>
      </c>
      <c r="X36" s="1813"/>
      <c r="Y36" s="324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0"/>
      <c r="Q37" s="1795"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40" t="s">
        <v>2563</v>
      </c>
      <c r="Q38" s="1810" t="str">
        <f t="shared" si="11"/>
        <v>物业管理</v>
      </c>
      <c r="R38" s="774" t="s">
        <v>21</v>
      </c>
      <c r="S38" s="775">
        <f t="shared" si="12"/>
        <v>100</v>
      </c>
      <c r="T38" s="774" t="s">
        <v>21</v>
      </c>
      <c r="U38" s="775">
        <f t="shared" si="13"/>
        <v>100</v>
      </c>
      <c r="V38" s="774" t="s">
        <v>21</v>
      </c>
      <c r="W38" s="775">
        <f t="shared" si="14"/>
        <v>100</v>
      </c>
      <c r="X38" s="1813"/>
      <c r="Y38" s="3242" t="s">
        <v>2563</v>
      </c>
      <c r="Z38" s="1814" t="str">
        <f t="shared" si="18"/>
        <v>物业管理</v>
      </c>
      <c r="AA38" s="1811">
        <f t="shared" si="15"/>
        <v>1</v>
      </c>
      <c r="AB38" s="1811">
        <f t="shared" si="16"/>
        <v>1</v>
      </c>
      <c r="AC38" s="1811">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40"/>
      <c r="Q39" s="1810" t="str">
        <f t="shared" si="11"/>
        <v>市政基础设施</v>
      </c>
      <c r="R39" s="774" t="s">
        <v>21</v>
      </c>
      <c r="S39" s="775">
        <f t="shared" si="12"/>
        <v>100</v>
      </c>
      <c r="T39" s="774" t="s">
        <v>21</v>
      </c>
      <c r="U39" s="775">
        <f t="shared" si="13"/>
        <v>100</v>
      </c>
      <c r="V39" s="774" t="s">
        <v>21</v>
      </c>
      <c r="W39" s="775">
        <f t="shared" si="14"/>
        <v>100</v>
      </c>
      <c r="X39" s="1813"/>
      <c r="Y39" s="3242"/>
      <c r="Z39" s="1814" t="str">
        <f t="shared" si="18"/>
        <v>市政基础设施</v>
      </c>
      <c r="AA39" s="1811">
        <f t="shared" si="15"/>
        <v>1</v>
      </c>
      <c r="AB39" s="1811">
        <f t="shared" si="16"/>
        <v>1</v>
      </c>
      <c r="AC39" s="1811">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40"/>
      <c r="Q40" s="1810" t="str">
        <f t="shared" si="11"/>
        <v>房型</v>
      </c>
      <c r="R40" s="774" t="s">
        <v>21</v>
      </c>
      <c r="S40" s="775">
        <f t="shared" si="12"/>
        <v>100</v>
      </c>
      <c r="T40" s="774" t="s">
        <v>21</v>
      </c>
      <c r="U40" s="775">
        <f t="shared" si="13"/>
        <v>100</v>
      </c>
      <c r="V40" s="774" t="s">
        <v>21</v>
      </c>
      <c r="W40" s="775">
        <f t="shared" si="14"/>
        <v>100</v>
      </c>
      <c r="X40" s="1813"/>
      <c r="Y40" s="324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1">
        <f t="shared" si="15"/>
        <v>1</v>
      </c>
      <c r="AB41" s="1811">
        <f t="shared" si="16"/>
        <v>1</v>
      </c>
      <c r="AC41" s="1811">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40"/>
      <c r="Q42" s="1810" t="str">
        <f t="shared" si="11"/>
        <v>内部装修</v>
      </c>
      <c r="R42" s="774" t="s">
        <v>21</v>
      </c>
      <c r="S42" s="775">
        <f t="shared" si="12"/>
        <v>100</v>
      </c>
      <c r="T42" s="774" t="s">
        <v>21</v>
      </c>
      <c r="U42" s="775">
        <f t="shared" si="13"/>
        <v>100</v>
      </c>
      <c r="V42" s="774" t="s">
        <v>21</v>
      </c>
      <c r="W42" s="775">
        <f t="shared" si="14"/>
        <v>100</v>
      </c>
      <c r="X42" s="1813"/>
      <c r="Y42" s="3242"/>
      <c r="Z42" s="1814" t="str">
        <f t="shared" si="18"/>
        <v>内部装修</v>
      </c>
      <c r="AA42" s="1811">
        <f t="shared" si="15"/>
        <v>1</v>
      </c>
      <c r="AB42" s="1811">
        <f t="shared" si="16"/>
        <v>1</v>
      </c>
      <c r="AC42" s="1811">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40"/>
      <c r="Q43" s="1810" t="str">
        <f t="shared" si="11"/>
        <v>内部装修维护情况</v>
      </c>
      <c r="R43" s="774" t="s">
        <v>21</v>
      </c>
      <c r="S43" s="775">
        <f t="shared" si="12"/>
        <v>100</v>
      </c>
      <c r="T43" s="774" t="s">
        <v>21</v>
      </c>
      <c r="U43" s="775">
        <f t="shared" si="13"/>
        <v>100</v>
      </c>
      <c r="V43" s="774" t="s">
        <v>21</v>
      </c>
      <c r="W43" s="775">
        <f t="shared" si="14"/>
        <v>100</v>
      </c>
      <c r="X43" s="1813"/>
      <c r="Y43" s="3242"/>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40"/>
      <c r="Q44" s="1795">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40"/>
      <c r="Q45" s="1810">
        <f t="shared" si="11"/>
        <v>111</v>
      </c>
      <c r="R45" s="774" t="s">
        <v>21</v>
      </c>
      <c r="S45" s="775">
        <f t="shared" si="12"/>
        <v>100</v>
      </c>
      <c r="T45" s="774" t="s">
        <v>21</v>
      </c>
      <c r="U45" s="775">
        <f t="shared" si="13"/>
        <v>100</v>
      </c>
      <c r="V45" s="774" t="s">
        <v>21</v>
      </c>
      <c r="W45" s="775">
        <f t="shared" si="14"/>
        <v>100</v>
      </c>
      <c r="X45" s="1813"/>
      <c r="Y45" s="3242"/>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41"/>
      <c r="Q46" s="1810">
        <f t="shared" si="11"/>
        <v>111</v>
      </c>
      <c r="R46" s="774" t="s">
        <v>20</v>
      </c>
      <c r="S46" s="775">
        <f t="shared" si="12"/>
        <v>100</v>
      </c>
      <c r="T46" s="774" t="s">
        <v>20</v>
      </c>
      <c r="U46" s="775">
        <f t="shared" si="13"/>
        <v>100</v>
      </c>
      <c r="V46" s="774" t="s">
        <v>20</v>
      </c>
      <c r="W46" s="775">
        <f t="shared" si="14"/>
        <v>100</v>
      </c>
      <c r="X46" s="1813"/>
      <c r="Y46" s="3243"/>
      <c r="Z46" s="1814">
        <f t="shared" si="18"/>
        <v>111</v>
      </c>
      <c r="AA46" s="1811">
        <f t="shared" si="15"/>
        <v>1</v>
      </c>
      <c r="AB46" s="1811">
        <f t="shared" si="16"/>
        <v>1</v>
      </c>
      <c r="AC46" s="1811">
        <f t="shared" si="17"/>
        <v>1</v>
      </c>
    </row>
    <row r="47" spans="1:29" ht="15">
      <c r="A47" s="479" t="s">
        <v>2575</v>
      </c>
      <c r="B47" s="480"/>
      <c r="C47" s="1408" t="s">
        <v>19</v>
      </c>
      <c r="D47" s="1409"/>
      <c r="E47" s="1410"/>
      <c r="F47" s="1411"/>
      <c r="G47" s="1412"/>
      <c r="H47" s="1413"/>
      <c r="I47" s="1410"/>
      <c r="J47" s="1413"/>
      <c r="K47" s="2624"/>
      <c r="L47" s="1144"/>
      <c r="M47" s="1145"/>
      <c r="N47" s="1132"/>
      <c r="O47" s="1145"/>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2576</v>
      </c>
      <c r="B48" s="487"/>
      <c r="C48" s="1414" t="e">
        <f>R49</f>
        <v>#DIV/0!</v>
      </c>
      <c r="D48" s="1415"/>
      <c r="E48" s="1416" t="e">
        <f>R48</f>
        <v>#DIV/0!</v>
      </c>
      <c r="F48" s="1416"/>
      <c r="G48" s="1414" t="e">
        <f>T48</f>
        <v>#DIV/0!</v>
      </c>
      <c r="H48" s="1415"/>
      <c r="I48" s="1416" t="e">
        <f>V48</f>
        <v>#DIV/0!</v>
      </c>
      <c r="J48" s="1415"/>
      <c r="K48" s="2625"/>
      <c r="L48" s="1144"/>
      <c r="M48" s="1145"/>
      <c r="N48" s="1145"/>
      <c r="O48" s="1145"/>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2577</v>
      </c>
      <c r="B49" s="493"/>
      <c r="C49" s="1417" t="e">
        <f>R49</f>
        <v>#DIV/0!</v>
      </c>
      <c r="D49" s="1418"/>
      <c r="E49" s="1418"/>
      <c r="F49" s="1418"/>
      <c r="G49" s="1418"/>
      <c r="H49" s="1418"/>
      <c r="I49" s="1418"/>
      <c r="J49" s="1418"/>
      <c r="K49" s="2626"/>
      <c r="L49" s="1144"/>
      <c r="M49" s="1145"/>
      <c r="N49" s="1145"/>
      <c r="O49" s="1145"/>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2581</v>
      </c>
      <c r="B57" s="759"/>
      <c r="C57" s="764"/>
      <c r="D57" s="764"/>
      <c r="E57" s="764"/>
      <c r="F57" s="765"/>
      <c r="G57" s="765"/>
      <c r="H57" s="764"/>
      <c r="I57" s="764"/>
      <c r="J57" s="764"/>
      <c r="K57" s="1161"/>
      <c r="L57" s="1162"/>
      <c r="M57" s="1160"/>
      <c r="N57" s="1160"/>
      <c r="O57" s="1160"/>
      <c r="P57" s="2629"/>
      <c r="Q57" s="504"/>
    </row>
    <row r="58" spans="1:29" s="508" customFormat="1" ht="15">
      <c r="A58" s="505" t="s">
        <v>2582</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2609</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2561</v>
      </c>
      <c r="B100" s="528" t="s">
        <v>2610</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2613</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2614</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2615</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2616</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2617</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2640</v>
      </c>
      <c r="C1" s="1635" t="s">
        <v>2528</v>
      </c>
      <c r="D1" s="1622"/>
      <c r="E1" s="2660"/>
      <c r="F1" s="2587"/>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2325</v>
      </c>
      <c r="B2" s="1419" t="e">
        <f ca="1">IF(C2="——",ROUND(C49*D3/10000,0),ROUND(C49*D3/10000,0)-D2)</f>
        <v>#DIV/0!</v>
      </c>
      <c r="C2" s="2589"/>
      <c r="D2" s="1366" t="e">
        <f ca="1">SUMIF(INDIRECT("'"&amp;F2&amp;"'"&amp;"!A:A"),"承租人权益价值",INDIRECT("'"&amp;F2&amp;"'"&amp;"!c:c"))</f>
        <v>#REF!</v>
      </c>
      <c r="E2" s="2590" t="s">
        <v>2326</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2327</v>
      </c>
      <c r="B3" s="609" t="e">
        <f ca="1">IF(C2="——",C49,ROUND(B2*10000/D3,0))</f>
        <v>#DIV/0!</v>
      </c>
      <c r="C3" s="400" t="s">
        <v>2642</v>
      </c>
      <c r="D3" s="399">
        <f>IF(D1="",'数据-汇总表'!E3,SUMIF('数据-汇总表'!$C19:$C33,D1,'数据-汇总表'!$E19:$E33))</f>
        <v>14583.989999999998</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30" t="s">
        <v>2646</v>
      </c>
      <c r="AC4" s="3200" t="s">
        <v>2647</v>
      </c>
    </row>
    <row r="5" spans="1:29"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30"/>
      <c r="AC5" s="3201"/>
    </row>
    <row r="6" spans="1:29" ht="15.75" thickBot="1">
      <c r="A6" s="406"/>
      <c r="B6" s="407"/>
      <c r="C6" s="3213" t="s">
        <v>2544</v>
      </c>
      <c r="D6" s="3214"/>
      <c r="E6" s="3215" t="s">
        <v>2544</v>
      </c>
      <c r="F6" s="3216"/>
      <c r="G6" s="3213" t="s">
        <v>2544</v>
      </c>
      <c r="H6" s="3214"/>
      <c r="I6" s="3213" t="s">
        <v>2544</v>
      </c>
      <c r="J6" s="3214"/>
      <c r="K6" s="610" t="s">
        <v>2545</v>
      </c>
      <c r="L6" s="1131"/>
      <c r="M6" s="1132"/>
      <c r="N6" s="1132"/>
      <c r="O6" s="1132"/>
      <c r="P6" s="3226"/>
      <c r="Q6" s="3227"/>
      <c r="R6" s="3207"/>
      <c r="S6" s="3208"/>
      <c r="T6" s="3228"/>
      <c r="U6" s="3229"/>
      <c r="V6" s="3230"/>
      <c r="W6" s="3230"/>
      <c r="X6" s="1813"/>
      <c r="Y6" s="3228"/>
      <c r="Z6" s="3229"/>
      <c r="AA6" s="3202"/>
      <c r="AB6" s="3230"/>
      <c r="AC6" s="3202"/>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03" t="s">
        <v>2547</v>
      </c>
      <c r="Q7" s="3231"/>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17"/>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7"/>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7"/>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7"/>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44" t="s">
        <v>2558</v>
      </c>
      <c r="Q15" s="1810" t="str">
        <f t="shared" si="6"/>
        <v>商业繁华度</v>
      </c>
      <c r="R15" s="774" t="s">
        <v>17</v>
      </c>
      <c r="S15" s="775">
        <f t="shared" si="0"/>
        <v>100</v>
      </c>
      <c r="T15" s="774" t="s">
        <v>17</v>
      </c>
      <c r="U15" s="775">
        <f t="shared" si="1"/>
        <v>100</v>
      </c>
      <c r="V15" s="774" t="s">
        <v>17</v>
      </c>
      <c r="W15" s="775">
        <f t="shared" si="2"/>
        <v>100</v>
      </c>
      <c r="X15" s="1813"/>
      <c r="Y15" s="3237"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45"/>
      <c r="Q16" s="1810"/>
      <c r="R16" s="774"/>
      <c r="S16" s="775"/>
      <c r="T16" s="774"/>
      <c r="U16" s="775"/>
      <c r="V16" s="774"/>
      <c r="W16" s="775"/>
      <c r="X16" s="1813"/>
      <c r="Y16" s="3238"/>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245"/>
      <c r="Q18" s="1810"/>
      <c r="R18" s="774"/>
      <c r="S18" s="775"/>
      <c r="T18" s="774"/>
      <c r="U18" s="775"/>
      <c r="V18" s="774"/>
      <c r="W18" s="775"/>
      <c r="X18" s="1813"/>
      <c r="Y18" s="3238"/>
      <c r="Z18" s="1814"/>
      <c r="AA18" s="1811">
        <v>1</v>
      </c>
      <c r="AB18" s="1811">
        <v>1</v>
      </c>
      <c r="AC18" s="1811">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245"/>
      <c r="Q20" s="1810"/>
      <c r="R20" s="774"/>
      <c r="S20" s="775"/>
      <c r="T20" s="774"/>
      <c r="U20" s="775"/>
      <c r="V20" s="774"/>
      <c r="W20" s="775"/>
      <c r="X20" s="1813"/>
      <c r="Y20" s="3238"/>
      <c r="Z20" s="1814"/>
      <c r="AA20" s="1811">
        <v>1</v>
      </c>
      <c r="AB20" s="1811">
        <v>1</v>
      </c>
      <c r="AC20" s="1811">
        <v>1</v>
      </c>
    </row>
    <row r="21" spans="1:29" ht="28.5">
      <c r="A21" s="428"/>
      <c r="B21" s="1385"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45"/>
      <c r="Q22" s="1810"/>
      <c r="R22" s="774"/>
      <c r="S22" s="775"/>
      <c r="T22" s="774"/>
      <c r="U22" s="775"/>
      <c r="V22" s="774"/>
      <c r="W22" s="775"/>
      <c r="X22" s="1813"/>
      <c r="Y22" s="3238"/>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45"/>
      <c r="Q23" s="1810" t="str">
        <f>B23</f>
        <v>自然及人文环境</v>
      </c>
      <c r="R23" s="774" t="s">
        <v>17</v>
      </c>
      <c r="S23" s="775">
        <f>F23</f>
        <v>100</v>
      </c>
      <c r="T23" s="774" t="s">
        <v>17</v>
      </c>
      <c r="U23" s="775">
        <f>H23</f>
        <v>100</v>
      </c>
      <c r="V23" s="774" t="s">
        <v>17</v>
      </c>
      <c r="W23" s="775">
        <f>J23</f>
        <v>100</v>
      </c>
      <c r="X23" s="1813"/>
      <c r="Y23" s="3238"/>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245"/>
      <c r="Q24" s="1810"/>
      <c r="R24" s="774"/>
      <c r="S24" s="775"/>
      <c r="T24" s="774"/>
      <c r="U24" s="775"/>
      <c r="V24" s="774"/>
      <c r="W24" s="775"/>
      <c r="X24" s="1813"/>
      <c r="Y24" s="3238"/>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45"/>
      <c r="Q25" s="1810" t="str">
        <f t="shared" ref="Q25:Q46" si="11">B25</f>
        <v>临街状况</v>
      </c>
      <c r="R25" s="774" t="s">
        <v>17</v>
      </c>
      <c r="S25" s="775">
        <f>F25</f>
        <v>100</v>
      </c>
      <c r="T25" s="774" t="s">
        <v>17</v>
      </c>
      <c r="U25" s="775">
        <f>H25</f>
        <v>100</v>
      </c>
      <c r="V25" s="774" t="s">
        <v>17</v>
      </c>
      <c r="W25" s="775">
        <f>J25</f>
        <v>100</v>
      </c>
      <c r="X25" s="1813"/>
      <c r="Y25" s="3238"/>
      <c r="Z25" s="1814" t="str">
        <f>Q25</f>
        <v>临街状况</v>
      </c>
      <c r="AA25" s="1811">
        <f t="shared" si="3"/>
        <v>1</v>
      </c>
      <c r="AB25" s="1811">
        <f t="shared" si="4"/>
        <v>1</v>
      </c>
      <c r="AC25" s="1811">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45"/>
      <c r="Q26" s="1810" t="str">
        <f t="shared" si="11"/>
        <v>平面位置/可视性</v>
      </c>
      <c r="R26" s="774" t="s">
        <v>17</v>
      </c>
      <c r="S26" s="775">
        <f>F26</f>
        <v>100</v>
      </c>
      <c r="T26" s="774" t="s">
        <v>17</v>
      </c>
      <c r="U26" s="775">
        <f>H26</f>
        <v>100</v>
      </c>
      <c r="V26" s="774" t="s">
        <v>17</v>
      </c>
      <c r="W26" s="775">
        <f>J26</f>
        <v>100</v>
      </c>
      <c r="X26" s="1813"/>
      <c r="Y26" s="3238"/>
      <c r="Z26" s="1814" t="str">
        <f>Q26</f>
        <v>平面位置/可视性</v>
      </c>
      <c r="AA26" s="1811">
        <f t="shared" si="3"/>
        <v>1</v>
      </c>
      <c r="AB26" s="1811">
        <f t="shared" si="4"/>
        <v>1</v>
      </c>
      <c r="AC26" s="1811">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245"/>
      <c r="Q27" s="1795" t="str">
        <f t="shared" si="11"/>
        <v>人流量</v>
      </c>
      <c r="R27" s="770" t="s">
        <v>17</v>
      </c>
      <c r="S27" s="771">
        <f>F27</f>
        <v>100</v>
      </c>
      <c r="T27" s="770" t="s">
        <v>17</v>
      </c>
      <c r="U27" s="771">
        <f>H27</f>
        <v>100</v>
      </c>
      <c r="V27" s="770" t="s">
        <v>17</v>
      </c>
      <c r="W27" s="771">
        <f>J27</f>
        <v>100</v>
      </c>
      <c r="X27" s="772"/>
      <c r="Y27" s="3238"/>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8"/>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45"/>
      <c r="Q29" s="1810">
        <f t="shared" si="11"/>
        <v>111</v>
      </c>
      <c r="R29" s="774" t="s">
        <v>17</v>
      </c>
      <c r="S29" s="775">
        <f t="shared" si="12"/>
        <v>100</v>
      </c>
      <c r="T29" s="774" t="s">
        <v>17</v>
      </c>
      <c r="U29" s="775">
        <f t="shared" si="13"/>
        <v>100</v>
      </c>
      <c r="V29" s="774" t="s">
        <v>17</v>
      </c>
      <c r="W29" s="775">
        <f t="shared" si="14"/>
        <v>100</v>
      </c>
      <c r="X29" s="1813"/>
      <c r="Y29" s="3238"/>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1811">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239" t="s">
        <v>2563</v>
      </c>
      <c r="Q32" s="1810" t="str">
        <f t="shared" si="11"/>
        <v>商业类型</v>
      </c>
      <c r="R32" s="774" t="s">
        <v>17</v>
      </c>
      <c r="S32" s="775">
        <f t="shared" si="12"/>
        <v>100</v>
      </c>
      <c r="T32" s="774" t="s">
        <v>17</v>
      </c>
      <c r="U32" s="775">
        <f t="shared" si="13"/>
        <v>100</v>
      </c>
      <c r="V32" s="774" t="s">
        <v>17</v>
      </c>
      <c r="W32" s="775">
        <f t="shared" si="14"/>
        <v>100</v>
      </c>
      <c r="X32" s="1813"/>
      <c r="Y32" s="3242"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1" t="e">
        <f t="shared" si="3"/>
        <v>#N/A</v>
      </c>
      <c r="AB33" s="1811" t="e">
        <f t="shared" si="4"/>
        <v>#N/A</v>
      </c>
      <c r="AC33" s="1811"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240"/>
      <c r="Q34" s="1810" t="str">
        <f t="shared" si="11"/>
        <v>建筑结构</v>
      </c>
      <c r="R34" s="774" t="s">
        <v>17</v>
      </c>
      <c r="S34" s="775">
        <f t="shared" si="12"/>
        <v>100</v>
      </c>
      <c r="T34" s="774" t="s">
        <v>17</v>
      </c>
      <c r="U34" s="775">
        <f t="shared" si="13"/>
        <v>100</v>
      </c>
      <c r="V34" s="774" t="s">
        <v>17</v>
      </c>
      <c r="W34" s="775">
        <f t="shared" si="14"/>
        <v>100</v>
      </c>
      <c r="X34" s="1813"/>
      <c r="Y34" s="3242"/>
      <c r="Z34" s="1814" t="str">
        <f t="shared" si="15"/>
        <v>建筑结构</v>
      </c>
      <c r="AA34" s="1811">
        <f t="shared" si="3"/>
        <v>1</v>
      </c>
      <c r="AB34" s="1811">
        <f t="shared" si="4"/>
        <v>1</v>
      </c>
      <c r="AC34" s="1811">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240"/>
      <c r="Q35" s="1810" t="str">
        <f t="shared" si="11"/>
        <v>公共部分装修</v>
      </c>
      <c r="R35" s="774" t="s">
        <v>17</v>
      </c>
      <c r="S35" s="775">
        <f t="shared" si="12"/>
        <v>100</v>
      </c>
      <c r="T35" s="774" t="s">
        <v>17</v>
      </c>
      <c r="U35" s="775">
        <f t="shared" si="13"/>
        <v>100</v>
      </c>
      <c r="V35" s="774" t="s">
        <v>17</v>
      </c>
      <c r="W35" s="775">
        <f t="shared" si="14"/>
        <v>100</v>
      </c>
      <c r="X35" s="1813"/>
      <c r="Y35" s="324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40"/>
      <c r="Q36" s="1810" t="str">
        <f t="shared" si="11"/>
        <v>成新度</v>
      </c>
      <c r="R36" s="774" t="s">
        <v>17</v>
      </c>
      <c r="S36" s="775" t="e">
        <f t="shared" si="12"/>
        <v>#N/A</v>
      </c>
      <c r="T36" s="774" t="s">
        <v>17</v>
      </c>
      <c r="U36" s="775" t="e">
        <f t="shared" si="13"/>
        <v>#N/A</v>
      </c>
      <c r="V36" s="774" t="s">
        <v>17</v>
      </c>
      <c r="W36" s="775" t="e">
        <f t="shared" si="14"/>
        <v>#N/A</v>
      </c>
      <c r="X36" s="1813"/>
      <c r="Y36" s="3242"/>
      <c r="Z36" s="1814" t="str">
        <f t="shared" si="15"/>
        <v>成新度</v>
      </c>
      <c r="AA36" s="1811" t="e">
        <f t="shared" si="3"/>
        <v>#N/A</v>
      </c>
      <c r="AB36" s="1811" t="e">
        <f t="shared" si="4"/>
        <v>#N/A</v>
      </c>
      <c r="AC36" s="1811"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240"/>
      <c r="Q37" s="1795"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240" t="s">
        <v>2563</v>
      </c>
      <c r="Q38" s="1810" t="str">
        <f t="shared" si="11"/>
        <v>业态</v>
      </c>
      <c r="R38" s="774" t="s">
        <v>17</v>
      </c>
      <c r="S38" s="775">
        <f t="shared" si="12"/>
        <v>100</v>
      </c>
      <c r="T38" s="774" t="s">
        <v>17</v>
      </c>
      <c r="U38" s="775">
        <f t="shared" si="13"/>
        <v>100</v>
      </c>
      <c r="V38" s="774" t="s">
        <v>17</v>
      </c>
      <c r="W38" s="775">
        <f t="shared" si="14"/>
        <v>100</v>
      </c>
      <c r="X38" s="1813"/>
      <c r="Y38" s="3242" t="s">
        <v>2563</v>
      </c>
      <c r="Z38" s="1814" t="str">
        <f t="shared" si="15"/>
        <v>业态</v>
      </c>
      <c r="AA38" s="1811">
        <f t="shared" si="3"/>
        <v>1</v>
      </c>
      <c r="AB38" s="1811">
        <f t="shared" si="4"/>
        <v>1</v>
      </c>
      <c r="AC38" s="1811">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240"/>
      <c r="Q39" s="1810" t="str">
        <f t="shared" si="11"/>
        <v>层高</v>
      </c>
      <c r="R39" s="774" t="s">
        <v>17</v>
      </c>
      <c r="S39" s="775">
        <f t="shared" si="12"/>
        <v>100</v>
      </c>
      <c r="T39" s="774" t="s">
        <v>17</v>
      </c>
      <c r="U39" s="775">
        <f t="shared" si="13"/>
        <v>100</v>
      </c>
      <c r="V39" s="774" t="s">
        <v>17</v>
      </c>
      <c r="W39" s="775">
        <f t="shared" si="14"/>
        <v>100</v>
      </c>
      <c r="X39" s="1813"/>
      <c r="Y39" s="324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40"/>
      <c r="Q40" s="1810" t="str">
        <f t="shared" si="11"/>
        <v>单套建筑面积</v>
      </c>
      <c r="R40" s="774" t="s">
        <v>17</v>
      </c>
      <c r="S40" s="775">
        <f t="shared" si="12"/>
        <v>100</v>
      </c>
      <c r="T40" s="774" t="s">
        <v>17</v>
      </c>
      <c r="U40" s="775">
        <f t="shared" si="13"/>
        <v>100</v>
      </c>
      <c r="V40" s="774" t="s">
        <v>17</v>
      </c>
      <c r="W40" s="775">
        <f t="shared" si="14"/>
        <v>100</v>
      </c>
      <c r="X40" s="1813"/>
      <c r="Y40" s="324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1">
        <f t="shared" si="3"/>
        <v>1</v>
      </c>
      <c r="AB41" s="1811">
        <f t="shared" si="4"/>
        <v>1</v>
      </c>
      <c r="AC41" s="1811">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240"/>
      <c r="Q42" s="1810" t="str">
        <f t="shared" si="11"/>
        <v>内部装修</v>
      </c>
      <c r="R42" s="774" t="s">
        <v>17</v>
      </c>
      <c r="S42" s="775">
        <f t="shared" si="12"/>
        <v>100</v>
      </c>
      <c r="T42" s="774" t="s">
        <v>17</v>
      </c>
      <c r="U42" s="775">
        <f t="shared" si="13"/>
        <v>100</v>
      </c>
      <c r="V42" s="774" t="s">
        <v>17</v>
      </c>
      <c r="W42" s="775">
        <f t="shared" si="14"/>
        <v>100</v>
      </c>
      <c r="X42" s="1813"/>
      <c r="Y42" s="3242"/>
      <c r="Z42" s="1814" t="str">
        <f t="shared" si="15"/>
        <v>内部装修</v>
      </c>
      <c r="AA42" s="1811">
        <f t="shared" si="3"/>
        <v>1</v>
      </c>
      <c r="AB42" s="1811">
        <f t="shared" si="4"/>
        <v>1</v>
      </c>
      <c r="AC42" s="1811">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240"/>
      <c r="Q43" s="1810" t="str">
        <f t="shared" si="11"/>
        <v>内部装修维护情况</v>
      </c>
      <c r="R43" s="774" t="s">
        <v>17</v>
      </c>
      <c r="S43" s="775">
        <f t="shared" si="12"/>
        <v>100</v>
      </c>
      <c r="T43" s="774" t="s">
        <v>17</v>
      </c>
      <c r="U43" s="775">
        <f t="shared" si="13"/>
        <v>100</v>
      </c>
      <c r="V43" s="774" t="s">
        <v>17</v>
      </c>
      <c r="W43" s="775">
        <f t="shared" si="14"/>
        <v>100</v>
      </c>
      <c r="X43" s="1813"/>
      <c r="Y43" s="3242"/>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0"/>
      <c r="Q44" s="1795">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0"/>
      <c r="Q45" s="1810">
        <f t="shared" si="11"/>
        <v>111</v>
      </c>
      <c r="R45" s="774" t="s">
        <v>17</v>
      </c>
      <c r="S45" s="775">
        <f t="shared" si="12"/>
        <v>100</v>
      </c>
      <c r="T45" s="774" t="s">
        <v>17</v>
      </c>
      <c r="U45" s="775">
        <f t="shared" si="13"/>
        <v>100</v>
      </c>
      <c r="V45" s="774" t="s">
        <v>17</v>
      </c>
      <c r="W45" s="775">
        <f t="shared" si="14"/>
        <v>100</v>
      </c>
      <c r="X45" s="1813"/>
      <c r="Y45" s="3242"/>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1811">
        <f t="shared" si="5"/>
        <v>1</v>
      </c>
    </row>
    <row r="47" spans="1:29" ht="15">
      <c r="A47" s="479" t="s">
        <v>2575</v>
      </c>
      <c r="B47" s="480"/>
      <c r="C47" s="1408" t="s">
        <v>1</v>
      </c>
      <c r="D47" s="1409"/>
      <c r="E47" s="1410"/>
      <c r="F47" s="1411"/>
      <c r="G47" s="1412"/>
      <c r="H47" s="1413"/>
      <c r="I47" s="1410"/>
      <c r="J47" s="1413"/>
      <c r="K47" s="783"/>
      <c r="L47" s="1144"/>
      <c r="M47" s="1145"/>
      <c r="N47" s="1132"/>
      <c r="O47" s="1145"/>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2668</v>
      </c>
      <c r="B49" s="493"/>
      <c r="C49" s="1418" t="e">
        <f>R49</f>
        <v>#DIV/0!</v>
      </c>
      <c r="D49" s="1418"/>
      <c r="E49" s="1418"/>
      <c r="F49" s="1418"/>
      <c r="G49" s="1418"/>
      <c r="H49" s="1418"/>
      <c r="I49" s="1418"/>
      <c r="J49" s="1418"/>
      <c r="K49" s="785"/>
      <c r="L49" s="1144"/>
      <c r="M49" s="1145"/>
      <c r="N49" s="1132"/>
      <c r="O49" s="1145"/>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2546</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2678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2561</v>
      </c>
      <c r="B100" s="528" t="s">
        <v>2679</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2614</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2680</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2681</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2682</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2700</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9"/>
      <c r="D2" s="1125"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14583.989999999998</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01" t="s">
        <v>2646</v>
      </c>
      <c r="AC4" s="3200" t="s">
        <v>2647</v>
      </c>
    </row>
    <row r="5" spans="1:29"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01"/>
      <c r="AC5" s="3201"/>
    </row>
    <row r="6" spans="1:29" ht="15.75" thickBot="1">
      <c r="A6" s="406"/>
      <c r="B6" s="407"/>
      <c r="C6" s="3213" t="s">
        <v>2544</v>
      </c>
      <c r="D6" s="3214"/>
      <c r="E6" s="3215" t="s">
        <v>2544</v>
      </c>
      <c r="F6" s="3216"/>
      <c r="G6" s="3213" t="s">
        <v>2544</v>
      </c>
      <c r="H6" s="3214"/>
      <c r="I6" s="3213" t="s">
        <v>2544</v>
      </c>
      <c r="J6" s="3214"/>
      <c r="K6" s="610" t="s">
        <v>2545</v>
      </c>
      <c r="L6" s="1131"/>
      <c r="M6" s="1132"/>
      <c r="N6" s="1132"/>
      <c r="O6" s="1132"/>
      <c r="P6" s="3226"/>
      <c r="Q6" s="3227"/>
      <c r="R6" s="3207"/>
      <c r="S6" s="3208"/>
      <c r="T6" s="3228"/>
      <c r="U6" s="3229"/>
      <c r="V6" s="3230"/>
      <c r="W6" s="3230"/>
      <c r="X6" s="1813"/>
      <c r="Y6" s="3228"/>
      <c r="Z6" s="3229"/>
      <c r="AA6" s="3202"/>
      <c r="AB6" s="3202"/>
      <c r="AC6" s="3202"/>
    </row>
    <row r="7" spans="1:29" s="117" customFormat="1" ht="15.75" thickBot="1">
      <c r="A7" s="408" t="s">
        <v>2546</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3" t="s">
        <v>2547</v>
      </c>
      <c r="Q7" s="3231"/>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35"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35"/>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35"/>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3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3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35"/>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7" t="s">
        <v>2558</v>
      </c>
      <c r="Q15" s="1810" t="str">
        <f t="shared" si="6"/>
        <v>产业集聚程度</v>
      </c>
      <c r="R15" s="774" t="s">
        <v>17</v>
      </c>
      <c r="S15" s="775">
        <f t="shared" si="0"/>
        <v>100</v>
      </c>
      <c r="T15" s="774" t="s">
        <v>17</v>
      </c>
      <c r="U15" s="775">
        <f t="shared" si="1"/>
        <v>100</v>
      </c>
      <c r="V15" s="774" t="s">
        <v>17</v>
      </c>
      <c r="W15" s="775">
        <f t="shared" si="2"/>
        <v>100</v>
      </c>
      <c r="X15" s="1813"/>
      <c r="Y15" s="3237"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38"/>
      <c r="Q16" s="1810"/>
      <c r="R16" s="774"/>
      <c r="S16" s="775"/>
      <c r="T16" s="774"/>
      <c r="U16" s="775"/>
      <c r="V16" s="774"/>
      <c r="W16" s="775"/>
      <c r="X16" s="1813"/>
      <c r="Y16" s="3238"/>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238"/>
      <c r="Q18" s="1810"/>
      <c r="R18" s="774"/>
      <c r="S18" s="775"/>
      <c r="T18" s="774"/>
      <c r="U18" s="775"/>
      <c r="V18" s="774"/>
      <c r="W18" s="775"/>
      <c r="X18" s="1813"/>
      <c r="Y18" s="3238"/>
      <c r="Z18" s="1814"/>
      <c r="AA18" s="1811">
        <v>1</v>
      </c>
      <c r="AB18" s="1811">
        <v>1</v>
      </c>
      <c r="AC18" s="1811">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8"/>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238"/>
      <c r="Q20" s="1810"/>
      <c r="R20" s="774"/>
      <c r="S20" s="775"/>
      <c r="T20" s="774"/>
      <c r="U20" s="775"/>
      <c r="V20" s="774"/>
      <c r="W20" s="775"/>
      <c r="X20" s="1813"/>
      <c r="Y20" s="3238"/>
      <c r="Z20" s="1814"/>
      <c r="AA20" s="1811">
        <v>1</v>
      </c>
      <c r="AB20" s="1811">
        <v>1</v>
      </c>
      <c r="AC20" s="1811">
        <v>1</v>
      </c>
    </row>
    <row r="21" spans="1:29" ht="28.5">
      <c r="A21" s="428"/>
      <c r="B21" s="1385"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8"/>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38"/>
      <c r="Q22" s="1810"/>
      <c r="R22" s="774"/>
      <c r="S22" s="775"/>
      <c r="T22" s="774"/>
      <c r="U22" s="775"/>
      <c r="V22" s="774"/>
      <c r="W22" s="775"/>
      <c r="X22" s="1813"/>
      <c r="Y22" s="3238"/>
      <c r="Z22" s="1814"/>
      <c r="AA22" s="1811">
        <v>1</v>
      </c>
      <c r="AB22" s="1811">
        <v>1</v>
      </c>
      <c r="AC22" s="1811">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8"/>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238"/>
      <c r="Q24" s="1810"/>
      <c r="R24" s="774"/>
      <c r="S24" s="775"/>
      <c r="T24" s="774"/>
      <c r="U24" s="775"/>
      <c r="V24" s="774"/>
      <c r="W24" s="775"/>
      <c r="X24" s="1813"/>
      <c r="Y24" s="3238"/>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8"/>
      <c r="Q25" s="1810">
        <f>B25</f>
        <v>111</v>
      </c>
      <c r="R25" s="774" t="s">
        <v>17</v>
      </c>
      <c r="S25" s="775">
        <f>F25</f>
        <v>100</v>
      </c>
      <c r="T25" s="774" t="s">
        <v>17</v>
      </c>
      <c r="U25" s="775">
        <f>H25</f>
        <v>100</v>
      </c>
      <c r="V25" s="774" t="s">
        <v>17</v>
      </c>
      <c r="W25" s="775">
        <f>J25</f>
        <v>100</v>
      </c>
      <c r="X25" s="1813"/>
      <c r="Y25" s="3238"/>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8"/>
      <c r="Q26" s="1810">
        <f t="shared" ref="Q26:Q40" si="11">B26</f>
        <v>111</v>
      </c>
      <c r="R26" s="774" t="s">
        <v>17</v>
      </c>
      <c r="S26" s="775">
        <f>F26</f>
        <v>100</v>
      </c>
      <c r="T26" s="774" t="s">
        <v>17</v>
      </c>
      <c r="U26" s="775">
        <f>H26</f>
        <v>100</v>
      </c>
      <c r="V26" s="774" t="s">
        <v>17</v>
      </c>
      <c r="W26" s="775">
        <f>J26</f>
        <v>100</v>
      </c>
      <c r="X26" s="1813"/>
      <c r="Y26" s="3238"/>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8"/>
      <c r="Q27" s="1795">
        <f t="shared" si="11"/>
        <v>111</v>
      </c>
      <c r="R27" s="770" t="s">
        <v>17</v>
      </c>
      <c r="S27" s="771">
        <f>F27</f>
        <v>100</v>
      </c>
      <c r="T27" s="770" t="s">
        <v>17</v>
      </c>
      <c r="U27" s="771">
        <f>H27</f>
        <v>100</v>
      </c>
      <c r="V27" s="770" t="s">
        <v>17</v>
      </c>
      <c r="W27" s="771">
        <f>J27</f>
        <v>100</v>
      </c>
      <c r="X27" s="772"/>
      <c r="Y27" s="3238"/>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8"/>
      <c r="Q28" s="1810">
        <f t="shared" si="11"/>
        <v>111</v>
      </c>
      <c r="R28" s="774" t="s">
        <v>17</v>
      </c>
      <c r="S28" s="775">
        <f t="shared" ref="S28:S40" si="12">F28</f>
        <v>100</v>
      </c>
      <c r="T28" s="774" t="s">
        <v>17</v>
      </c>
      <c r="U28" s="775">
        <f t="shared" ref="U28:U40" si="13">H28</f>
        <v>100</v>
      </c>
      <c r="V28" s="774" t="s">
        <v>17</v>
      </c>
      <c r="W28" s="775">
        <f t="shared" ref="W28:W40" si="14">J28</f>
        <v>100</v>
      </c>
      <c r="X28" s="1813"/>
      <c r="Y28" s="3238"/>
      <c r="Z28" s="1814">
        <f t="shared" ref="Z28:Z40" si="15">Q28</f>
        <v>111</v>
      </c>
      <c r="AA28" s="1811">
        <f t="shared" si="3"/>
        <v>1</v>
      </c>
      <c r="AB28" s="1811">
        <f t="shared" si="4"/>
        <v>1</v>
      </c>
      <c r="AC28" s="1811">
        <f t="shared" si="5"/>
        <v>1</v>
      </c>
    </row>
    <row r="29" spans="1:29" ht="28.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46" t="s">
        <v>2563</v>
      </c>
      <c r="Q29" s="1810" t="str">
        <f t="shared" si="11"/>
        <v>建筑类型</v>
      </c>
      <c r="R29" s="774" t="s">
        <v>17</v>
      </c>
      <c r="S29" s="775">
        <f t="shared" si="12"/>
        <v>100</v>
      </c>
      <c r="T29" s="774" t="s">
        <v>17</v>
      </c>
      <c r="U29" s="775">
        <f t="shared" si="13"/>
        <v>100</v>
      </c>
      <c r="V29" s="774" t="s">
        <v>17</v>
      </c>
      <c r="W29" s="775">
        <f t="shared" si="14"/>
        <v>100</v>
      </c>
      <c r="X29" s="1813"/>
      <c r="Y29" s="324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42"/>
      <c r="Q31" s="1810" t="str">
        <f t="shared" si="11"/>
        <v>建筑结构</v>
      </c>
      <c r="R31" s="774" t="s">
        <v>17</v>
      </c>
      <c r="S31" s="775">
        <f t="shared" si="12"/>
        <v>100</v>
      </c>
      <c r="T31" s="774" t="s">
        <v>17</v>
      </c>
      <c r="U31" s="775">
        <f t="shared" si="13"/>
        <v>100</v>
      </c>
      <c r="V31" s="774" t="s">
        <v>17</v>
      </c>
      <c r="W31" s="775">
        <f t="shared" si="14"/>
        <v>100</v>
      </c>
      <c r="X31" s="1813"/>
      <c r="Y31" s="324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42"/>
      <c r="Q32" s="1810" t="str">
        <f t="shared" si="11"/>
        <v>公共部分装修</v>
      </c>
      <c r="R32" s="774" t="s">
        <v>17</v>
      </c>
      <c r="S32" s="775">
        <f t="shared" si="12"/>
        <v>100</v>
      </c>
      <c r="T32" s="774" t="s">
        <v>17</v>
      </c>
      <c r="U32" s="775">
        <f t="shared" si="13"/>
        <v>100</v>
      </c>
      <c r="V32" s="774" t="s">
        <v>17</v>
      </c>
      <c r="W32" s="775">
        <f t="shared" si="14"/>
        <v>100</v>
      </c>
      <c r="X32" s="1813"/>
      <c r="Y32" s="324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42"/>
      <c r="Q33" s="1810" t="str">
        <f t="shared" si="11"/>
        <v>成新度</v>
      </c>
      <c r="R33" s="774" t="s">
        <v>17</v>
      </c>
      <c r="S33" s="775" t="e">
        <f t="shared" si="12"/>
        <v>#N/A</v>
      </c>
      <c r="T33" s="774" t="s">
        <v>17</v>
      </c>
      <c r="U33" s="775" t="e">
        <f t="shared" si="13"/>
        <v>#N/A</v>
      </c>
      <c r="V33" s="774" t="s">
        <v>17</v>
      </c>
      <c r="W33" s="775" t="e">
        <f t="shared" si="14"/>
        <v>#N/A</v>
      </c>
      <c r="X33" s="1813"/>
      <c r="Y33" s="324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42"/>
      <c r="Q34" s="1795"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42" t="s">
        <v>2563</v>
      </c>
      <c r="Q35" s="1810" t="str">
        <f t="shared" si="11"/>
        <v>市政基础设施</v>
      </c>
      <c r="R35" s="774" t="s">
        <v>17</v>
      </c>
      <c r="S35" s="775">
        <f t="shared" si="12"/>
        <v>100</v>
      </c>
      <c r="T35" s="774" t="s">
        <v>17</v>
      </c>
      <c r="U35" s="775">
        <f t="shared" si="13"/>
        <v>100</v>
      </c>
      <c r="V35" s="774" t="s">
        <v>17</v>
      </c>
      <c r="W35" s="775">
        <f t="shared" si="14"/>
        <v>100</v>
      </c>
      <c r="X35" s="1813"/>
      <c r="Y35" s="324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42"/>
      <c r="Q36" s="1810" t="str">
        <f t="shared" si="11"/>
        <v>内部装修</v>
      </c>
      <c r="R36" s="774" t="s">
        <v>17</v>
      </c>
      <c r="S36" s="775">
        <f t="shared" si="12"/>
        <v>100</v>
      </c>
      <c r="T36" s="774" t="s">
        <v>17</v>
      </c>
      <c r="U36" s="775">
        <f t="shared" si="13"/>
        <v>100</v>
      </c>
      <c r="V36" s="774" t="s">
        <v>17</v>
      </c>
      <c r="W36" s="775">
        <f t="shared" si="14"/>
        <v>100</v>
      </c>
      <c r="X36" s="1813"/>
      <c r="Y36" s="324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42"/>
      <c r="Q37" s="1810" t="str">
        <f t="shared" si="11"/>
        <v>内部装修状况</v>
      </c>
      <c r="R37" s="774" t="s">
        <v>17</v>
      </c>
      <c r="S37" s="775">
        <f t="shared" si="12"/>
        <v>100</v>
      </c>
      <c r="T37" s="774" t="s">
        <v>17</v>
      </c>
      <c r="U37" s="775">
        <f t="shared" si="13"/>
        <v>100</v>
      </c>
      <c r="V37" s="774" t="s">
        <v>17</v>
      </c>
      <c r="W37" s="775">
        <f t="shared" si="14"/>
        <v>100</v>
      </c>
      <c r="X37" s="1813"/>
      <c r="Y37" s="3242"/>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42"/>
      <c r="Q39" s="1810">
        <f t="shared" si="11"/>
        <v>111</v>
      </c>
      <c r="R39" s="774" t="s">
        <v>17</v>
      </c>
      <c r="S39" s="775">
        <f t="shared" si="12"/>
        <v>100</v>
      </c>
      <c r="T39" s="774" t="s">
        <v>17</v>
      </c>
      <c r="U39" s="775">
        <f t="shared" si="13"/>
        <v>100</v>
      </c>
      <c r="V39" s="774" t="s">
        <v>17</v>
      </c>
      <c r="W39" s="775">
        <f t="shared" si="14"/>
        <v>100</v>
      </c>
      <c r="X39" s="1813"/>
      <c r="Y39" s="3242"/>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3"/>
      <c r="Q40" s="1810">
        <f t="shared" si="11"/>
        <v>111</v>
      </c>
      <c r="R40" s="774" t="s">
        <v>17</v>
      </c>
      <c r="S40" s="775">
        <f t="shared" si="12"/>
        <v>100</v>
      </c>
      <c r="T40" s="774" t="s">
        <v>17</v>
      </c>
      <c r="U40" s="775">
        <f t="shared" si="13"/>
        <v>100</v>
      </c>
      <c r="V40" s="774" t="s">
        <v>17</v>
      </c>
      <c r="W40" s="775">
        <f t="shared" si="14"/>
        <v>100</v>
      </c>
      <c r="X40" s="1813"/>
      <c r="Y40" s="3243"/>
      <c r="Z40" s="1814">
        <f t="shared" si="15"/>
        <v>111</v>
      </c>
      <c r="AA40" s="1811">
        <f t="shared" si="3"/>
        <v>1</v>
      </c>
      <c r="AB40" s="1811">
        <f t="shared" si="4"/>
        <v>1</v>
      </c>
      <c r="AC40" s="1811">
        <f t="shared" si="5"/>
        <v>1</v>
      </c>
    </row>
    <row r="41" spans="1:29" ht="15">
      <c r="A41" s="479" t="s">
        <v>2575</v>
      </c>
      <c r="B41" s="480"/>
      <c r="C41" s="1408" t="s">
        <v>1</v>
      </c>
      <c r="D41" s="1409"/>
      <c r="E41" s="1410"/>
      <c r="F41" s="1411"/>
      <c r="G41" s="1412"/>
      <c r="H41" s="1413"/>
      <c r="I41" s="1410"/>
      <c r="J41" s="1413"/>
      <c r="K41" s="783"/>
      <c r="L41" s="1144"/>
      <c r="M41" s="1145"/>
      <c r="N41" s="1132"/>
      <c r="O41" s="1145"/>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2668</v>
      </c>
      <c r="B43" s="493"/>
      <c r="C43" s="1418" t="e">
        <f>R43</f>
        <v>#DIV/0!</v>
      </c>
      <c r="D43" s="1418"/>
      <c r="E43" s="1418"/>
      <c r="F43" s="1418"/>
      <c r="G43" s="1418"/>
      <c r="H43" s="1418"/>
      <c r="I43" s="1418"/>
      <c r="J43" s="1418"/>
      <c r="K43" s="785"/>
      <c r="L43" s="1144"/>
      <c r="M43" s="1145"/>
      <c r="N43" s="1145"/>
      <c r="O43" s="1145"/>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2672</v>
      </c>
      <c r="B51" s="759"/>
      <c r="C51" s="764"/>
      <c r="D51" s="764"/>
      <c r="E51" s="764"/>
      <c r="F51" s="765"/>
      <c r="G51" s="765"/>
      <c r="H51" s="764"/>
      <c r="I51" s="764"/>
      <c r="J51" s="764"/>
      <c r="K51" s="1161"/>
      <c r="L51" s="1162"/>
      <c r="M51" s="1160"/>
      <c r="N51" s="1160"/>
      <c r="O51" s="1160"/>
      <c r="P51" s="503"/>
      <c r="Q51" s="504"/>
    </row>
    <row r="52" spans="1:17" s="508" customFormat="1" ht="15">
      <c r="A52" s="505" t="s">
        <v>2546</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估价对象为房地产，为所有。根据《国有土地使用证》[]，估价对象（分摊）出让国有建设用地使用权面积为0平方米，建筑面积为14583.99平方米。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估价对象为房地产,属开发建设的，该项目尚在开发建设中。根据《国有土地使用证》[]，估价对象（分摊）出让国有建设用地使用权面积为0平方米，规划建筑面积为14583.99平方米。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2019年3月27日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01" t="s">
        <v>2646</v>
      </c>
      <c r="AC4" s="3200" t="s">
        <v>2647</v>
      </c>
    </row>
    <row r="5" spans="1:29"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01"/>
      <c r="AC5" s="3201"/>
    </row>
    <row r="6" spans="1:29" ht="15.75" thickBot="1">
      <c r="A6" s="406"/>
      <c r="B6" s="407"/>
      <c r="C6" s="3213" t="s">
        <v>2544</v>
      </c>
      <c r="D6" s="3214"/>
      <c r="E6" s="3215" t="s">
        <v>2544</v>
      </c>
      <c r="F6" s="3216"/>
      <c r="G6" s="3213" t="s">
        <v>2544</v>
      </c>
      <c r="H6" s="3214"/>
      <c r="I6" s="3213" t="s">
        <v>2544</v>
      </c>
      <c r="J6" s="3214"/>
      <c r="K6" s="610" t="s">
        <v>2545</v>
      </c>
      <c r="L6" s="1131"/>
      <c r="M6" s="1132"/>
      <c r="N6" s="1132"/>
      <c r="O6" s="1132"/>
      <c r="P6" s="3226"/>
      <c r="Q6" s="3227"/>
      <c r="R6" s="3207"/>
      <c r="S6" s="3208"/>
      <c r="T6" s="3228"/>
      <c r="U6" s="3229"/>
      <c r="V6" s="3230"/>
      <c r="W6" s="3230"/>
      <c r="X6" s="1813"/>
      <c r="Y6" s="3228"/>
      <c r="Z6" s="3229"/>
      <c r="AA6" s="3202"/>
      <c r="AB6" s="3202"/>
      <c r="AC6" s="3202"/>
    </row>
    <row r="7" spans="1:29" s="117" customFormat="1" ht="15.75" thickBot="1">
      <c r="A7" s="408" t="s">
        <v>2546</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3" t="s">
        <v>2547</v>
      </c>
      <c r="Q7" s="3231"/>
      <c r="R7" s="770" t="s">
        <v>17</v>
      </c>
      <c r="S7" s="771">
        <f t="shared" ref="S7:S14" si="0">F7</f>
        <v>0</v>
      </c>
      <c r="T7" s="770" t="s">
        <v>17</v>
      </c>
      <c r="U7" s="771">
        <f t="shared" ref="U7:U14" si="1">H7</f>
        <v>0</v>
      </c>
      <c r="V7" s="770" t="s">
        <v>17</v>
      </c>
      <c r="W7" s="771">
        <f t="shared" ref="W7:W14" si="2">J7</f>
        <v>0</v>
      </c>
      <c r="X7" s="772"/>
      <c r="Y7" s="3203" t="s">
        <v>2547</v>
      </c>
      <c r="Z7" s="320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35" t="s">
        <v>2553</v>
      </c>
      <c r="Q9" s="1795"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35"/>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35"/>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3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3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7" t="s">
        <v>2558</v>
      </c>
      <c r="Q14" s="1810" t="str">
        <f t="shared" si="6"/>
        <v>交通便捷度</v>
      </c>
      <c r="R14" s="774" t="s">
        <v>17</v>
      </c>
      <c r="S14" s="775">
        <f t="shared" si="0"/>
        <v>100</v>
      </c>
      <c r="T14" s="774" t="s">
        <v>17</v>
      </c>
      <c r="U14" s="775">
        <f t="shared" si="1"/>
        <v>100</v>
      </c>
      <c r="V14" s="774" t="s">
        <v>17</v>
      </c>
      <c r="W14" s="775">
        <f t="shared" si="2"/>
        <v>100</v>
      </c>
      <c r="X14" s="1813"/>
      <c r="Y14" s="3237"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38"/>
      <c r="Q15" s="1810"/>
      <c r="R15" s="774"/>
      <c r="S15" s="775"/>
      <c r="T15" s="774"/>
      <c r="U15" s="775"/>
      <c r="V15" s="774"/>
      <c r="W15" s="775"/>
      <c r="X15" s="1813"/>
      <c r="Y15" s="3238"/>
      <c r="Z15" s="1814"/>
      <c r="AA15" s="1811">
        <v>1</v>
      </c>
      <c r="AB15" s="1811">
        <v>1</v>
      </c>
      <c r="AC15" s="1811">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238"/>
      <c r="Q17" s="1810"/>
      <c r="R17" s="774"/>
      <c r="S17" s="775"/>
      <c r="T17" s="774"/>
      <c r="U17" s="775"/>
      <c r="V17" s="774"/>
      <c r="W17" s="775"/>
      <c r="X17" s="1813"/>
      <c r="Y17" s="3238"/>
      <c r="Z17" s="1814"/>
      <c r="AA17" s="1811">
        <v>1</v>
      </c>
      <c r="AB17" s="1811">
        <v>1</v>
      </c>
      <c r="AC17" s="1811">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238"/>
      <c r="Q19" s="1810"/>
      <c r="R19" s="774"/>
      <c r="S19" s="775"/>
      <c r="T19" s="774"/>
      <c r="U19" s="775"/>
      <c r="V19" s="774"/>
      <c r="W19" s="775"/>
      <c r="X19" s="1813"/>
      <c r="Y19" s="3238"/>
      <c r="Z19" s="1814"/>
      <c r="AA19" s="1811">
        <v>1</v>
      </c>
      <c r="AB19" s="1811">
        <v>1</v>
      </c>
      <c r="AC19" s="1811">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38"/>
      <c r="Q21" s="1810"/>
      <c r="R21" s="774"/>
      <c r="S21" s="775"/>
      <c r="T21" s="774"/>
      <c r="U21" s="775"/>
      <c r="V21" s="774"/>
      <c r="W21" s="775"/>
      <c r="X21" s="1813"/>
      <c r="Y21" s="3238"/>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8"/>
      <c r="Q24" s="1810">
        <f t="shared" ref="Q24:Q36"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4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42"/>
      <c r="Q28" s="1810" t="str">
        <f t="shared" si="11"/>
        <v>公共部分装修</v>
      </c>
      <c r="R28" s="774" t="s">
        <v>17</v>
      </c>
      <c r="S28" s="775">
        <f t="shared" si="12"/>
        <v>100</v>
      </c>
      <c r="T28" s="774" t="s">
        <v>17</v>
      </c>
      <c r="U28" s="775">
        <f t="shared" si="13"/>
        <v>100</v>
      </c>
      <c r="V28" s="774" t="s">
        <v>17</v>
      </c>
      <c r="W28" s="775">
        <f t="shared" si="14"/>
        <v>100</v>
      </c>
      <c r="X28" s="1813"/>
      <c r="Y28" s="324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42"/>
      <c r="Q29" s="1810" t="str">
        <f t="shared" si="11"/>
        <v>成新率</v>
      </c>
      <c r="R29" s="774" t="s">
        <v>17</v>
      </c>
      <c r="S29" s="775" t="e">
        <f t="shared" si="12"/>
        <v>#N/A</v>
      </c>
      <c r="T29" s="774" t="s">
        <v>17</v>
      </c>
      <c r="U29" s="775" t="e">
        <f t="shared" si="13"/>
        <v>#N/A</v>
      </c>
      <c r="V29" s="774" t="s">
        <v>17</v>
      </c>
      <c r="W29" s="775" t="e">
        <f t="shared" si="14"/>
        <v>#N/A</v>
      </c>
      <c r="X29" s="1813"/>
      <c r="Y29" s="324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42"/>
      <c r="Q30" s="1810" t="str">
        <f t="shared" si="11"/>
        <v>物业等级</v>
      </c>
      <c r="R30" s="774" t="s">
        <v>17</v>
      </c>
      <c r="S30" s="775">
        <f t="shared" si="12"/>
        <v>100</v>
      </c>
      <c r="T30" s="774" t="s">
        <v>17</v>
      </c>
      <c r="U30" s="775">
        <f t="shared" si="13"/>
        <v>100</v>
      </c>
      <c r="V30" s="774" t="s">
        <v>17</v>
      </c>
      <c r="W30" s="775">
        <f t="shared" si="14"/>
        <v>100</v>
      </c>
      <c r="X30" s="1813"/>
      <c r="Y30" s="324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42"/>
      <c r="Q31" s="1795"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42" t="s">
        <v>2563</v>
      </c>
      <c r="Q32" s="1810" t="str">
        <f t="shared" si="11"/>
        <v>车位类型</v>
      </c>
      <c r="R32" s="774" t="s">
        <v>17</v>
      </c>
      <c r="S32" s="775">
        <f t="shared" si="12"/>
        <v>100</v>
      </c>
      <c r="T32" s="774" t="s">
        <v>17</v>
      </c>
      <c r="U32" s="775">
        <f t="shared" si="13"/>
        <v>100</v>
      </c>
      <c r="V32" s="774" t="s">
        <v>17</v>
      </c>
      <c r="W32" s="775">
        <f t="shared" si="14"/>
        <v>100</v>
      </c>
      <c r="X32" s="1813"/>
      <c r="Y32" s="324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42"/>
      <c r="Q33" s="1810" t="str">
        <f t="shared" si="11"/>
        <v>是否直接入户</v>
      </c>
      <c r="R33" s="774" t="s">
        <v>17</v>
      </c>
      <c r="S33" s="775">
        <f t="shared" si="12"/>
        <v>100</v>
      </c>
      <c r="T33" s="774" t="s">
        <v>17</v>
      </c>
      <c r="U33" s="775">
        <f t="shared" si="13"/>
        <v>100</v>
      </c>
      <c r="V33" s="774" t="s">
        <v>17</v>
      </c>
      <c r="W33" s="775">
        <f t="shared" si="14"/>
        <v>100</v>
      </c>
      <c r="X33" s="1813"/>
      <c r="Y33" s="324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42"/>
      <c r="Q36" s="1810">
        <f t="shared" si="11"/>
        <v>111</v>
      </c>
      <c r="R36" s="774" t="s">
        <v>17</v>
      </c>
      <c r="S36" s="775">
        <f t="shared" si="12"/>
        <v>100</v>
      </c>
      <c r="T36" s="774" t="s">
        <v>17</v>
      </c>
      <c r="U36" s="775">
        <f t="shared" si="13"/>
        <v>100</v>
      </c>
      <c r="V36" s="774" t="s">
        <v>17</v>
      </c>
      <c r="W36" s="775">
        <f t="shared" si="14"/>
        <v>100</v>
      </c>
      <c r="X36" s="1813"/>
      <c r="Y36" s="3242"/>
      <c r="Z36" s="1814">
        <f t="shared" si="15"/>
        <v>111</v>
      </c>
      <c r="AA36" s="1811">
        <f t="shared" si="3"/>
        <v>1</v>
      </c>
      <c r="AB36" s="1811">
        <f t="shared" si="4"/>
        <v>1</v>
      </c>
      <c r="AC36" s="1811">
        <f t="shared" si="5"/>
        <v>1</v>
      </c>
    </row>
    <row r="37" spans="1:29" ht="15">
      <c r="A37" s="479" t="s">
        <v>2718</v>
      </c>
      <c r="B37" s="2698" t="s">
        <v>2719</v>
      </c>
      <c r="C37" s="1408" t="s">
        <v>1</v>
      </c>
      <c r="D37" s="1409"/>
      <c r="E37" s="1410"/>
      <c r="F37" s="1411"/>
      <c r="G37" s="1412"/>
      <c r="H37" s="1413"/>
      <c r="I37" s="1410"/>
      <c r="J37" s="1413"/>
      <c r="K37" s="619"/>
      <c r="L37" s="1144"/>
      <c r="M37" s="1145"/>
      <c r="N37" s="1132"/>
      <c r="O37" s="1145"/>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2721</v>
      </c>
      <c r="B39" s="493"/>
      <c r="C39" s="1418" t="e">
        <f>R39</f>
        <v>#DIV/0!</v>
      </c>
      <c r="D39" s="1418"/>
      <c r="E39" s="1418"/>
      <c r="F39" s="1418"/>
      <c r="G39" s="1418"/>
      <c r="H39" s="1418"/>
      <c r="I39" s="1418"/>
      <c r="J39" s="1418"/>
      <c r="K39" s="621"/>
      <c r="L39" s="1144"/>
      <c r="M39" s="1145"/>
      <c r="N39" s="1145"/>
      <c r="O39" s="1145"/>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2726</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01" t="s">
        <v>2646</v>
      </c>
      <c r="AC4" s="3200" t="s">
        <v>2647</v>
      </c>
    </row>
    <row r="5" spans="1:29"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01"/>
      <c r="AC5" s="3201"/>
    </row>
    <row r="6" spans="1:29" ht="15.75" thickBot="1">
      <c r="A6" s="406"/>
      <c r="B6" s="407"/>
      <c r="C6" s="3213" t="s">
        <v>2544</v>
      </c>
      <c r="D6" s="3214"/>
      <c r="E6" s="3215" t="s">
        <v>2544</v>
      </c>
      <c r="F6" s="3216"/>
      <c r="G6" s="3213" t="s">
        <v>2544</v>
      </c>
      <c r="H6" s="3214"/>
      <c r="I6" s="3213" t="s">
        <v>2544</v>
      </c>
      <c r="J6" s="3214"/>
      <c r="K6" s="610" t="s">
        <v>2545</v>
      </c>
      <c r="L6" s="1131"/>
      <c r="M6" s="1132"/>
      <c r="N6" s="1132"/>
      <c r="O6" s="1132"/>
      <c r="P6" s="3226"/>
      <c r="Q6" s="3227"/>
      <c r="R6" s="3207"/>
      <c r="S6" s="3208"/>
      <c r="T6" s="3228"/>
      <c r="U6" s="3229"/>
      <c r="V6" s="3230"/>
      <c r="W6" s="3230"/>
      <c r="X6" s="1813"/>
      <c r="Y6" s="3228"/>
      <c r="Z6" s="3229"/>
      <c r="AA6" s="3202"/>
      <c r="AB6" s="3202"/>
      <c r="AC6" s="3202"/>
    </row>
    <row r="7" spans="1:29" s="117" customFormat="1" ht="15.75" thickBot="1">
      <c r="A7" s="408" t="s">
        <v>2546</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03" t="s">
        <v>2547</v>
      </c>
      <c r="Q7" s="3231"/>
      <c r="R7" s="770" t="s">
        <v>17</v>
      </c>
      <c r="S7" s="771">
        <f t="shared" ref="S7:S14" si="0">F7</f>
        <v>0</v>
      </c>
      <c r="T7" s="770" t="s">
        <v>17</v>
      </c>
      <c r="U7" s="771">
        <f t="shared" ref="U7:U14" si="1">H7</f>
        <v>0</v>
      </c>
      <c r="V7" s="770" t="s">
        <v>17</v>
      </c>
      <c r="W7" s="771">
        <f t="shared" ref="W7:W14" si="2">J7</f>
        <v>0</v>
      </c>
      <c r="X7" s="772"/>
      <c r="Y7" s="3203" t="s">
        <v>2547</v>
      </c>
      <c r="Z7" s="320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35" t="s">
        <v>2553</v>
      </c>
      <c r="Q9" s="1795"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35"/>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35"/>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3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3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7" t="s">
        <v>2558</v>
      </c>
      <c r="Q14" s="1810" t="str">
        <f t="shared" si="6"/>
        <v>交通便捷度</v>
      </c>
      <c r="R14" s="774" t="s">
        <v>17</v>
      </c>
      <c r="S14" s="775">
        <f t="shared" si="0"/>
        <v>100</v>
      </c>
      <c r="T14" s="774" t="s">
        <v>17</v>
      </c>
      <c r="U14" s="775">
        <f t="shared" si="1"/>
        <v>100</v>
      </c>
      <c r="V14" s="774" t="s">
        <v>17</v>
      </c>
      <c r="W14" s="775">
        <f t="shared" si="2"/>
        <v>100</v>
      </c>
      <c r="X14" s="1813"/>
      <c r="Y14" s="3237"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38"/>
      <c r="Q15" s="1810"/>
      <c r="R15" s="774"/>
      <c r="S15" s="775"/>
      <c r="T15" s="774"/>
      <c r="U15" s="775"/>
      <c r="V15" s="774"/>
      <c r="W15" s="775"/>
      <c r="X15" s="1813"/>
      <c r="Y15" s="3238"/>
      <c r="Z15" s="1814"/>
      <c r="AA15" s="1811">
        <v>1</v>
      </c>
      <c r="AB15" s="1811">
        <v>1</v>
      </c>
      <c r="AC15" s="1811">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238"/>
      <c r="Q17" s="1810"/>
      <c r="R17" s="774"/>
      <c r="S17" s="775"/>
      <c r="T17" s="774"/>
      <c r="U17" s="775"/>
      <c r="V17" s="774"/>
      <c r="W17" s="775"/>
      <c r="X17" s="1813"/>
      <c r="Y17" s="3238"/>
      <c r="Z17" s="1814"/>
      <c r="AA17" s="1811">
        <v>1</v>
      </c>
      <c r="AB17" s="1811">
        <v>1</v>
      </c>
      <c r="AC17" s="1811">
        <v>1</v>
      </c>
    </row>
    <row r="18" spans="1:29" ht="28.5">
      <c r="A18" s="428"/>
      <c r="B18" s="1385"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38"/>
      <c r="Q19" s="1810"/>
      <c r="R19" s="774"/>
      <c r="S19" s="775"/>
      <c r="T19" s="774"/>
      <c r="U19" s="775"/>
      <c r="V19" s="774"/>
      <c r="W19" s="775"/>
      <c r="X19" s="1813"/>
      <c r="Y19" s="3238"/>
      <c r="Z19" s="1814"/>
      <c r="AA19" s="1811">
        <v>1</v>
      </c>
      <c r="AB19" s="1811">
        <v>1</v>
      </c>
      <c r="AC19" s="1811">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38"/>
      <c r="Q21" s="1810"/>
      <c r="R21" s="774"/>
      <c r="S21" s="775"/>
      <c r="T21" s="774"/>
      <c r="U21" s="775"/>
      <c r="V21" s="774"/>
      <c r="W21" s="775"/>
      <c r="X21" s="1813"/>
      <c r="Y21" s="323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8"/>
      <c r="Q24" s="1810">
        <f t="shared" ref="Q24:Q34"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4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42"/>
      <c r="Q28" s="1810" t="str">
        <f t="shared" si="11"/>
        <v>物业等级</v>
      </c>
      <c r="R28" s="774" t="s">
        <v>17</v>
      </c>
      <c r="S28" s="775">
        <f t="shared" si="12"/>
        <v>100</v>
      </c>
      <c r="T28" s="774" t="s">
        <v>17</v>
      </c>
      <c r="U28" s="775">
        <f t="shared" si="13"/>
        <v>100</v>
      </c>
      <c r="V28" s="774" t="s">
        <v>17</v>
      </c>
      <c r="W28" s="775">
        <f t="shared" si="14"/>
        <v>100</v>
      </c>
      <c r="X28" s="1813"/>
      <c r="Y28" s="324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42"/>
      <c r="Q29" s="1810" t="str">
        <f t="shared" si="11"/>
        <v>有无电梯</v>
      </c>
      <c r="R29" s="774" t="s">
        <v>17</v>
      </c>
      <c r="S29" s="775">
        <f t="shared" si="12"/>
        <v>100</v>
      </c>
      <c r="T29" s="774" t="s">
        <v>17</v>
      </c>
      <c r="U29" s="775">
        <f t="shared" si="13"/>
        <v>100</v>
      </c>
      <c r="V29" s="774" t="s">
        <v>17</v>
      </c>
      <c r="W29" s="775">
        <f t="shared" si="14"/>
        <v>100</v>
      </c>
      <c r="X29" s="1813"/>
      <c r="Y29" s="324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42"/>
      <c r="Q30" s="1810" t="str">
        <f t="shared" si="11"/>
        <v>建筑面积</v>
      </c>
      <c r="R30" s="774" t="s">
        <v>17</v>
      </c>
      <c r="S30" s="775" t="e">
        <f t="shared" si="12"/>
        <v>#N/A</v>
      </c>
      <c r="T30" s="774" t="s">
        <v>17</v>
      </c>
      <c r="U30" s="775" t="e">
        <f t="shared" si="13"/>
        <v>#N/A</v>
      </c>
      <c r="V30" s="774" t="s">
        <v>17</v>
      </c>
      <c r="W30" s="775" t="e">
        <f t="shared" si="14"/>
        <v>#N/A</v>
      </c>
      <c r="X30" s="1813"/>
      <c r="Y30" s="324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42"/>
      <c r="Q31" s="1795"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42" t="s">
        <v>2563</v>
      </c>
      <c r="Q32" s="1810">
        <f t="shared" si="11"/>
        <v>111</v>
      </c>
      <c r="R32" s="774" t="s">
        <v>17</v>
      </c>
      <c r="S32" s="775">
        <f t="shared" si="12"/>
        <v>100</v>
      </c>
      <c r="T32" s="774" t="s">
        <v>17</v>
      </c>
      <c r="U32" s="775">
        <f t="shared" si="13"/>
        <v>100</v>
      </c>
      <c r="V32" s="774" t="s">
        <v>17</v>
      </c>
      <c r="W32" s="775">
        <f t="shared" si="14"/>
        <v>100</v>
      </c>
      <c r="X32" s="1813"/>
      <c r="Y32" s="3242" t="s">
        <v>2563</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42"/>
      <c r="Q33" s="1810">
        <f t="shared" si="11"/>
        <v>111</v>
      </c>
      <c r="R33" s="774" t="s">
        <v>17</v>
      </c>
      <c r="S33" s="775">
        <f t="shared" si="12"/>
        <v>100</v>
      </c>
      <c r="T33" s="774" t="s">
        <v>17</v>
      </c>
      <c r="U33" s="775">
        <f t="shared" si="13"/>
        <v>100</v>
      </c>
      <c r="V33" s="774" t="s">
        <v>17</v>
      </c>
      <c r="W33" s="775">
        <f t="shared" si="14"/>
        <v>100</v>
      </c>
      <c r="X33" s="1813"/>
      <c r="Y33" s="3242"/>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ht="15">
      <c r="A35" s="479" t="s">
        <v>2575</v>
      </c>
      <c r="B35" s="480"/>
      <c r="C35" s="1408" t="s">
        <v>1</v>
      </c>
      <c r="D35" s="1409"/>
      <c r="E35" s="1410"/>
      <c r="F35" s="1411"/>
      <c r="G35" s="1412"/>
      <c r="H35" s="1413"/>
      <c r="I35" s="1410"/>
      <c r="J35" s="1413"/>
      <c r="K35" s="783"/>
      <c r="L35" s="1144"/>
      <c r="M35" s="1145"/>
      <c r="N35" s="1132"/>
      <c r="O35" s="1145"/>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2668</v>
      </c>
      <c r="B37" s="493"/>
      <c r="C37" s="1418" t="e">
        <f>R37</f>
        <v>#DIV/0!</v>
      </c>
      <c r="D37" s="1418"/>
      <c r="E37" s="1418"/>
      <c r="F37" s="1418"/>
      <c r="G37" s="1418"/>
      <c r="H37" s="1418"/>
      <c r="I37" s="1418"/>
      <c r="J37" s="1418"/>
      <c r="K37" s="785"/>
      <c r="L37" s="1144"/>
      <c r="M37" s="1145"/>
      <c r="N37" s="1145"/>
      <c r="O37" s="1145"/>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01" t="s">
        <v>2646</v>
      </c>
      <c r="AC4" s="3200" t="s">
        <v>2647</v>
      </c>
    </row>
    <row r="5" spans="1:30"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01"/>
      <c r="AC5" s="3201"/>
    </row>
    <row r="6" spans="1:30" ht="15.75" thickBot="1">
      <c r="A6" s="406"/>
      <c r="B6" s="407"/>
      <c r="C6" s="3213" t="s">
        <v>2544</v>
      </c>
      <c r="D6" s="3214"/>
      <c r="E6" s="3215" t="s">
        <v>2544</v>
      </c>
      <c r="F6" s="3216"/>
      <c r="G6" s="3213" t="s">
        <v>2544</v>
      </c>
      <c r="H6" s="3214"/>
      <c r="I6" s="3213" t="s">
        <v>2544</v>
      </c>
      <c r="J6" s="3214"/>
      <c r="K6" s="610" t="s">
        <v>2545</v>
      </c>
      <c r="L6" s="1131"/>
      <c r="M6" s="1132"/>
      <c r="N6" s="1132"/>
      <c r="O6" s="1132"/>
      <c r="P6" s="3226"/>
      <c r="Q6" s="3227"/>
      <c r="R6" s="3207"/>
      <c r="S6" s="3208"/>
      <c r="T6" s="3228"/>
      <c r="U6" s="3229"/>
      <c r="V6" s="3230"/>
      <c r="W6" s="3230"/>
      <c r="X6" s="1813"/>
      <c r="Y6" s="3228"/>
      <c r="Z6" s="3229"/>
      <c r="AA6" s="3202"/>
      <c r="AB6" s="3202"/>
      <c r="AC6" s="3202"/>
    </row>
    <row r="7" spans="1:30" s="117" customFormat="1" ht="15.75" thickBot="1">
      <c r="A7" s="408" t="s">
        <v>2546</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03" t="s">
        <v>2547</v>
      </c>
      <c r="Q7" s="3231"/>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35"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235"/>
      <c r="Q10" s="1795" t="str">
        <f t="shared" si="6"/>
        <v>土地使用年限（年）</v>
      </c>
      <c r="R10" s="770" t="s">
        <v>17</v>
      </c>
      <c r="S10" s="771">
        <f t="shared" si="0"/>
        <v>109</v>
      </c>
      <c r="T10" s="770" t="s">
        <v>17</v>
      </c>
      <c r="U10" s="771">
        <f t="shared" si="1"/>
        <v>109</v>
      </c>
      <c r="V10" s="770" t="s">
        <v>17</v>
      </c>
      <c r="W10" s="771">
        <f t="shared" si="2"/>
        <v>109</v>
      </c>
      <c r="X10" s="772"/>
      <c r="Y10" s="3050"/>
      <c r="Z10" s="55" t="str">
        <f t="shared" si="7"/>
        <v>土地使用年限（年）</v>
      </c>
      <c r="AA10" s="773">
        <f t="shared" si="3"/>
        <v>0.91743119266055051</v>
      </c>
      <c r="AB10" s="773">
        <f t="shared" si="4"/>
        <v>0.91743119266055051</v>
      </c>
      <c r="AC10" s="773">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35"/>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35"/>
      <c r="Q12" s="179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35"/>
      <c r="Q13" s="179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35"/>
      <c r="Q14" s="179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2557</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7" t="s">
        <v>2558</v>
      </c>
      <c r="Q15" s="1810" t="str">
        <f t="shared" si="6"/>
        <v>居住社区成熟度</v>
      </c>
      <c r="R15" s="774" t="s">
        <v>17</v>
      </c>
      <c r="S15" s="775">
        <f t="shared" si="0"/>
        <v>100</v>
      </c>
      <c r="T15" s="774" t="s">
        <v>17</v>
      </c>
      <c r="U15" s="775">
        <f t="shared" si="1"/>
        <v>100</v>
      </c>
      <c r="V15" s="774" t="s">
        <v>17</v>
      </c>
      <c r="W15" s="775">
        <f t="shared" si="2"/>
        <v>100</v>
      </c>
      <c r="X15" s="1813"/>
      <c r="Y15" s="3237" t="s">
        <v>2558</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238"/>
      <c r="Q16" s="1810"/>
      <c r="R16" s="774"/>
      <c r="S16" s="775"/>
      <c r="T16" s="774"/>
      <c r="U16" s="775"/>
      <c r="V16" s="774"/>
      <c r="W16" s="775"/>
      <c r="X16" s="1813"/>
      <c r="Y16" s="3238"/>
      <c r="Z16" s="1814"/>
      <c r="AA16" s="1811">
        <v>1</v>
      </c>
      <c r="AB16" s="1811">
        <v>1</v>
      </c>
      <c r="AC16" s="1811">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8"/>
      <c r="Q17" s="1810" t="str">
        <f>B17</f>
        <v>商业繁华度</v>
      </c>
      <c r="R17" s="774" t="s">
        <v>17</v>
      </c>
      <c r="S17" s="775">
        <f>F17</f>
        <v>100</v>
      </c>
      <c r="T17" s="774" t="s">
        <v>17</v>
      </c>
      <c r="U17" s="775">
        <f>H17</f>
        <v>100</v>
      </c>
      <c r="V17" s="774" t="s">
        <v>17</v>
      </c>
      <c r="W17" s="775">
        <f>J17</f>
        <v>100</v>
      </c>
      <c r="X17" s="1813"/>
      <c r="Y17" s="3238"/>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238"/>
      <c r="Q18" s="1810"/>
      <c r="R18" s="774"/>
      <c r="S18" s="775"/>
      <c r="T18" s="774"/>
      <c r="U18" s="775"/>
      <c r="V18" s="774"/>
      <c r="W18" s="775"/>
      <c r="X18" s="1813"/>
      <c r="Y18" s="3238"/>
      <c r="Z18" s="1814"/>
      <c r="AA18" s="1811">
        <v>1</v>
      </c>
      <c r="AB18" s="1811">
        <v>1</v>
      </c>
      <c r="AC18" s="1811">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8"/>
      <c r="Q19" s="1810" t="str">
        <f>B19</f>
        <v>办公集聚程度</v>
      </c>
      <c r="R19" s="774" t="s">
        <v>17</v>
      </c>
      <c r="S19" s="775">
        <f>F19</f>
        <v>100</v>
      </c>
      <c r="T19" s="774" t="s">
        <v>17</v>
      </c>
      <c r="U19" s="775">
        <f>H19</f>
        <v>100</v>
      </c>
      <c r="V19" s="774" t="s">
        <v>17</v>
      </c>
      <c r="W19" s="775">
        <f>J19</f>
        <v>100</v>
      </c>
      <c r="X19" s="1813"/>
      <c r="Y19" s="3238"/>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238"/>
      <c r="Q20" s="1810"/>
      <c r="R20" s="774"/>
      <c r="S20" s="775"/>
      <c r="T20" s="774"/>
      <c r="U20" s="775"/>
      <c r="V20" s="774"/>
      <c r="W20" s="775"/>
      <c r="X20" s="1813"/>
      <c r="Y20" s="3238"/>
      <c r="Z20" s="1814"/>
      <c r="AA20" s="1811">
        <v>1</v>
      </c>
      <c r="AB20" s="1811">
        <v>1</v>
      </c>
      <c r="AC20" s="1811">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8"/>
      <c r="Q21" s="1810" t="str">
        <f>B21</f>
        <v>交通便捷度</v>
      </c>
      <c r="R21" s="774" t="s">
        <v>17</v>
      </c>
      <c r="S21" s="775">
        <f>F21</f>
        <v>100</v>
      </c>
      <c r="T21" s="774" t="s">
        <v>17</v>
      </c>
      <c r="U21" s="775">
        <f>H21</f>
        <v>100</v>
      </c>
      <c r="V21" s="774" t="s">
        <v>17</v>
      </c>
      <c r="W21" s="775">
        <f>J21</f>
        <v>100</v>
      </c>
      <c r="X21" s="1813"/>
      <c r="Y21" s="3238"/>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238"/>
      <c r="Q22" s="1810"/>
      <c r="R22" s="774"/>
      <c r="S22" s="775"/>
      <c r="T22" s="774"/>
      <c r="U22" s="775"/>
      <c r="V22" s="774"/>
      <c r="W22" s="775"/>
      <c r="X22" s="1813"/>
      <c r="Y22" s="3238"/>
      <c r="Z22" s="1814"/>
      <c r="AA22" s="1811">
        <v>1</v>
      </c>
      <c r="AB22" s="1811">
        <v>1</v>
      </c>
      <c r="AC22" s="1811">
        <v>1</v>
      </c>
    </row>
    <row r="23" spans="1:29" ht="15">
      <c r="A23" s="404"/>
      <c r="B23" s="451" t="s">
        <v>2746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8"/>
      <c r="Q23" s="1810" t="str">
        <f t="shared" ref="Q23:Q37" si="8">B23</f>
        <v>区域土地利用方向</v>
      </c>
      <c r="R23" s="774" t="s">
        <v>17</v>
      </c>
      <c r="S23" s="775">
        <f>F23</f>
        <v>100</v>
      </c>
      <c r="T23" s="774" t="s">
        <v>17</v>
      </c>
      <c r="U23" s="775">
        <f>H23</f>
        <v>100</v>
      </c>
      <c r="V23" s="774" t="s">
        <v>17</v>
      </c>
      <c r="W23" s="775">
        <f>J23</f>
        <v>100</v>
      </c>
      <c r="X23" s="1813"/>
      <c r="Y23" s="3238"/>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238"/>
      <c r="Q24" s="1810"/>
      <c r="R24" s="774"/>
      <c r="S24" s="775"/>
      <c r="T24" s="774"/>
      <c r="U24" s="775"/>
      <c r="V24" s="774"/>
      <c r="W24" s="775"/>
      <c r="X24" s="1813"/>
      <c r="Y24" s="3238"/>
      <c r="Z24" s="1814"/>
      <c r="AA24" s="1811"/>
      <c r="AB24" s="1811"/>
      <c r="AC24" s="1811"/>
    </row>
    <row r="25" spans="1:29" ht="57">
      <c r="A25" s="404"/>
      <c r="B25" s="1385"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8"/>
      <c r="Q25" s="1810" t="str">
        <f t="shared" si="8"/>
        <v>自然及人文环境状况</v>
      </c>
      <c r="R25" s="774" t="s">
        <v>17</v>
      </c>
      <c r="S25" s="775">
        <f>F25</f>
        <v>100</v>
      </c>
      <c r="T25" s="774" t="s">
        <v>17</v>
      </c>
      <c r="U25" s="775">
        <f>H25</f>
        <v>100</v>
      </c>
      <c r="V25" s="774" t="s">
        <v>17</v>
      </c>
      <c r="W25" s="775">
        <f>J25</f>
        <v>100</v>
      </c>
      <c r="X25" s="1813"/>
      <c r="Y25" s="3238"/>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238"/>
      <c r="Q26" s="1810"/>
      <c r="R26" s="774"/>
      <c r="S26" s="775"/>
      <c r="T26" s="774"/>
      <c r="U26" s="775"/>
      <c r="V26" s="774"/>
      <c r="W26" s="775"/>
      <c r="X26" s="1813"/>
      <c r="Y26" s="3238"/>
      <c r="Z26" s="1814"/>
      <c r="AA26" s="1811">
        <v>1</v>
      </c>
      <c r="AB26" s="1811">
        <v>1</v>
      </c>
      <c r="AC26" s="1811">
        <v>1</v>
      </c>
    </row>
    <row r="27" spans="1:29" s="117" customFormat="1" ht="42.75">
      <c r="A27" s="649"/>
      <c r="B27" s="1385"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8"/>
      <c r="Q27" s="1795" t="str">
        <f t="shared" si="8"/>
        <v>公共配套设施</v>
      </c>
      <c r="R27" s="770" t="s">
        <v>17</v>
      </c>
      <c r="S27" s="771">
        <f>F27</f>
        <v>100</v>
      </c>
      <c r="T27" s="770" t="s">
        <v>17</v>
      </c>
      <c r="U27" s="771">
        <f>H27</f>
        <v>100</v>
      </c>
      <c r="V27" s="770" t="s">
        <v>17</v>
      </c>
      <c r="W27" s="771">
        <f>J27</f>
        <v>100</v>
      </c>
      <c r="X27" s="772"/>
      <c r="Y27" s="3238"/>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238"/>
      <c r="Q28" s="1795"/>
      <c r="R28" s="770"/>
      <c r="S28" s="771"/>
      <c r="T28" s="770"/>
      <c r="U28" s="771"/>
      <c r="V28" s="770"/>
      <c r="W28" s="771"/>
      <c r="X28" s="772"/>
      <c r="Y28" s="3238"/>
      <c r="Z28" s="55"/>
      <c r="AA28" s="1811">
        <v>1</v>
      </c>
      <c r="AB28" s="1811">
        <v>1</v>
      </c>
      <c r="AC28" s="1811">
        <v>1</v>
      </c>
    </row>
    <row r="29" spans="1:29" s="117" customFormat="1" ht="28.5">
      <c r="A29" s="649"/>
      <c r="B29" s="1385"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8"/>
      <c r="Q29" s="1795"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238"/>
      <c r="Q30" s="1795"/>
      <c r="R30" s="770"/>
      <c r="S30" s="771"/>
      <c r="T30" s="770"/>
      <c r="U30" s="771"/>
      <c r="V30" s="770"/>
      <c r="W30" s="771"/>
      <c r="X30" s="772"/>
      <c r="Y30" s="3238"/>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8"/>
      <c r="Z31" s="1814" t="str">
        <f t="shared" ref="Z31:Z45" si="13">Q31</f>
        <v>临街状况</v>
      </c>
      <c r="AA31" s="1811">
        <f t="shared" si="3"/>
        <v>1</v>
      </c>
      <c r="AB31" s="1811">
        <f t="shared" si="4"/>
        <v>1</v>
      </c>
      <c r="AC31" s="1811">
        <f t="shared" si="5"/>
        <v>1</v>
      </c>
    </row>
    <row r="32" spans="1:29" ht="27">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8"/>
      <c r="Q32" s="1810" t="str">
        <f t="shared" si="8"/>
        <v>毗邻道路的类型与等级</v>
      </c>
      <c r="R32" s="774" t="s">
        <v>17</v>
      </c>
      <c r="S32" s="775">
        <f t="shared" si="10"/>
        <v>100</v>
      </c>
      <c r="T32" s="774" t="s">
        <v>17</v>
      </c>
      <c r="U32" s="775">
        <f t="shared" si="11"/>
        <v>100</v>
      </c>
      <c r="V32" s="774" t="s">
        <v>17</v>
      </c>
      <c r="W32" s="775">
        <f t="shared" si="12"/>
        <v>100</v>
      </c>
      <c r="X32" s="1813"/>
      <c r="Y32" s="3238"/>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238"/>
      <c r="Q33" s="1810"/>
      <c r="R33" s="774"/>
      <c r="S33" s="775"/>
      <c r="T33" s="774"/>
      <c r="U33" s="775"/>
      <c r="V33" s="774"/>
      <c r="W33" s="775"/>
      <c r="X33" s="1813"/>
      <c r="Y33" s="3238"/>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8"/>
      <c r="Q34" s="1810" t="str">
        <f t="shared" si="8"/>
        <v>土地级别</v>
      </c>
      <c r="R34" s="774" t="s">
        <v>17</v>
      </c>
      <c r="S34" s="775">
        <f t="shared" si="10"/>
        <v>100</v>
      </c>
      <c r="T34" s="774" t="s">
        <v>17</v>
      </c>
      <c r="U34" s="775">
        <f t="shared" si="11"/>
        <v>100</v>
      </c>
      <c r="V34" s="774" t="s">
        <v>17</v>
      </c>
      <c r="W34" s="775">
        <f t="shared" si="12"/>
        <v>100</v>
      </c>
      <c r="X34" s="1813"/>
      <c r="Y34" s="3238"/>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8"/>
      <c r="Q35" s="1810">
        <f t="shared" si="8"/>
        <v>111</v>
      </c>
      <c r="R35" s="774" t="s">
        <v>17</v>
      </c>
      <c r="S35" s="775">
        <f t="shared" si="10"/>
        <v>100</v>
      </c>
      <c r="T35" s="774" t="s">
        <v>17</v>
      </c>
      <c r="U35" s="775">
        <f t="shared" si="11"/>
        <v>100</v>
      </c>
      <c r="V35" s="774" t="s">
        <v>17</v>
      </c>
      <c r="W35" s="775">
        <f t="shared" si="12"/>
        <v>100</v>
      </c>
      <c r="X35" s="1813"/>
      <c r="Y35" s="3238"/>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46" t="s">
        <v>2563</v>
      </c>
      <c r="Q36" s="1810">
        <f t="shared" si="8"/>
        <v>111</v>
      </c>
      <c r="R36" s="774" t="s">
        <v>17</v>
      </c>
      <c r="S36" s="775">
        <f t="shared" si="10"/>
        <v>100</v>
      </c>
      <c r="T36" s="774" t="s">
        <v>17</v>
      </c>
      <c r="U36" s="775">
        <f t="shared" si="11"/>
        <v>100</v>
      </c>
      <c r="V36" s="774" t="s">
        <v>17</v>
      </c>
      <c r="W36" s="775">
        <f t="shared" si="12"/>
        <v>100</v>
      </c>
      <c r="X36" s="1813"/>
      <c r="Y36" s="3242" t="s">
        <v>2563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42"/>
      <c r="Q37" s="1810">
        <f t="shared" si="8"/>
        <v>111</v>
      </c>
      <c r="R37" s="777" t="s">
        <v>17</v>
      </c>
      <c r="S37" s="778">
        <f t="shared" si="10"/>
        <v>100</v>
      </c>
      <c r="T37" s="777" t="s">
        <v>17</v>
      </c>
      <c r="U37" s="778">
        <f t="shared" si="11"/>
        <v>100</v>
      </c>
      <c r="V37" s="777" t="s">
        <v>17</v>
      </c>
      <c r="W37" s="778">
        <f t="shared" si="12"/>
        <v>100</v>
      </c>
      <c r="X37" s="779"/>
      <c r="Y37" s="3242"/>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42"/>
      <c r="Q38" s="1810" t="str">
        <f>B38</f>
        <v>宗地面积</v>
      </c>
      <c r="R38" s="774" t="s">
        <v>17</v>
      </c>
      <c r="S38" s="775" t="e">
        <f t="shared" si="10"/>
        <v>#N/A</v>
      </c>
      <c r="T38" s="774" t="s">
        <v>17</v>
      </c>
      <c r="U38" s="775" t="e">
        <f t="shared" si="11"/>
        <v>#N/A</v>
      </c>
      <c r="V38" s="774" t="s">
        <v>17</v>
      </c>
      <c r="W38" s="775" t="e">
        <f t="shared" si="12"/>
        <v>#N/A</v>
      </c>
      <c r="X38" s="1813"/>
      <c r="Y38" s="3242"/>
      <c r="Z38" s="1814" t="str">
        <f t="shared" si="13"/>
        <v>宗地面积</v>
      </c>
      <c r="AA38" s="1811" t="e">
        <f t="shared" si="3"/>
        <v>#N/A</v>
      </c>
      <c r="AB38" s="1811" t="e">
        <f t="shared" si="4"/>
        <v>#N/A</v>
      </c>
      <c r="AC38" s="1811"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42"/>
      <c r="Q39" s="1810" t="str">
        <f t="shared" ref="Q39:Q45" si="14">B39</f>
        <v>宗地形状</v>
      </c>
      <c r="R39" s="774" t="s">
        <v>17</v>
      </c>
      <c r="S39" s="775">
        <f t="shared" si="10"/>
        <v>100</v>
      </c>
      <c r="T39" s="774" t="s">
        <v>17</v>
      </c>
      <c r="U39" s="775">
        <f t="shared" si="11"/>
        <v>100</v>
      </c>
      <c r="V39" s="774" t="s">
        <v>17</v>
      </c>
      <c r="W39" s="775">
        <f t="shared" si="12"/>
        <v>100</v>
      </c>
      <c r="X39" s="1813"/>
      <c r="Y39" s="3242"/>
      <c r="Z39" s="1814" t="str">
        <f t="shared" si="13"/>
        <v>宗地形状</v>
      </c>
      <c r="AA39" s="1811">
        <f t="shared" si="3"/>
        <v>1</v>
      </c>
      <c r="AB39" s="1811">
        <f t="shared" si="4"/>
        <v>1</v>
      </c>
      <c r="AC39" s="1811">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42"/>
      <c r="Q40" s="1810" t="str">
        <f t="shared" si="14"/>
        <v>临街宽度及深度</v>
      </c>
      <c r="R40" s="774" t="s">
        <v>17</v>
      </c>
      <c r="S40" s="775">
        <f t="shared" si="10"/>
        <v>100</v>
      </c>
      <c r="T40" s="774" t="s">
        <v>17</v>
      </c>
      <c r="U40" s="775">
        <f t="shared" si="11"/>
        <v>100</v>
      </c>
      <c r="V40" s="774" t="s">
        <v>17</v>
      </c>
      <c r="W40" s="775">
        <f t="shared" si="12"/>
        <v>100</v>
      </c>
      <c r="X40" s="1813"/>
      <c r="Y40" s="3242"/>
      <c r="Z40" s="1814" t="str">
        <f t="shared" si="13"/>
        <v>临街宽度及深度</v>
      </c>
      <c r="AA40" s="1811">
        <f t="shared" si="3"/>
        <v>1</v>
      </c>
      <c r="AB40" s="1811">
        <f t="shared" si="4"/>
        <v>1</v>
      </c>
      <c r="AC40" s="1811">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42"/>
      <c r="Q41" s="1810"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42" t="s">
        <v>2563</v>
      </c>
      <c r="Q42" s="1810" t="str">
        <f t="shared" si="14"/>
        <v>工程地质条件</v>
      </c>
      <c r="R42" s="774" t="s">
        <v>17</v>
      </c>
      <c r="S42" s="775">
        <f t="shared" si="10"/>
        <v>100</v>
      </c>
      <c r="T42" s="774" t="s">
        <v>17</v>
      </c>
      <c r="U42" s="775">
        <f t="shared" si="11"/>
        <v>100</v>
      </c>
      <c r="V42" s="774" t="s">
        <v>17</v>
      </c>
      <c r="W42" s="775">
        <f t="shared" si="12"/>
        <v>100</v>
      </c>
      <c r="X42" s="1813"/>
      <c r="Y42" s="3242" t="s">
        <v>2563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42"/>
      <c r="Q43" s="1810">
        <f t="shared" si="14"/>
        <v>111</v>
      </c>
      <c r="R43" s="774" t="s">
        <v>17</v>
      </c>
      <c r="S43" s="775">
        <f t="shared" si="10"/>
        <v>100</v>
      </c>
      <c r="T43" s="774" t="s">
        <v>17</v>
      </c>
      <c r="U43" s="775">
        <f t="shared" si="11"/>
        <v>100</v>
      </c>
      <c r="V43" s="774" t="s">
        <v>17</v>
      </c>
      <c r="W43" s="775">
        <f t="shared" si="12"/>
        <v>100</v>
      </c>
      <c r="X43" s="1813"/>
      <c r="Y43" s="3242"/>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42"/>
      <c r="Q44" s="1810">
        <f t="shared" si="14"/>
        <v>111</v>
      </c>
      <c r="R44" s="774" t="s">
        <v>17</v>
      </c>
      <c r="S44" s="775">
        <f t="shared" si="10"/>
        <v>100</v>
      </c>
      <c r="T44" s="774" t="s">
        <v>17</v>
      </c>
      <c r="U44" s="775">
        <f t="shared" si="11"/>
        <v>100</v>
      </c>
      <c r="V44" s="774" t="s">
        <v>17</v>
      </c>
      <c r="W44" s="775">
        <f t="shared" si="12"/>
        <v>100</v>
      </c>
      <c r="X44" s="1813"/>
      <c r="Y44" s="3242"/>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42"/>
      <c r="Q45" s="1810">
        <f t="shared" si="14"/>
        <v>111</v>
      </c>
      <c r="R45" s="777" t="s">
        <v>17</v>
      </c>
      <c r="S45" s="778">
        <f t="shared" si="10"/>
        <v>100</v>
      </c>
      <c r="T45" s="777" t="s">
        <v>17</v>
      </c>
      <c r="U45" s="778">
        <f t="shared" si="11"/>
        <v>100</v>
      </c>
      <c r="V45" s="777" t="s">
        <v>17</v>
      </c>
      <c r="W45" s="778">
        <f t="shared" si="12"/>
        <v>100</v>
      </c>
      <c r="X45" s="779"/>
      <c r="Y45" s="3242"/>
      <c r="Z45" s="780">
        <f t="shared" si="13"/>
        <v>111</v>
      </c>
      <c r="AA45" s="1811">
        <f t="shared" si="3"/>
        <v>1</v>
      </c>
      <c r="AB45" s="1811">
        <f t="shared" si="4"/>
        <v>1</v>
      </c>
      <c r="AC45" s="1811">
        <f t="shared" si="5"/>
        <v>1</v>
      </c>
    </row>
    <row r="46" spans="1:29" ht="15">
      <c r="A46" s="479" t="s">
        <v>2718</v>
      </c>
      <c r="B46" s="2707" t="s">
        <v>2754</v>
      </c>
      <c r="C46" s="682" t="s">
        <v>1</v>
      </c>
      <c r="D46" s="481"/>
      <c r="E46" s="482"/>
      <c r="F46" s="483"/>
      <c r="G46" s="484"/>
      <c r="H46" s="485"/>
      <c r="I46" s="482"/>
      <c r="J46" s="485"/>
      <c r="K46" s="783"/>
      <c r="L46" s="1144"/>
      <c r="M46" s="1145"/>
      <c r="N46" s="1132"/>
      <c r="O46" s="1145"/>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4"/>
      <c r="M47" s="1145"/>
      <c r="N47" s="1145"/>
      <c r="O47" s="1145"/>
      <c r="P47" s="3235" t="str">
        <f>A47</f>
        <v>比较价值（元/平方米）</v>
      </c>
      <c r="Q47" s="3235"/>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4"/>
      <c r="M48" s="1145"/>
      <c r="N48" s="1145"/>
      <c r="O48" s="1145"/>
      <c r="P48" s="3232" t="str">
        <f>A48</f>
        <v>估价对象XX用房的比较价值（楼面单价，元/平方米）</v>
      </c>
      <c r="Q48" s="3233"/>
      <c r="R48" s="3248" t="e">
        <f>ROUND(AVERAGE(R47:V47),0)</f>
        <v>#DIV/0!</v>
      </c>
      <c r="S48" s="3248"/>
      <c r="T48" s="3248"/>
      <c r="U48" s="3248"/>
      <c r="V48" s="3248"/>
      <c r="W48" s="3248"/>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8" t="s">
        <v>2758</v>
      </c>
      <c r="D55" s="2709" t="s">
        <v>2759</v>
      </c>
      <c r="E55" s="686" t="s">
        <v>2760</v>
      </c>
      <c r="F55" s="1110" t="s">
        <v>2761</v>
      </c>
      <c r="G55" s="3218" t="s">
        <v>2762</v>
      </c>
      <c r="H55" s="3249"/>
      <c r="I55" s="144" t="s">
        <v>2763</v>
      </c>
      <c r="J55" s="2710">
        <f>项目基本情况!F35</f>
        <v>0</v>
      </c>
      <c r="K55" s="2711" t="s">
        <v>2764</v>
      </c>
      <c r="L55" s="1109"/>
      <c r="M55" s="1145"/>
      <c r="N55" s="1145"/>
      <c r="O55" s="1145"/>
    </row>
    <row r="56" spans="1:15" s="692" customFormat="1">
      <c r="A56" s="688" t="s">
        <v>2765</v>
      </c>
      <c r="B56" s="689" t="e">
        <f>C48</f>
        <v>#DIV/0!</v>
      </c>
      <c r="C56" s="690">
        <v>1</v>
      </c>
      <c r="D56" s="1164">
        <v>1</v>
      </c>
      <c r="E56" s="690">
        <f>'数据-汇总表'!E8+'数据-汇总表'!E9</f>
        <v>14583.99</v>
      </c>
      <c r="F56" s="1106" t="e">
        <f t="shared" ref="F56:F65" si="15">ROUND(B56*E56/10000,0)</f>
        <v>#DIV/0!</v>
      </c>
      <c r="G56" s="3217"/>
      <c r="H56" s="3235"/>
      <c r="I56" s="1111">
        <v>1</v>
      </c>
      <c r="J56" s="1114">
        <v>1</v>
      </c>
      <c r="K56" s="1146"/>
      <c r="L56" s="944"/>
      <c r="M56" s="944"/>
      <c r="N56" s="944"/>
      <c r="O56" s="944"/>
    </row>
    <row r="57" spans="1:15" s="692" customFormat="1">
      <c r="A57" s="693" t="s">
        <v>2766</v>
      </c>
      <c r="B57" s="262" t="e">
        <f>ROUND($C$48*C57*D57,0)</f>
        <v>#DIV/0!</v>
      </c>
      <c r="C57" s="200">
        <f t="shared" ref="C57:C65" si="16">IF($C$55="北京市系数",I57,J57)</f>
        <v>0</v>
      </c>
      <c r="D57" s="1165">
        <v>0.25</v>
      </c>
      <c r="E57" s="694"/>
      <c r="F57" s="1106" t="e">
        <f t="shared" si="15"/>
        <v>#DIV/0!</v>
      </c>
      <c r="G57" s="3250" t="s">
        <v>2767</v>
      </c>
      <c r="H57" s="1107">
        <f>项目基本情况!B37</f>
        <v>0</v>
      </c>
      <c r="I57" s="1111">
        <f>SUMIF(修正!A45:A56,H57,修正!B45:B56)</f>
        <v>0</v>
      </c>
      <c r="J57" s="1115"/>
      <c r="K57" s="1145"/>
      <c r="L57" s="944"/>
      <c r="M57" s="944"/>
      <c r="N57" s="944"/>
      <c r="O57" s="944"/>
    </row>
    <row r="58" spans="1:15" s="692" customFormat="1">
      <c r="A58" s="693" t="s">
        <v>2768</v>
      </c>
      <c r="B58" s="262" t="e">
        <f t="shared" ref="B58:B65" si="17">ROUND($C$48*C58*D58,0)</f>
        <v>#DIV/0!</v>
      </c>
      <c r="C58" s="200">
        <f t="shared" si="16"/>
        <v>0</v>
      </c>
      <c r="D58" s="1165">
        <v>0.25</v>
      </c>
      <c r="E58" s="694"/>
      <c r="F58" s="1106" t="e">
        <f t="shared" si="15"/>
        <v>#DIV/0!</v>
      </c>
      <c r="G58" s="3250"/>
      <c r="H58" s="1107">
        <f>项目基本情况!B37</f>
        <v>0</v>
      </c>
      <c r="I58" s="1111">
        <f>SUMIF(修正!A45:A56,H58,修正!C45:C56)</f>
        <v>0</v>
      </c>
      <c r="J58" s="1115"/>
      <c r="K58" s="1146"/>
      <c r="L58" s="944"/>
      <c r="M58" s="944"/>
      <c r="N58" s="944"/>
      <c r="O58" s="944"/>
    </row>
    <row r="59" spans="1:15" s="692" customFormat="1">
      <c r="A59" s="693" t="s">
        <v>2769</v>
      </c>
      <c r="B59" s="262" t="e">
        <f t="shared" si="17"/>
        <v>#DIV/0!</v>
      </c>
      <c r="C59" s="200">
        <f t="shared" si="16"/>
        <v>0</v>
      </c>
      <c r="D59" s="1165">
        <v>0.25</v>
      </c>
      <c r="E59" s="694"/>
      <c r="F59" s="1106" t="e">
        <f t="shared" si="15"/>
        <v>#DIV/0!</v>
      </c>
      <c r="G59" s="3250"/>
      <c r="H59" s="1107">
        <f>项目基本情况!B37</f>
        <v>0</v>
      </c>
      <c r="I59" s="1111">
        <f>SUMIF(修正!A45:A56,H59,修正!D45:D56)</f>
        <v>0</v>
      </c>
      <c r="J59" s="1115"/>
      <c r="K59" s="1145"/>
      <c r="L59" s="944"/>
      <c r="M59" s="944"/>
      <c r="N59" s="944"/>
      <c r="O59" s="944"/>
    </row>
    <row r="60" spans="1:15" s="692" customFormat="1">
      <c r="A60" s="693" t="s">
        <v>2770</v>
      </c>
      <c r="B60" s="262" t="e">
        <f t="shared" si="17"/>
        <v>#DIV/0!</v>
      </c>
      <c r="C60" s="200">
        <f t="shared" si="16"/>
        <v>0</v>
      </c>
      <c r="D60" s="1165">
        <v>0.25</v>
      </c>
      <c r="E60" s="694"/>
      <c r="F60" s="1106" t="e">
        <f t="shared" si="15"/>
        <v>#DIV/0!</v>
      </c>
      <c r="G60" s="3250"/>
      <c r="H60" s="1107">
        <f>项目基本情况!B37</f>
        <v>0</v>
      </c>
      <c r="I60" s="1111">
        <f>SUMIF(修正!A45:A56,H60,修正!E45:E56)</f>
        <v>0</v>
      </c>
      <c r="J60" s="1115"/>
      <c r="K60" s="1146"/>
      <c r="L60" s="944"/>
      <c r="M60" s="944"/>
      <c r="N60" s="944"/>
      <c r="O60" s="944"/>
    </row>
    <row r="61" spans="1:15" s="692" customFormat="1">
      <c r="A61" s="693" t="s">
        <v>2771</v>
      </c>
      <c r="B61" s="262" t="e">
        <f t="shared" si="17"/>
        <v>#DIV/0!</v>
      </c>
      <c r="C61" s="200">
        <f t="shared" si="16"/>
        <v>0</v>
      </c>
      <c r="D61" s="1165">
        <v>0.25</v>
      </c>
      <c r="E61" s="261">
        <f>'数据-汇总表'!E11</f>
        <v>0</v>
      </c>
      <c r="F61" s="1106" t="e">
        <f t="shared" si="15"/>
        <v>#DIV/0!</v>
      </c>
      <c r="G61" s="2712" t="s">
        <v>2772</v>
      </c>
      <c r="H61" s="1107">
        <f>项目基本情况!C37</f>
        <v>0</v>
      </c>
      <c r="I61" s="1111">
        <f>SUMIF(修正!A45:A56,H61,修正!F45:F56)</f>
        <v>0</v>
      </c>
      <c r="J61" s="1115"/>
      <c r="K61" s="1145"/>
      <c r="L61" s="944"/>
      <c r="M61" s="944"/>
      <c r="N61" s="944"/>
      <c r="O61" s="944"/>
    </row>
    <row r="62" spans="1:15" s="692" customFormat="1">
      <c r="A62" s="693" t="s">
        <v>2773</v>
      </c>
      <c r="B62" s="262" t="e">
        <f t="shared" si="17"/>
        <v>#DIV/0!</v>
      </c>
      <c r="C62" s="200">
        <f t="shared" si="16"/>
        <v>0</v>
      </c>
      <c r="D62" s="1165">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2775</v>
      </c>
      <c r="B63" s="262" t="e">
        <f t="shared" si="17"/>
        <v>#DIV/0!</v>
      </c>
      <c r="C63" s="200">
        <f t="shared" si="16"/>
        <v>0</v>
      </c>
      <c r="D63" s="1165">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2777</v>
      </c>
      <c r="B64" s="262" t="e">
        <f t="shared" si="17"/>
        <v>#DIV/0!</v>
      </c>
      <c r="C64" s="200">
        <f t="shared" si="16"/>
        <v>0</v>
      </c>
      <c r="D64" s="1165">
        <v>0.25</v>
      </c>
      <c r="E64" s="261">
        <f>'数据-汇总表'!E14</f>
        <v>0</v>
      </c>
      <c r="F64" s="1106" t="e">
        <f t="shared" si="15"/>
        <v>#DIV/0!</v>
      </c>
      <c r="G64" s="2712" t="s">
        <v>2767</v>
      </c>
      <c r="H64" s="1107">
        <f>项目基本情况!B37</f>
        <v>0</v>
      </c>
      <c r="I64" s="1111">
        <f>SUMIF(修正!A45:A56,H64,修正!H45:H56)</f>
        <v>0</v>
      </c>
      <c r="J64" s="1115"/>
      <c r="K64" s="1146"/>
      <c r="L64" s="944"/>
      <c r="M64" s="944"/>
      <c r="N64" s="944"/>
      <c r="O64" s="944"/>
    </row>
    <row r="65" spans="1:17" s="692" customFormat="1" ht="15" thickBot="1">
      <c r="A65" s="693" t="s">
        <v>2778</v>
      </c>
      <c r="B65" s="262" t="e">
        <f t="shared" si="17"/>
        <v>#DIV/0!</v>
      </c>
      <c r="C65" s="200">
        <f t="shared" si="16"/>
        <v>0</v>
      </c>
      <c r="D65" s="1165">
        <v>0.25</v>
      </c>
      <c r="E65" s="261">
        <f>'数据-汇总表'!E15</f>
        <v>0</v>
      </c>
      <c r="F65" s="1106" t="e">
        <f t="shared" si="15"/>
        <v>#DIV/0!</v>
      </c>
      <c r="G65" s="2713" t="s">
        <v>2772</v>
      </c>
      <c r="H65" s="1117">
        <f>项目基本情况!C37</f>
        <v>0</v>
      </c>
      <c r="I65" s="1113">
        <f>SUMIF(修正!A45:A56,H65,修正!H45:H56)</f>
        <v>0</v>
      </c>
      <c r="J65" s="1116"/>
      <c r="K65" s="1145"/>
      <c r="L65" s="944"/>
      <c r="M65" s="944"/>
      <c r="N65" s="944"/>
      <c r="O65" s="944"/>
    </row>
    <row r="66" spans="1:17" s="692" customFormat="1" ht="13.5" thickBot="1">
      <c r="A66" s="695" t="s">
        <v>2779</v>
      </c>
      <c r="B66" s="696" t="s">
        <v>28</v>
      </c>
      <c r="C66" s="696" t="s">
        <v>29</v>
      </c>
      <c r="D66" s="696" t="s">
        <v>1026</v>
      </c>
      <c r="E66" s="696">
        <f>IF(B46="楼面地价",SUM(E56:E65),'数据-汇总表'!D3)</f>
        <v>14583.99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2672</v>
      </c>
      <c r="B69" s="759"/>
      <c r="C69" s="764"/>
      <c r="D69" s="764"/>
      <c r="E69" s="764"/>
      <c r="F69" s="765"/>
      <c r="G69" s="765"/>
      <c r="H69" s="764"/>
      <c r="I69" s="764"/>
      <c r="J69" s="1160"/>
      <c r="K69" s="1161"/>
      <c r="L69" s="1162"/>
      <c r="M69" s="1160"/>
      <c r="N69" s="1160"/>
      <c r="O69" s="1160"/>
      <c r="P69" s="503"/>
      <c r="Q69" s="504"/>
    </row>
    <row r="70" spans="1:17" s="508" customFormat="1" ht="15">
      <c r="A70" s="2714"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2781</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22" t="s">
        <v>2649</v>
      </c>
      <c r="Q4" s="3223"/>
      <c r="R4" s="3205" t="s">
        <v>2645</v>
      </c>
      <c r="S4" s="3206"/>
      <c r="T4" s="3205" t="s">
        <v>2646</v>
      </c>
      <c r="U4" s="3206"/>
      <c r="V4" s="3230" t="s">
        <v>2647</v>
      </c>
      <c r="W4" s="3230"/>
      <c r="X4" s="1813"/>
      <c r="Y4" s="3205" t="s">
        <v>2649</v>
      </c>
      <c r="Z4" s="3206"/>
      <c r="AA4" s="3200" t="s">
        <v>2645</v>
      </c>
      <c r="AB4" s="3201" t="s">
        <v>2646</v>
      </c>
      <c r="AC4" s="3200" t="s">
        <v>2647</v>
      </c>
    </row>
    <row r="5" spans="1:29" ht="15">
      <c r="A5" s="404"/>
      <c r="B5" s="405"/>
      <c r="C5" s="3211" t="s">
        <v>2540</v>
      </c>
      <c r="D5" s="3212"/>
      <c r="E5" s="3209" t="s">
        <v>2541</v>
      </c>
      <c r="F5" s="3210"/>
      <c r="G5" s="3211" t="s">
        <v>2542</v>
      </c>
      <c r="H5" s="3212"/>
      <c r="I5" s="3211" t="s">
        <v>2543</v>
      </c>
      <c r="J5" s="3212"/>
      <c r="K5" s="610"/>
      <c r="L5" s="1131"/>
      <c r="M5" s="1132"/>
      <c r="N5" s="1132"/>
      <c r="O5" s="1132"/>
      <c r="P5" s="3224"/>
      <c r="Q5" s="3225"/>
      <c r="R5" s="3207"/>
      <c r="S5" s="3208"/>
      <c r="T5" s="3207"/>
      <c r="U5" s="3208"/>
      <c r="V5" s="3230"/>
      <c r="W5" s="3230"/>
      <c r="X5" s="1813"/>
      <c r="Y5" s="3207"/>
      <c r="Z5" s="3208"/>
      <c r="AA5" s="3201"/>
      <c r="AB5" s="3201"/>
      <c r="AC5" s="3201"/>
    </row>
    <row r="6" spans="1:29" ht="15.75" thickBot="1">
      <c r="A6" s="406"/>
      <c r="B6" s="407"/>
      <c r="C6" s="3251" t="s">
        <v>2795</v>
      </c>
      <c r="D6" s="3252"/>
      <c r="E6" s="3253" t="s">
        <v>2795</v>
      </c>
      <c r="F6" s="3254"/>
      <c r="G6" s="3251" t="s">
        <v>2795</v>
      </c>
      <c r="H6" s="3252"/>
      <c r="I6" s="3251" t="s">
        <v>2795</v>
      </c>
      <c r="J6" s="3252"/>
      <c r="K6" s="610" t="s">
        <v>2545</v>
      </c>
      <c r="L6" s="1131"/>
      <c r="M6" s="1132"/>
      <c r="N6" s="1132"/>
      <c r="O6" s="1132"/>
      <c r="P6" s="3226"/>
      <c r="Q6" s="3227"/>
      <c r="R6" s="3207"/>
      <c r="S6" s="3208"/>
      <c r="T6" s="3228"/>
      <c r="U6" s="3229"/>
      <c r="V6" s="3230"/>
      <c r="W6" s="3230"/>
      <c r="X6" s="1813"/>
      <c r="Y6" s="3228"/>
      <c r="Z6" s="3229"/>
      <c r="AA6" s="3202"/>
      <c r="AB6" s="3202"/>
      <c r="AC6" s="3202"/>
    </row>
    <row r="7" spans="1:29" s="117" customFormat="1" ht="15.75" thickBot="1">
      <c r="A7" s="408" t="s">
        <v>2546</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03" t="s">
        <v>2547</v>
      </c>
      <c r="Q7" s="3231"/>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3" t="s">
        <v>2550</v>
      </c>
      <c r="Q8" s="3204"/>
      <c r="R8" s="770" t="s">
        <v>17</v>
      </c>
      <c r="S8" s="771">
        <f t="shared" si="0"/>
        <v>0</v>
      </c>
      <c r="T8" s="770" t="s">
        <v>17</v>
      </c>
      <c r="U8" s="771">
        <f t="shared" si="1"/>
        <v>0</v>
      </c>
      <c r="V8" s="770" t="s">
        <v>17</v>
      </c>
      <c r="W8" s="771">
        <f t="shared" si="2"/>
        <v>0</v>
      </c>
      <c r="X8" s="772"/>
      <c r="Y8" s="3203" t="s">
        <v>2550</v>
      </c>
      <c r="Z8" s="3204"/>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35"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235"/>
      <c r="Q10" s="1795" t="str">
        <f t="shared" si="6"/>
        <v>土地使用年限（年）</v>
      </c>
      <c r="R10" s="770" t="s">
        <v>17</v>
      </c>
      <c r="S10" s="771">
        <f t="shared" si="0"/>
        <v>109</v>
      </c>
      <c r="T10" s="770" t="s">
        <v>17</v>
      </c>
      <c r="U10" s="771">
        <f t="shared" si="1"/>
        <v>109</v>
      </c>
      <c r="V10" s="770" t="s">
        <v>17</v>
      </c>
      <c r="W10" s="771">
        <f t="shared" si="2"/>
        <v>109</v>
      </c>
      <c r="X10" s="772"/>
      <c r="Y10" s="3050"/>
      <c r="Z10" s="55" t="str">
        <f t="shared" si="7"/>
        <v>土地使用年限（年）</v>
      </c>
      <c r="AA10" s="773">
        <f t="shared" si="3"/>
        <v>0.91743119266055051</v>
      </c>
      <c r="AB10" s="773">
        <f t="shared" si="4"/>
        <v>0.91743119266055051</v>
      </c>
      <c r="AC10" s="773">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35"/>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35"/>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35"/>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35"/>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7" t="s">
        <v>2558</v>
      </c>
      <c r="Q15" s="1810" t="str">
        <f t="shared" si="6"/>
        <v>产业集聚程度</v>
      </c>
      <c r="R15" s="774" t="s">
        <v>17</v>
      </c>
      <c r="S15" s="775">
        <f t="shared" si="0"/>
        <v>100</v>
      </c>
      <c r="T15" s="774" t="s">
        <v>17</v>
      </c>
      <c r="U15" s="775">
        <f t="shared" si="1"/>
        <v>100</v>
      </c>
      <c r="V15" s="774" t="s">
        <v>17</v>
      </c>
      <c r="W15" s="775">
        <f t="shared" si="2"/>
        <v>100</v>
      </c>
      <c r="X15" s="1813"/>
      <c r="Y15" s="3237" t="s">
        <v>2558</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238"/>
      <c r="Q16" s="1810"/>
      <c r="R16" s="774"/>
      <c r="S16" s="775"/>
      <c r="T16" s="774"/>
      <c r="U16" s="775"/>
      <c r="V16" s="774"/>
      <c r="W16" s="775"/>
      <c r="X16" s="1813"/>
      <c r="Y16" s="3238"/>
      <c r="Z16" s="1814"/>
      <c r="AA16" s="1811">
        <v>1</v>
      </c>
      <c r="AB16" s="1811">
        <v>1</v>
      </c>
      <c r="AC16" s="1811">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238"/>
      <c r="Q18" s="1810"/>
      <c r="R18" s="774"/>
      <c r="S18" s="775"/>
      <c r="T18" s="774"/>
      <c r="U18" s="775"/>
      <c r="V18" s="774"/>
      <c r="W18" s="775"/>
      <c r="X18" s="1813"/>
      <c r="Y18" s="3238"/>
      <c r="Z18" s="1814"/>
      <c r="AA18" s="1811">
        <v>1</v>
      </c>
      <c r="AB18" s="1811">
        <v>1</v>
      </c>
      <c r="AC18" s="1811">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8"/>
      <c r="Q19" s="1810" t="str">
        <f t="shared" ref="Q19:Q33" si="8">B19</f>
        <v>区域土地利用方向</v>
      </c>
      <c r="R19" s="774" t="s">
        <v>17</v>
      </c>
      <c r="S19" s="775">
        <f>F19</f>
        <v>100</v>
      </c>
      <c r="T19" s="774" t="s">
        <v>17</v>
      </c>
      <c r="U19" s="775">
        <f>H19</f>
        <v>100</v>
      </c>
      <c r="V19" s="774" t="s">
        <v>17</v>
      </c>
      <c r="W19" s="775">
        <f>J19</f>
        <v>100</v>
      </c>
      <c r="X19" s="1813"/>
      <c r="Y19" s="3238"/>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238"/>
      <c r="Q20" s="1810"/>
      <c r="R20" s="774"/>
      <c r="S20" s="775"/>
      <c r="T20" s="774"/>
      <c r="U20" s="775"/>
      <c r="V20" s="774"/>
      <c r="W20" s="775"/>
      <c r="X20" s="1813"/>
      <c r="Y20" s="3238"/>
      <c r="Z20" s="1814"/>
      <c r="AA20" s="1811"/>
      <c r="AB20" s="1811"/>
      <c r="AC20" s="1811"/>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8"/>
      <c r="Q21" s="1810" t="str">
        <f t="shared" si="8"/>
        <v>环境状况</v>
      </c>
      <c r="R21" s="774" t="s">
        <v>17</v>
      </c>
      <c r="S21" s="775">
        <f>F21</f>
        <v>100</v>
      </c>
      <c r="T21" s="774" t="s">
        <v>17</v>
      </c>
      <c r="U21" s="775">
        <f>H21</f>
        <v>100</v>
      </c>
      <c r="V21" s="774" t="s">
        <v>17</v>
      </c>
      <c r="W21" s="775">
        <f>J21</f>
        <v>100</v>
      </c>
      <c r="X21" s="1813"/>
      <c r="Y21" s="3238"/>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238"/>
      <c r="Q22" s="1810"/>
      <c r="R22" s="774"/>
      <c r="S22" s="775"/>
      <c r="T22" s="774"/>
      <c r="U22" s="775"/>
      <c r="V22" s="774"/>
      <c r="W22" s="775"/>
      <c r="X22" s="1813"/>
      <c r="Y22" s="3238"/>
      <c r="Z22" s="1814"/>
      <c r="AA22" s="1811">
        <v>1</v>
      </c>
      <c r="AB22" s="1811">
        <v>1</v>
      </c>
      <c r="AC22" s="1811">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8"/>
      <c r="Q23" s="1795" t="str">
        <f t="shared" si="8"/>
        <v>公共配套设施</v>
      </c>
      <c r="R23" s="770" t="s">
        <v>17</v>
      </c>
      <c r="S23" s="771">
        <f>F23</f>
        <v>100</v>
      </c>
      <c r="T23" s="770" t="s">
        <v>17</v>
      </c>
      <c r="U23" s="771">
        <f>H23</f>
        <v>100</v>
      </c>
      <c r="V23" s="770" t="s">
        <v>17</v>
      </c>
      <c r="W23" s="771">
        <f>J23</f>
        <v>100</v>
      </c>
      <c r="X23" s="772"/>
      <c r="Y23" s="3238"/>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238"/>
      <c r="Q24" s="1795"/>
      <c r="R24" s="770"/>
      <c r="S24" s="771"/>
      <c r="T24" s="770"/>
      <c r="U24" s="771"/>
      <c r="V24" s="770"/>
      <c r="W24" s="771"/>
      <c r="X24" s="772"/>
      <c r="Y24" s="3238"/>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8"/>
      <c r="Q25" s="1795"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238"/>
      <c r="Q26" s="1795"/>
      <c r="R26" s="770"/>
      <c r="S26" s="771"/>
      <c r="T26" s="770"/>
      <c r="U26" s="771"/>
      <c r="V26" s="770"/>
      <c r="W26" s="771"/>
      <c r="X26" s="772"/>
      <c r="Y26" s="323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8"/>
      <c r="Z27" s="1814" t="str">
        <f t="shared" ref="Z27:Z40" si="13">Q27</f>
        <v>临街状况</v>
      </c>
      <c r="AA27" s="1811">
        <f t="shared" si="3"/>
        <v>1</v>
      </c>
      <c r="AB27" s="1811">
        <f t="shared" si="4"/>
        <v>1</v>
      </c>
      <c r="AC27" s="1811">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8"/>
      <c r="Q28" s="1810" t="str">
        <f t="shared" si="8"/>
        <v>毗邻道路的类型与等级</v>
      </c>
      <c r="R28" s="774" t="s">
        <v>17</v>
      </c>
      <c r="S28" s="775">
        <f t="shared" si="10"/>
        <v>100</v>
      </c>
      <c r="T28" s="774" t="s">
        <v>17</v>
      </c>
      <c r="U28" s="775">
        <f t="shared" si="11"/>
        <v>100</v>
      </c>
      <c r="V28" s="774" t="s">
        <v>17</v>
      </c>
      <c r="W28" s="775">
        <f t="shared" si="12"/>
        <v>100</v>
      </c>
      <c r="X28" s="1813"/>
      <c r="Y28" s="3238"/>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238"/>
      <c r="Q29" s="1810"/>
      <c r="R29" s="774"/>
      <c r="S29" s="775"/>
      <c r="T29" s="774"/>
      <c r="U29" s="775"/>
      <c r="V29" s="774"/>
      <c r="W29" s="775"/>
      <c r="X29" s="1813"/>
      <c r="Y29" s="3238"/>
      <c r="Z29" s="1814"/>
      <c r="AA29" s="1811">
        <v>1</v>
      </c>
      <c r="AB29" s="1811">
        <v>1</v>
      </c>
      <c r="AC29" s="1811">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8"/>
      <c r="Q30" s="1810" t="str">
        <f t="shared" si="8"/>
        <v>土地级别</v>
      </c>
      <c r="R30" s="774" t="s">
        <v>17</v>
      </c>
      <c r="S30" s="775">
        <f t="shared" si="10"/>
        <v>100</v>
      </c>
      <c r="T30" s="774" t="s">
        <v>17</v>
      </c>
      <c r="U30" s="775">
        <f t="shared" si="11"/>
        <v>100</v>
      </c>
      <c r="V30" s="774" t="s">
        <v>17</v>
      </c>
      <c r="W30" s="775">
        <f t="shared" si="12"/>
        <v>100</v>
      </c>
      <c r="X30" s="1813"/>
      <c r="Y30" s="3238"/>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8"/>
      <c r="Q31" s="1810">
        <f t="shared" si="8"/>
        <v>111</v>
      </c>
      <c r="R31" s="774" t="s">
        <v>17</v>
      </c>
      <c r="S31" s="775">
        <f t="shared" si="10"/>
        <v>100</v>
      </c>
      <c r="T31" s="774" t="s">
        <v>17</v>
      </c>
      <c r="U31" s="775">
        <f t="shared" si="11"/>
        <v>100</v>
      </c>
      <c r="V31" s="774" t="s">
        <v>17</v>
      </c>
      <c r="W31" s="775">
        <f t="shared" si="12"/>
        <v>100</v>
      </c>
      <c r="X31" s="1813"/>
      <c r="Y31" s="3238"/>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46" t="s">
        <v>2563</v>
      </c>
      <c r="Q32" s="1810">
        <f t="shared" si="8"/>
        <v>111</v>
      </c>
      <c r="R32" s="774" t="s">
        <v>17</v>
      </c>
      <c r="S32" s="775">
        <f t="shared" si="10"/>
        <v>100</v>
      </c>
      <c r="T32" s="774" t="s">
        <v>17</v>
      </c>
      <c r="U32" s="775">
        <f t="shared" si="11"/>
        <v>100</v>
      </c>
      <c r="V32" s="774" t="s">
        <v>17</v>
      </c>
      <c r="W32" s="775">
        <f t="shared" si="12"/>
        <v>100</v>
      </c>
      <c r="X32" s="1813"/>
      <c r="Y32" s="3242" t="s">
        <v>2563</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42"/>
      <c r="Q33" s="1810">
        <f t="shared" si="8"/>
        <v>111</v>
      </c>
      <c r="R33" s="777" t="s">
        <v>17</v>
      </c>
      <c r="S33" s="778">
        <f t="shared" si="10"/>
        <v>100</v>
      </c>
      <c r="T33" s="777" t="s">
        <v>17</v>
      </c>
      <c r="U33" s="778">
        <f t="shared" si="11"/>
        <v>100</v>
      </c>
      <c r="V33" s="777" t="s">
        <v>17</v>
      </c>
      <c r="W33" s="778">
        <f t="shared" si="12"/>
        <v>100</v>
      </c>
      <c r="X33" s="779"/>
      <c r="Y33" s="3242"/>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42"/>
      <c r="Q34" s="1810" t="str">
        <f>B34</f>
        <v>宗地面积</v>
      </c>
      <c r="R34" s="774" t="s">
        <v>17</v>
      </c>
      <c r="S34" s="775" t="e">
        <f t="shared" si="10"/>
        <v>#N/A</v>
      </c>
      <c r="T34" s="774" t="s">
        <v>17</v>
      </c>
      <c r="U34" s="775" t="e">
        <f t="shared" si="11"/>
        <v>#N/A</v>
      </c>
      <c r="V34" s="774" t="s">
        <v>17</v>
      </c>
      <c r="W34" s="775" t="e">
        <f t="shared" si="12"/>
        <v>#N/A</v>
      </c>
      <c r="X34" s="1813"/>
      <c r="Y34" s="3242"/>
      <c r="Z34" s="1814" t="str">
        <f t="shared" si="13"/>
        <v>宗地面积</v>
      </c>
      <c r="AA34" s="1811" t="e">
        <f t="shared" si="3"/>
        <v>#N/A</v>
      </c>
      <c r="AB34" s="1811" t="e">
        <f t="shared" si="4"/>
        <v>#N/A</v>
      </c>
      <c r="AC34" s="1811"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42"/>
      <c r="Q35" s="1810" t="str">
        <f t="shared" ref="Q35:Q40" si="14">B35</f>
        <v>宗地形状</v>
      </c>
      <c r="R35" s="774" t="s">
        <v>17</v>
      </c>
      <c r="S35" s="775">
        <f t="shared" si="10"/>
        <v>100</v>
      </c>
      <c r="T35" s="774" t="s">
        <v>17</v>
      </c>
      <c r="U35" s="775">
        <f t="shared" si="11"/>
        <v>100</v>
      </c>
      <c r="V35" s="774" t="s">
        <v>17</v>
      </c>
      <c r="W35" s="775">
        <f t="shared" si="12"/>
        <v>100</v>
      </c>
      <c r="X35" s="1813"/>
      <c r="Y35" s="3242"/>
      <c r="Z35" s="1814" t="str">
        <f t="shared" si="13"/>
        <v>宗地形状</v>
      </c>
      <c r="AA35" s="1811">
        <f t="shared" si="3"/>
        <v>1</v>
      </c>
      <c r="AB35" s="1811">
        <f t="shared" si="4"/>
        <v>1</v>
      </c>
      <c r="AC35" s="1811">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42"/>
      <c r="Q36" s="1810"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42" t="s">
        <v>2563</v>
      </c>
      <c r="Q37" s="1810" t="str">
        <f t="shared" si="14"/>
        <v>工程地质条件</v>
      </c>
      <c r="R37" s="774" t="s">
        <v>17</v>
      </c>
      <c r="S37" s="775">
        <f t="shared" si="10"/>
        <v>100</v>
      </c>
      <c r="T37" s="774" t="s">
        <v>17</v>
      </c>
      <c r="U37" s="775">
        <f t="shared" si="11"/>
        <v>100</v>
      </c>
      <c r="V37" s="774" t="s">
        <v>17</v>
      </c>
      <c r="W37" s="775">
        <f t="shared" si="12"/>
        <v>100</v>
      </c>
      <c r="X37" s="1813"/>
      <c r="Y37" s="3242" t="s">
        <v>2563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42"/>
      <c r="Q38" s="1810">
        <f t="shared" si="14"/>
        <v>111</v>
      </c>
      <c r="R38" s="774" t="s">
        <v>17</v>
      </c>
      <c r="S38" s="775">
        <f t="shared" si="10"/>
        <v>100</v>
      </c>
      <c r="T38" s="774" t="s">
        <v>17</v>
      </c>
      <c r="U38" s="775">
        <f t="shared" si="11"/>
        <v>100</v>
      </c>
      <c r="V38" s="774" t="s">
        <v>17</v>
      </c>
      <c r="W38" s="775">
        <f t="shared" si="12"/>
        <v>100</v>
      </c>
      <c r="X38" s="1813"/>
      <c r="Y38" s="3242"/>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42"/>
      <c r="Q39" s="1810">
        <f t="shared" si="14"/>
        <v>111</v>
      </c>
      <c r="R39" s="774" t="s">
        <v>17</v>
      </c>
      <c r="S39" s="775">
        <f t="shared" si="10"/>
        <v>100</v>
      </c>
      <c r="T39" s="774" t="s">
        <v>17</v>
      </c>
      <c r="U39" s="775">
        <f t="shared" si="11"/>
        <v>100</v>
      </c>
      <c r="V39" s="774" t="s">
        <v>17</v>
      </c>
      <c r="W39" s="775">
        <f t="shared" si="12"/>
        <v>100</v>
      </c>
      <c r="X39" s="1813"/>
      <c r="Y39" s="3242"/>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42"/>
      <c r="Q40" s="1810">
        <f t="shared" si="14"/>
        <v>111</v>
      </c>
      <c r="R40" s="777" t="s">
        <v>17</v>
      </c>
      <c r="S40" s="778">
        <f t="shared" si="10"/>
        <v>100</v>
      </c>
      <c r="T40" s="777" t="s">
        <v>17</v>
      </c>
      <c r="U40" s="778">
        <f t="shared" si="11"/>
        <v>100</v>
      </c>
      <c r="V40" s="777" t="s">
        <v>17</v>
      </c>
      <c r="W40" s="778">
        <f t="shared" si="12"/>
        <v>100</v>
      </c>
      <c r="X40" s="779"/>
      <c r="Y40" s="3242"/>
      <c r="Z40" s="780">
        <f t="shared" si="13"/>
        <v>111</v>
      </c>
      <c r="AA40" s="1811">
        <f t="shared" si="3"/>
        <v>1</v>
      </c>
      <c r="AB40" s="1811">
        <f t="shared" si="4"/>
        <v>1</v>
      </c>
      <c r="AC40" s="1811">
        <f t="shared" si="5"/>
        <v>1</v>
      </c>
    </row>
    <row r="41" spans="1:29" ht="15">
      <c r="A41" s="479" t="s">
        <v>2718</v>
      </c>
      <c r="B41" s="2707" t="s">
        <v>2798</v>
      </c>
      <c r="C41" s="682" t="s">
        <v>1</v>
      </c>
      <c r="D41" s="481"/>
      <c r="E41" s="482"/>
      <c r="F41" s="483"/>
      <c r="G41" s="484"/>
      <c r="H41" s="485"/>
      <c r="I41" s="482"/>
      <c r="J41" s="485"/>
      <c r="K41" s="783"/>
      <c r="L41" s="1144"/>
      <c r="M41" s="1132"/>
      <c r="N41" s="1132"/>
      <c r="O41" s="1145"/>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235" t="str">
        <f>A42</f>
        <v>比较价值（元/平方米）</v>
      </c>
      <c r="Q42" s="3235"/>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4"/>
      <c r="M43" s="1132"/>
      <c r="N43" s="1132"/>
      <c r="O43" s="1145"/>
      <c r="P43" s="3232" t="str">
        <f>A43</f>
        <v>估价对象XX用房的比较价值（楼面单价，元/平方米）</v>
      </c>
      <c r="Q43" s="3233"/>
      <c r="R43" s="3248" t="e">
        <f>ROUND(AVERAGE(R42:V42),0)</f>
        <v>#DIV/0!</v>
      </c>
      <c r="S43" s="3248"/>
      <c r="T43" s="3248"/>
      <c r="U43" s="3248"/>
      <c r="V43" s="3248"/>
      <c r="W43" s="3248"/>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2756</v>
      </c>
      <c r="B50" s="685" t="s">
        <v>2757</v>
      </c>
      <c r="C50" s="2708" t="s">
        <v>2758</v>
      </c>
      <c r="D50" s="2709" t="s">
        <v>2759</v>
      </c>
      <c r="E50" s="686" t="s">
        <v>2760</v>
      </c>
      <c r="F50" s="687" t="s">
        <v>2761</v>
      </c>
      <c r="G50" s="3218" t="s">
        <v>2762</v>
      </c>
      <c r="H50" s="3249"/>
      <c r="I50" s="1814" t="s">
        <v>2799</v>
      </c>
      <c r="J50" s="1814">
        <f>项目基本情况!F35</f>
        <v>0</v>
      </c>
      <c r="K50" s="2711" t="s">
        <v>2764</v>
      </c>
      <c r="L50" s="1109"/>
      <c r="M50" s="1145"/>
      <c r="N50" s="1145"/>
      <c r="O50" s="1145"/>
    </row>
    <row r="51" spans="1:17" s="692" customFormat="1">
      <c r="A51" s="688" t="s">
        <v>2765</v>
      </c>
      <c r="B51" s="689" t="e">
        <f>C43</f>
        <v>#DIV/0!</v>
      </c>
      <c r="C51" s="690">
        <v>1</v>
      </c>
      <c r="D51" s="1164">
        <v>1</v>
      </c>
      <c r="E51" s="690">
        <f>'数据-汇总表'!E8+'数据-汇总表'!E9</f>
        <v>14583.99</v>
      </c>
      <c r="F51" s="691" t="e">
        <f t="shared" ref="F51:F60" si="15">ROUND(B51*E51/10000,0)</f>
        <v>#DIV/0!</v>
      </c>
      <c r="G51" s="3217"/>
      <c r="H51" s="3235"/>
      <c r="I51" s="945">
        <v>1</v>
      </c>
      <c r="J51" s="945">
        <v>1</v>
      </c>
      <c r="K51" s="1146"/>
      <c r="L51" s="944"/>
      <c r="M51" s="944"/>
      <c r="N51" s="944"/>
      <c r="O51" s="944"/>
    </row>
    <row r="52" spans="1:17" s="692" customFormat="1">
      <c r="A52" s="693" t="s">
        <v>2766</v>
      </c>
      <c r="B52" s="262" t="e">
        <f>ROUND($C$43*C52*D52,0)</f>
        <v>#DIV/0!</v>
      </c>
      <c r="C52" s="200">
        <f t="shared" ref="C52:C60" si="16">IF($C$50="北京市系数",I52,J52)</f>
        <v>0</v>
      </c>
      <c r="D52" s="1165">
        <v>0.25</v>
      </c>
      <c r="E52" s="694"/>
      <c r="F52" s="691" t="e">
        <f t="shared" si="15"/>
        <v>#DIV/0!</v>
      </c>
      <c r="G52" s="3250" t="s">
        <v>2767</v>
      </c>
      <c r="H52" s="1107">
        <f>项目基本情况!B37</f>
        <v>0</v>
      </c>
      <c r="I52" s="945">
        <f>SUMIF(修正!A45:A56,H52,修正!B45:B56)</f>
        <v>0</v>
      </c>
      <c r="J52" s="946"/>
      <c r="K52" s="1145"/>
      <c r="L52" s="944"/>
      <c r="M52" s="944"/>
      <c r="N52" s="944"/>
      <c r="O52" s="944"/>
    </row>
    <row r="53" spans="1:17" s="692" customFormat="1">
      <c r="A53" s="693" t="s">
        <v>2768</v>
      </c>
      <c r="B53" s="262" t="e">
        <f t="shared" ref="B53:B60" si="17">ROUND($C$43*C53*D53,0)</f>
        <v>#DIV/0!</v>
      </c>
      <c r="C53" s="200">
        <f t="shared" si="16"/>
        <v>0</v>
      </c>
      <c r="D53" s="1165">
        <v>0.25</v>
      </c>
      <c r="E53" s="694"/>
      <c r="F53" s="691" t="e">
        <f t="shared" si="15"/>
        <v>#DIV/0!</v>
      </c>
      <c r="G53" s="3250"/>
      <c r="H53" s="1107">
        <f>项目基本情况!B37</f>
        <v>0</v>
      </c>
      <c r="I53" s="945">
        <f>SUMIF(修正!A45:A56,H53,修正!C45:C56)</f>
        <v>0</v>
      </c>
      <c r="J53" s="946"/>
      <c r="K53" s="1146"/>
      <c r="L53" s="944"/>
      <c r="M53" s="944"/>
      <c r="N53" s="944"/>
      <c r="O53" s="944"/>
    </row>
    <row r="54" spans="1:17" s="692" customFormat="1">
      <c r="A54" s="693" t="s">
        <v>2769</v>
      </c>
      <c r="B54" s="262" t="e">
        <f t="shared" si="17"/>
        <v>#DIV/0!</v>
      </c>
      <c r="C54" s="200">
        <f t="shared" si="16"/>
        <v>0</v>
      </c>
      <c r="D54" s="1165">
        <v>0.25</v>
      </c>
      <c r="E54" s="694"/>
      <c r="F54" s="691" t="e">
        <f t="shared" si="15"/>
        <v>#DIV/0!</v>
      </c>
      <c r="G54" s="3250"/>
      <c r="H54" s="1107">
        <f>项目基本情况!B37</f>
        <v>0</v>
      </c>
      <c r="I54" s="945">
        <f>SUMIF(修正!A45:A56,H54,修正!D45:D56)</f>
        <v>0</v>
      </c>
      <c r="J54" s="946"/>
      <c r="K54" s="1145"/>
      <c r="L54" s="944"/>
      <c r="M54" s="944"/>
      <c r="N54" s="944"/>
      <c r="O54" s="944"/>
    </row>
    <row r="55" spans="1:17" s="692" customFormat="1">
      <c r="A55" s="693" t="s">
        <v>2770</v>
      </c>
      <c r="B55" s="262" t="e">
        <f t="shared" si="17"/>
        <v>#DIV/0!</v>
      </c>
      <c r="C55" s="200">
        <f t="shared" si="16"/>
        <v>0</v>
      </c>
      <c r="D55" s="1165">
        <v>0.25</v>
      </c>
      <c r="E55" s="694"/>
      <c r="F55" s="691" t="e">
        <f t="shared" si="15"/>
        <v>#DIV/0!</v>
      </c>
      <c r="G55" s="3250"/>
      <c r="H55" s="1107">
        <f>项目基本情况!B37</f>
        <v>0</v>
      </c>
      <c r="I55" s="945">
        <f>SUMIF(修正!A45:A56,H55,修正!E45:E56)</f>
        <v>0</v>
      </c>
      <c r="J55" s="946"/>
      <c r="K55" s="1146"/>
      <c r="L55" s="944"/>
      <c r="M55" s="944"/>
      <c r="N55" s="944"/>
      <c r="O55" s="944"/>
    </row>
    <row r="56" spans="1:17" s="692" customFormat="1">
      <c r="A56" s="693" t="s">
        <v>2771</v>
      </c>
      <c r="B56" s="262" t="e">
        <f t="shared" si="17"/>
        <v>#DIV/0!</v>
      </c>
      <c r="C56" s="200">
        <f t="shared" si="16"/>
        <v>0</v>
      </c>
      <c r="D56" s="1165">
        <v>0.25</v>
      </c>
      <c r="E56" s="261">
        <f>'数据-汇总表'!E11</f>
        <v>0</v>
      </c>
      <c r="F56" s="691" t="e">
        <f t="shared" si="15"/>
        <v>#DIV/0!</v>
      </c>
      <c r="G56" s="2712" t="s">
        <v>2772</v>
      </c>
      <c r="H56" s="1107">
        <f>项目基本情况!C37</f>
        <v>0</v>
      </c>
      <c r="I56" s="945">
        <f>SUMIF(修正!A45:A56,H56,修正!F45:F56)</f>
        <v>0</v>
      </c>
      <c r="J56" s="946"/>
      <c r="K56" s="1145"/>
      <c r="L56" s="944"/>
      <c r="M56" s="944"/>
      <c r="N56" s="944"/>
      <c r="O56" s="944"/>
    </row>
    <row r="57" spans="1:17" s="692" customFormat="1">
      <c r="A57" s="693" t="s">
        <v>2773</v>
      </c>
      <c r="B57" s="262" t="e">
        <f t="shared" si="17"/>
        <v>#DIV/0!</v>
      </c>
      <c r="C57" s="200">
        <f t="shared" si="16"/>
        <v>0</v>
      </c>
      <c r="D57" s="1165">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2775</v>
      </c>
      <c r="B58" s="262" t="e">
        <f t="shared" si="17"/>
        <v>#DIV/0!</v>
      </c>
      <c r="C58" s="200">
        <f t="shared" si="16"/>
        <v>0</v>
      </c>
      <c r="D58" s="1165">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2777</v>
      </c>
      <c r="B59" s="262" t="e">
        <f t="shared" si="17"/>
        <v>#DIV/0!</v>
      </c>
      <c r="C59" s="200">
        <f t="shared" si="16"/>
        <v>0</v>
      </c>
      <c r="D59" s="1165">
        <v>0.25</v>
      </c>
      <c r="E59" s="261">
        <f>'数据-汇总表'!E14</f>
        <v>0</v>
      </c>
      <c r="F59" s="691" t="e">
        <f t="shared" si="15"/>
        <v>#DIV/0!</v>
      </c>
      <c r="G59" s="2712" t="s">
        <v>2767</v>
      </c>
      <c r="H59" s="1107">
        <f>项目基本情况!B37</f>
        <v>0</v>
      </c>
      <c r="I59" s="945">
        <f>SUMIF(修正!A45:A56,H59,修正!H45:H56)</f>
        <v>0</v>
      </c>
      <c r="J59" s="946"/>
      <c r="K59" s="1146"/>
      <c r="L59" s="944"/>
      <c r="M59" s="944"/>
      <c r="N59" s="944"/>
      <c r="O59" s="944"/>
    </row>
    <row r="60" spans="1:17" s="692" customFormat="1" ht="15" thickBot="1">
      <c r="A60" s="693" t="s">
        <v>2778</v>
      </c>
      <c r="B60" s="262" t="e">
        <f t="shared" si="17"/>
        <v>#DIV/0!</v>
      </c>
      <c r="C60" s="200">
        <f t="shared" si="16"/>
        <v>0</v>
      </c>
      <c r="D60" s="1165">
        <v>0.25</v>
      </c>
      <c r="E60" s="261">
        <f>'数据-汇总表'!E15</f>
        <v>0</v>
      </c>
      <c r="F60" s="691" t="e">
        <f t="shared" si="15"/>
        <v>#DIV/0!</v>
      </c>
      <c r="G60" s="2713" t="s">
        <v>2772</v>
      </c>
      <c r="H60" s="1117">
        <f>项目基本情况!C37</f>
        <v>0</v>
      </c>
      <c r="I60" s="945">
        <f>SUMIF(修正!A45:A56,H60,修正!H45:H56)</f>
        <v>0</v>
      </c>
      <c r="J60" s="946"/>
      <c r="K60" s="1145"/>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2672</v>
      </c>
      <c r="B64" s="759"/>
      <c r="C64" s="764"/>
      <c r="D64" s="764"/>
      <c r="E64" s="764"/>
      <c r="F64" s="765"/>
      <c r="G64" s="765"/>
      <c r="H64" s="764"/>
      <c r="I64" s="764"/>
      <c r="J64" s="764"/>
      <c r="K64" s="766"/>
      <c r="L64" s="767"/>
      <c r="M64" s="764"/>
      <c r="N64" s="764"/>
      <c r="O64" s="1160"/>
      <c r="P64" s="503"/>
      <c r="Q64" s="504"/>
    </row>
    <row r="65" spans="1:17" s="508" customFormat="1" ht="15">
      <c r="A65" s="2714"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1"/>
      <c r="L1" s="2721" t="s">
        <v>2804</v>
      </c>
      <c r="M1" s="1083">
        <f>SUMPRODUCT((区片价!B5:B9=I2)*(区片价!C3:F3=E2)*(区片价!C5:F9))</f>
        <v>0</v>
      </c>
      <c r="N1" s="1086">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1"/>
      <c r="L2" s="2729" t="s">
        <v>2815</v>
      </c>
      <c r="M2" s="1084">
        <f>SUMPRODUCT((区片价!B10:B28=I2)*(区片价!C3:F3=E2)*(区片价!C10:F28))</f>
        <v>0</v>
      </c>
      <c r="N2" s="1086">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24" t="s">
        <v>2817</v>
      </c>
      <c r="D3" s="2725" t="s">
        <v>2818</v>
      </c>
      <c r="E3" s="2730"/>
      <c r="F3" s="2731" t="s">
        <v>2819</v>
      </c>
      <c r="G3" s="916" t="e">
        <f>IF(F3="宗地容积率",'数据-汇总表'!I4,IF(F3="估价对象容积率",'数据-汇总表'!I6,'数据-汇总表'!I7))</f>
        <v>#DIV/0!</v>
      </c>
      <c r="H3" s="198" t="s">
        <v>2820</v>
      </c>
      <c r="I3" s="947"/>
      <c r="J3" s="2728" t="s">
        <v>2821</v>
      </c>
      <c r="K3" s="1371"/>
      <c r="L3" s="2729" t="s">
        <v>2822</v>
      </c>
      <c r="M3" s="1084">
        <f>SUMPRODUCT((区片价!B29:B48=I2)*(区片价!C3:F3=E2)*(区片价!C29:F48))</f>
        <v>0</v>
      </c>
      <c r="N3" s="1086">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9"/>
      <c r="B4" s="3270"/>
      <c r="C4" s="3270"/>
      <c r="D4" s="3271"/>
      <c r="E4" s="3271"/>
      <c r="F4" s="3271"/>
      <c r="G4" s="3271"/>
      <c r="H4" s="3271"/>
      <c r="I4" s="3271"/>
      <c r="J4" s="3272"/>
      <c r="K4" s="1371"/>
      <c r="L4" s="2729" t="s">
        <v>2823</v>
      </c>
      <c r="M4" s="1084">
        <f>SUMPRODUCT((区片价!B49:B75=I2)*(区片价!C3:F3=E2)*(区片价!C49:F75))</f>
        <v>0</v>
      </c>
      <c r="N4" s="1086">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2824</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2"/>
      <c r="L6" s="2729" t="s">
        <v>2829</v>
      </c>
      <c r="M6" s="1084">
        <f>SUMPRODUCT((区片价!B110:B157=I2)*(区片价!C3:F3=E2)*(区片价!C110:F157))</f>
        <v>0</v>
      </c>
      <c r="N6" s="1086">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55" t="str">
        <f>IF(E2="商业",IF(C8="不临58条商业街","",2),"")</f>
        <v/>
      </c>
      <c r="B7" s="2748" t="s">
        <v>2830</v>
      </c>
      <c r="C7" s="919" t="e">
        <f>IF(C8="不临58条商业街",1,ROUND(1+(1.6*E8+1.2*E9+0.8*E10+0.4*E11)*C9,4))</f>
        <v>#DIV/0!</v>
      </c>
      <c r="D7" s="2749" t="s">
        <v>2831</v>
      </c>
      <c r="E7" s="948"/>
      <c r="F7" s="2750"/>
      <c r="G7" s="2751"/>
      <c r="H7" s="2751"/>
      <c r="I7" s="2751"/>
      <c r="J7" s="2752"/>
      <c r="K7" s="1842"/>
      <c r="L7" s="2729" t="s">
        <v>2832</v>
      </c>
      <c r="M7" s="1084">
        <f>SUMPRODUCT((区片价!B158:B205=I2)*(区片价!C3:F3=E2)*(区片价!C158:F205))</f>
        <v>0</v>
      </c>
      <c r="N7" s="1086">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6" t="s">
        <v>2833</v>
      </c>
      <c r="X7" s="1605">
        <f>G2</f>
        <v>0</v>
      </c>
      <c r="Y7" s="1605" t="s">
        <v>2834</v>
      </c>
      <c r="Z7" s="1606" t="e">
        <f>G3</f>
        <v>#DIV/0!</v>
      </c>
      <c r="AA7" s="1607"/>
      <c r="AB7" s="1607"/>
      <c r="AC7" s="1608"/>
      <c r="AD7" s="1609"/>
      <c r="AE7" s="1609"/>
      <c r="AF7" s="1609"/>
      <c r="AG7" s="1609"/>
      <c r="AH7" s="1609"/>
      <c r="AI7" s="1609"/>
      <c r="AJ7" s="1610"/>
    </row>
    <row r="8" spans="1:36" ht="15">
      <c r="A8" s="3256"/>
      <c r="B8" s="198" t="s">
        <v>2835</v>
      </c>
      <c r="C8" s="2753"/>
      <c r="D8" s="920" t="s">
        <v>139</v>
      </c>
      <c r="E8" s="921" t="e">
        <f>ROUND(C11/E7,4)</f>
        <v>#DIV/0!</v>
      </c>
      <c r="F8" s="2754" t="s">
        <v>2836</v>
      </c>
      <c r="G8" s="2755"/>
      <c r="H8" s="2755"/>
      <c r="I8" s="2755"/>
      <c r="J8" s="2756"/>
      <c r="K8" s="1371"/>
      <c r="L8" s="2729" t="s">
        <v>2837</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66" t="s">
        <v>2838</v>
      </c>
      <c r="X8" s="3267"/>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6"/>
      <c r="B9" s="198" t="s">
        <v>2851</v>
      </c>
      <c r="C9" s="922">
        <f>SUMIF(修正!C59:C119,C8,修正!E59:E119)</f>
        <v>0</v>
      </c>
      <c r="D9" s="200" t="s">
        <v>140</v>
      </c>
      <c r="E9" s="200" t="e">
        <f>ROUND(C11/E7,4)</f>
        <v>#DIV/0!</v>
      </c>
      <c r="F9" s="2754" t="s">
        <v>2852</v>
      </c>
      <c r="G9" s="2755"/>
      <c r="H9" s="2755"/>
      <c r="I9" s="2755"/>
      <c r="J9" s="2756"/>
      <c r="K9" s="1371"/>
      <c r="L9" s="2729" t="s">
        <v>2853</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68" t="s">
        <v>2854</v>
      </c>
      <c r="X9" s="1612" t="s">
        <v>2855</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6"/>
      <c r="B10" s="198" t="s">
        <v>2856</v>
      </c>
      <c r="C10" s="200">
        <f>SUMIF(修正!C59:C119,C8,修正!F59:F119)</f>
        <v>0</v>
      </c>
      <c r="D10" s="200" t="s">
        <v>141</v>
      </c>
      <c r="E10" s="200" t="e">
        <f>ROUND(C11/E7,4)</f>
        <v>#DIV/0!</v>
      </c>
      <c r="F10" s="2754" t="s">
        <v>2857</v>
      </c>
      <c r="G10" s="2755"/>
      <c r="H10" s="2755"/>
      <c r="I10" s="2755"/>
      <c r="J10" s="2756"/>
      <c r="K10" s="1371"/>
      <c r="L10" s="2729" t="s">
        <v>2858</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6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6"/>
      <c r="B11" s="2757" t="s">
        <v>2859</v>
      </c>
      <c r="C11" s="923">
        <f>C10/4</f>
        <v>0</v>
      </c>
      <c r="D11" s="923" t="s">
        <v>142</v>
      </c>
      <c r="E11" s="923" t="e">
        <f>ROUND(C11/E7,4)</f>
        <v>#DIV/0!</v>
      </c>
      <c r="F11" s="2758" t="s">
        <v>2860</v>
      </c>
      <c r="G11" s="2759"/>
      <c r="H11" s="2759"/>
      <c r="I11" s="2759"/>
      <c r="J11" s="2760"/>
      <c r="K11" s="1371"/>
      <c r="L11" s="2729" t="s">
        <v>2861</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68" t="s">
        <v>2862</v>
      </c>
      <c r="X11" s="1615" t="s">
        <v>2863</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55" t="s">
        <v>2864</v>
      </c>
      <c r="B12" s="2761" t="s">
        <v>2865</v>
      </c>
      <c r="C12" s="919">
        <f>ROUND(C15*D15*E15*F15*G15*H15*I15*J15,4)</f>
        <v>1</v>
      </c>
      <c r="D12" s="2762" t="s">
        <v>2866</v>
      </c>
      <c r="E12" s="2763"/>
      <c r="F12" s="2763"/>
      <c r="G12" s="2764"/>
      <c r="H12" s="2764"/>
      <c r="I12" s="2764"/>
      <c r="J12" s="2765"/>
      <c r="K12" s="1371"/>
      <c r="L12" s="2766" t="s">
        <v>2867</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68"/>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3"/>
      <c r="B13" s="2767" t="s">
        <v>2869</v>
      </c>
      <c r="C13" s="2768" t="s">
        <v>2870</v>
      </c>
      <c r="D13" s="1808" t="s">
        <v>2871</v>
      </c>
      <c r="E13" s="1808" t="s">
        <v>2872</v>
      </c>
      <c r="F13" s="30" t="s">
        <v>2873</v>
      </c>
      <c r="G13" s="2769" t="s">
        <v>2874</v>
      </c>
      <c r="H13" s="2769" t="s">
        <v>2874</v>
      </c>
      <c r="I13" s="2769" t="s">
        <v>2874</v>
      </c>
      <c r="J13" s="2770" t="s">
        <v>2874</v>
      </c>
      <c r="K13" s="1371"/>
      <c r="L13" s="1371"/>
      <c r="M13" s="1371"/>
      <c r="N13" s="1371"/>
      <c r="O13" s="1371"/>
      <c r="P13" s="1371"/>
      <c r="Q13" s="1371"/>
      <c r="R13" s="1603">
        <v>12</v>
      </c>
      <c r="S13" s="1604"/>
      <c r="T13" s="1603" t="e">
        <f t="shared" si="0"/>
        <v>#DIV/0!</v>
      </c>
      <c r="U13" s="1604"/>
      <c r="V13" s="1603" t="e">
        <f t="shared" si="1"/>
        <v>#DIV/0!</v>
      </c>
      <c r="W13" s="3268"/>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73"/>
      <c r="B14" s="2771"/>
      <c r="C14" s="2772"/>
      <c r="D14" s="2773"/>
      <c r="E14" s="2773"/>
      <c r="F14" s="2774"/>
      <c r="G14" s="2775" t="s">
        <v>2875</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4"/>
      <c r="B15" s="2779" t="s">
        <v>2876</v>
      </c>
      <c r="C15" s="229">
        <f>IF(C14="有",1.1,1)</f>
        <v>1</v>
      </c>
      <c r="D15" s="229">
        <f>IF(D14="有",1.1,1)</f>
        <v>1</v>
      </c>
      <c r="E15" s="229">
        <f>IF(E14="有",1.1,1)</f>
        <v>1</v>
      </c>
      <c r="F15" s="229">
        <f>IF(F14="500米范围内",1.2,IF(F14="500-1000米",1.1,1))</f>
        <v>1</v>
      </c>
      <c r="G15" s="949">
        <v>1</v>
      </c>
      <c r="H15" s="949">
        <v>1</v>
      </c>
      <c r="I15" s="949">
        <v>1</v>
      </c>
      <c r="J15" s="950">
        <v>1</v>
      </c>
      <c r="K15" s="1371"/>
      <c r="L15" s="2780" t="s">
        <v>2812</v>
      </c>
      <c r="M15" s="920" t="s">
        <v>2877</v>
      </c>
      <c r="N15" s="920" t="s">
        <v>2878</v>
      </c>
      <c r="O15" s="920" t="s">
        <v>2879</v>
      </c>
      <c r="P15" s="2781"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5" t="s">
        <v>2881</v>
      </c>
      <c r="B16" s="2748" t="s">
        <v>2882</v>
      </c>
      <c r="C16" s="1801" t="e">
        <f>ROUND(SUM(G17:J17)/C17,0)</f>
        <v>#DIV/0!</v>
      </c>
      <c r="D16" s="2782" t="s">
        <v>2883</v>
      </c>
      <c r="E16" s="2783"/>
      <c r="F16" s="2784"/>
      <c r="G16" s="2785"/>
      <c r="H16" s="2785"/>
      <c r="I16" s="2785"/>
      <c r="J16" s="2786"/>
      <c r="K16" s="1371"/>
      <c r="L16" s="2787" t="s">
        <v>2884</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6"/>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2890</v>
      </c>
      <c r="C19" s="927" t="e">
        <f>ROUND(IF(H19="按公示增长率计算",SUMPRODUCT((地价!A3:A25=YEAR(G19)&amp;"-"&amp;ROUNDUP(MONTH(G19)/3,0))*(地价!X2:AB2=E2)*(地价!X3:AB25)),IF(H19="地价指数",M20/M19,(1+I19)^O19)),4)</f>
        <v>#DIV/0!</v>
      </c>
      <c r="D19" s="2800" t="s">
        <v>2891</v>
      </c>
      <c r="E19" s="928">
        <v>41640</v>
      </c>
      <c r="F19" s="2800" t="s">
        <v>2892</v>
      </c>
      <c r="G19" s="929">
        <f>'数据-取费表'!B2</f>
        <v>43551</v>
      </c>
      <c r="H19" s="2801" t="s">
        <v>2893</v>
      </c>
      <c r="I19" s="930" t="str">
        <f>IF(H19="季度增幅（自定义）",SUMIF(N21:N24,E2,O21:O24),"")</f>
        <v/>
      </c>
      <c r="J19" s="2798"/>
      <c r="K19" s="1378"/>
      <c r="L19" s="2802" t="s">
        <v>2894</v>
      </c>
      <c r="M19" s="1735">
        <f>ROUND(SUMIF(地价!B2:F2,E2,地价!B25:F25),0)</f>
        <v>0</v>
      </c>
      <c r="N19" s="2803" t="s">
        <v>2895</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69">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78"/>
      <c r="L20" s="2810" t="s">
        <v>2899</v>
      </c>
      <c r="M20" s="1736">
        <f>ROUND(SUMPRODUCT((地价!A4:A25=YEAR(G19)&amp;"-"&amp;ROUNDUP(MONTH(G19)/3,0))*(地价!B2:F2=E2)*(地价!B4:F25)),0)</f>
        <v>0</v>
      </c>
      <c r="N20" s="2811" t="s">
        <v>2900</v>
      </c>
      <c r="O20" s="2812" t="s">
        <v>2901</v>
      </c>
      <c r="P20" s="2813" t="s">
        <v>2902</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2903</v>
      </c>
      <c r="C21" s="940" t="e">
        <f>IF(B21="容积率修正",IF(G3&lt;=10,D22,J22),C23)</f>
        <v>#DIV/0!</v>
      </c>
      <c r="D21" s="2816"/>
      <c r="E21" s="2816"/>
      <c r="F21" s="2816"/>
      <c r="G21" s="2816"/>
      <c r="H21" s="2816"/>
      <c r="I21" s="2816"/>
      <c r="J21" s="2817"/>
      <c r="K21" s="1378"/>
      <c r="N21" s="2818" t="s">
        <v>2904</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2905</v>
      </c>
      <c r="B22" s="2819"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41" t="e">
        <f>IF(G3&gt;10,D113,"——")</f>
        <v>#DIV/0!</v>
      </c>
      <c r="K22" s="1378"/>
      <c r="N22" s="2818" t="s">
        <v>2908</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2909</v>
      </c>
      <c r="B23" s="2820" t="s">
        <v>2910</v>
      </c>
      <c r="C23" s="1016" t="e">
        <f>ROUND(IF(G3&gt;1,IF(I3&lt;7,SUMPRODUCT((B93:B98=I3)*(C92:N92=G2)*(C93:N98)),SUMIF(C92:N92,G2,C100:N100)),IF(I3&lt;7,SUMPRODUCT((B102:B107=I3)*(C92:N92=G2)*(C102:N107)),SUMIF(C92:N92,G2,C109:N109))),4)</f>
        <v>#DIV/0!</v>
      </c>
      <c r="D23" s="2776"/>
      <c r="E23" s="2776"/>
      <c r="F23" s="2821"/>
      <c r="G23" s="2822"/>
      <c r="H23" s="2823"/>
      <c r="I23" s="2824"/>
      <c r="J23" s="2825"/>
      <c r="K23" s="1371"/>
      <c r="N23" s="2818" t="s">
        <v>2911</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2912</v>
      </c>
      <c r="C24" s="927">
        <f>SUMIF(A45:A88,E2,B45:B88)</f>
        <v>0</v>
      </c>
      <c r="D24" s="2796"/>
      <c r="E24" s="2826"/>
      <c r="F24" s="2826"/>
      <c r="G24" s="2826"/>
      <c r="H24" s="2826"/>
      <c r="I24" s="2826"/>
      <c r="J24" s="2827"/>
      <c r="K24" s="1378"/>
      <c r="N24" s="2828" t="s">
        <v>2913</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2914</v>
      </c>
      <c r="C25" s="933"/>
      <c r="D25" s="2751"/>
      <c r="E25" s="2751"/>
      <c r="F25" s="2830"/>
      <c r="G25" s="2751"/>
      <c r="H25" s="2751"/>
      <c r="I25" s="2751"/>
      <c r="J25" s="2752"/>
      <c r="K25" s="1371"/>
      <c r="N25" s="2831" t="s">
        <v>2915</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2916</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2917</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2918</v>
      </c>
      <c r="C28" s="2843" t="s">
        <v>2919</v>
      </c>
      <c r="D28" s="2843" t="s">
        <v>2920</v>
      </c>
      <c r="E28" s="2844" t="s">
        <v>2921</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2922</v>
      </c>
      <c r="C29" s="206" t="e">
        <f>ROUND(C5*C18*C19*C20*C21*C24,0)</f>
        <v>#DIV/0!</v>
      </c>
      <c r="D29" s="2848"/>
      <c r="E29" s="945" t="e">
        <f>ROUND(C29*D29/10000,0)</f>
        <v>#DIV/0!</v>
      </c>
      <c r="F29" s="2849" t="s">
        <v>2923</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63" t="s">
        <v>2930</v>
      </c>
      <c r="B33" s="2864" t="s">
        <v>2931</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4"/>
      <c r="B34" s="2768" t="s">
        <v>2932</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4"/>
      <c r="B35" s="2768" t="s">
        <v>2933</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65"/>
      <c r="B36" s="2768" t="s">
        <v>2934</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2935</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2936</v>
      </c>
      <c r="M37" s="2868"/>
      <c r="N37" s="1371"/>
      <c r="O37" s="1371"/>
      <c r="P37" s="1371"/>
      <c r="Q37" s="1371"/>
      <c r="R37" s="1371"/>
      <c r="S37" s="1371"/>
      <c r="T37" s="1371"/>
      <c r="U37" s="1371"/>
      <c r="V37" s="1371"/>
      <c r="W37" s="1371"/>
      <c r="X37" s="1371"/>
      <c r="Y37" s="1371"/>
      <c r="Z37" s="1372"/>
    </row>
    <row r="38" spans="1:37">
      <c r="A38" s="2866"/>
      <c r="B38" s="2768" t="s">
        <v>2937</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2938</v>
      </c>
      <c r="M38" s="2869">
        <v>0.25</v>
      </c>
      <c r="N38" s="1371"/>
      <c r="O38" s="1371"/>
      <c r="P38" s="1371"/>
      <c r="Q38" s="1371"/>
      <c r="R38" s="1371"/>
      <c r="S38" s="1371"/>
      <c r="T38" s="1371"/>
      <c r="U38" s="1371"/>
      <c r="V38" s="1371"/>
      <c r="W38" s="1371"/>
      <c r="X38" s="1371"/>
      <c r="Y38" s="1371"/>
      <c r="Z38" s="1372"/>
    </row>
    <row r="39" spans="1:37" ht="13.5" thickBot="1">
      <c r="A39" s="2852"/>
      <c r="B39" s="2870" t="s">
        <v>2939</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3044</v>
      </c>
      <c r="C41" s="388" t="e">
        <f>ROUND(POWER(1+E41,H41-G41)*(POWER(1+E41,G41)-1)/(POWER(1+E41,H41)-1),4)</f>
        <v>#DIV/0!</v>
      </c>
      <c r="D41" s="200" t="s">
        <v>2888</v>
      </c>
      <c r="E41" s="2940">
        <f>G20</f>
        <v>0</v>
      </c>
      <c r="F41" s="200" t="s">
        <v>2898</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2940</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2941</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2942</v>
      </c>
      <c r="B47" s="1809" t="s">
        <v>2943</v>
      </c>
      <c r="C47" s="1809" t="s">
        <v>2944</v>
      </c>
      <c r="D47" s="1809" t="s">
        <v>2945</v>
      </c>
      <c r="E47" s="819" t="s">
        <v>2946</v>
      </c>
      <c r="F47" s="2882" t="s">
        <v>2947</v>
      </c>
      <c r="G47" s="1809" t="s">
        <v>754</v>
      </c>
      <c r="H47" s="2883" t="s">
        <v>2948</v>
      </c>
      <c r="I47" s="1809" t="s">
        <v>2949</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81" t="s">
        <v>2950</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2951</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2952</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2953</v>
      </c>
      <c r="B51" s="2886" t="s">
        <v>2954</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2955</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2956</v>
      </c>
      <c r="B53" s="2887" t="s">
        <v>2957</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2958</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2959</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2960</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2961</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2942</v>
      </c>
      <c r="B58" s="1809"/>
      <c r="C58" s="1809" t="s">
        <v>2944</v>
      </c>
      <c r="D58" s="1809" t="s">
        <v>2945</v>
      </c>
      <c r="E58" s="819" t="s">
        <v>2946</v>
      </c>
      <c r="F58" s="2882" t="s">
        <v>2962</v>
      </c>
      <c r="G58" s="1809" t="s">
        <v>754</v>
      </c>
      <c r="H58" s="2883" t="s">
        <v>2948</v>
      </c>
      <c r="I58" s="1809" t="s">
        <v>2949</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81" t="s">
        <v>2963</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2951</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2952</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2953</v>
      </c>
      <c r="B62" s="2886" t="s">
        <v>2954</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2955</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2956</v>
      </c>
      <c r="B64" s="2887" t="s">
        <v>2957</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2958</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2959</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2960</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2964</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2942</v>
      </c>
      <c r="B69" s="1809"/>
      <c r="C69" s="1809" t="s">
        <v>2944</v>
      </c>
      <c r="D69" s="1809" t="s">
        <v>2945</v>
      </c>
      <c r="E69" s="819" t="s">
        <v>2946</v>
      </c>
      <c r="F69" s="2882" t="s">
        <v>2962</v>
      </c>
      <c r="G69" s="1809" t="s">
        <v>754</v>
      </c>
      <c r="H69" s="2883" t="s">
        <v>2948</v>
      </c>
      <c r="I69" s="1809" t="s">
        <v>2949</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81" t="s">
        <v>2965</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2951</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2952</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2966</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2958</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2959</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2956</v>
      </c>
      <c r="B76" s="2887" t="s">
        <v>2957</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2960</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2967</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2968</v>
      </c>
      <c r="B79" s="2878">
        <f>1+E81</f>
        <v>1</v>
      </c>
      <c r="C79" s="814"/>
      <c r="D79" s="814"/>
      <c r="E79" s="815"/>
      <c r="F79" s="2880"/>
      <c r="G79" s="6"/>
      <c r="H79" s="6"/>
      <c r="I79" s="6"/>
      <c r="J79" s="7"/>
      <c r="K79" s="7"/>
      <c r="L79" s="7"/>
      <c r="M79" s="7"/>
      <c r="N79" s="7"/>
      <c r="Z79" s="2723"/>
      <c r="AA79" s="2799"/>
      <c r="AG79" s="1373"/>
      <c r="AK79" s="2799"/>
    </row>
    <row r="80" spans="1:37" ht="24.75">
      <c r="A80" s="2881" t="s">
        <v>2942</v>
      </c>
      <c r="B80" s="1809"/>
      <c r="C80" s="1809" t="s">
        <v>2944</v>
      </c>
      <c r="D80" s="1809" t="s">
        <v>2945</v>
      </c>
      <c r="E80" s="819" t="s">
        <v>2946</v>
      </c>
      <c r="F80" s="2882" t="s">
        <v>2962</v>
      </c>
      <c r="G80" s="1809" t="s">
        <v>754</v>
      </c>
      <c r="H80" s="2883" t="s">
        <v>2948</v>
      </c>
      <c r="I80" s="1809" t="s">
        <v>2949</v>
      </c>
      <c r="J80" s="603" t="s">
        <v>2595</v>
      </c>
      <c r="K80" s="603" t="s">
        <v>2596</v>
      </c>
      <c r="L80" s="603" t="s">
        <v>2597</v>
      </c>
      <c r="M80" s="603" t="s">
        <v>2598</v>
      </c>
      <c r="N80" s="603" t="s">
        <v>2599</v>
      </c>
      <c r="Z80" s="2723"/>
      <c r="AA80" s="2799"/>
      <c r="AG80" s="1373"/>
      <c r="AK80" s="2799"/>
    </row>
    <row r="81" spans="1:37" ht="38.25">
      <c r="A81" s="2881" t="s">
        <v>2969</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2951</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2952</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2966</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2958</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2959</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2956</v>
      </c>
      <c r="B87" s="2887" t="s">
        <v>2970</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2971</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57" t="s">
        <v>2972</v>
      </c>
      <c r="B90" s="3257"/>
      <c r="C90" s="3257"/>
      <c r="D90" s="3257"/>
      <c r="E90" s="3257"/>
      <c r="F90" s="3257"/>
      <c r="G90" s="3257"/>
      <c r="H90" s="3257"/>
      <c r="I90" s="3257"/>
      <c r="J90" s="3257"/>
      <c r="K90" s="2895"/>
      <c r="L90" s="2895"/>
      <c r="M90" s="2895"/>
      <c r="N90" s="2895"/>
    </row>
    <row r="91" spans="1:37">
      <c r="A91" s="3259" t="s">
        <v>2973</v>
      </c>
      <c r="B91" s="3259" t="s">
        <v>2974</v>
      </c>
      <c r="C91" s="2849" t="s">
        <v>2975</v>
      </c>
      <c r="D91" s="2850"/>
      <c r="E91" s="2850"/>
      <c r="F91" s="2850"/>
      <c r="G91" s="2850"/>
      <c r="H91" s="2850"/>
      <c r="I91" s="2850"/>
      <c r="J91" s="2896"/>
      <c r="K91" s="2897"/>
      <c r="L91" s="2897"/>
      <c r="M91" s="2897"/>
      <c r="N91" s="2897"/>
    </row>
    <row r="92" spans="1:37">
      <c r="A92" s="3259"/>
      <c r="B92" s="3259"/>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60"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1"/>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0" t="s">
        <v>2977</v>
      </c>
      <c r="B101" s="2902" t="s">
        <v>2978</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61"/>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61"/>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61"/>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61"/>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61"/>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61"/>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61"/>
      <c r="B108" s="3104"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2"/>
      <c r="B109" s="3105"/>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58" t="s">
        <v>2980</v>
      </c>
      <c r="B110" s="3258"/>
      <c r="C110" s="3258"/>
      <c r="D110" s="3258"/>
      <c r="E110" s="3258"/>
      <c r="F110" s="3258"/>
      <c r="G110" s="3258"/>
      <c r="H110" s="3258"/>
      <c r="I110" s="3258"/>
      <c r="J110" s="3258"/>
      <c r="K110" s="2904"/>
      <c r="L110" s="2904"/>
      <c r="M110" s="2904"/>
      <c r="N110" s="2904"/>
    </row>
    <row r="112" spans="1:14" ht="13.5" thickBot="1"/>
    <row r="113" spans="1:13" ht="25.5" thickBot="1">
      <c r="A113" s="903" t="s">
        <v>2981</v>
      </c>
      <c r="B113" s="1288" t="e">
        <f>G3</f>
        <v>#DIV/0!</v>
      </c>
      <c r="C113" s="904" t="s">
        <v>2982</v>
      </c>
      <c r="D113" s="905" t="e">
        <f>SUMPRODUCT((A115:A118=F113)*(B114:M114=H113)*B115:M118)</f>
        <v>#DIV/0!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81" t="s">
        <v>1146</v>
      </c>
      <c r="C1" s="3281"/>
      <c r="D1" s="3281"/>
      <c r="E1" s="3281"/>
      <c r="F1" s="3281"/>
      <c r="G1" s="3277" t="s">
        <v>1147</v>
      </c>
      <c r="H1" s="3277"/>
      <c r="I1" s="3277"/>
      <c r="J1" s="3277"/>
      <c r="K1" s="3277"/>
      <c r="L1" s="3277"/>
      <c r="N1" s="3277" t="s">
        <v>1148</v>
      </c>
      <c r="O1" s="3277"/>
      <c r="P1" s="3277"/>
      <c r="Q1" s="3277"/>
      <c r="R1" s="1447"/>
      <c r="S1" s="3277" t="s">
        <v>1149</v>
      </c>
      <c r="T1" s="3277"/>
      <c r="U1" s="3277"/>
      <c r="V1" s="3277"/>
      <c r="X1" s="3276" t="s">
        <v>1150</v>
      </c>
      <c r="Y1" s="3277"/>
      <c r="Z1" s="3277"/>
      <c r="AA1" s="3277"/>
      <c r="AB1" s="3277"/>
      <c r="AD1" s="3276" t="s">
        <v>1151</v>
      </c>
      <c r="AE1" s="3277"/>
      <c r="AF1" s="3277"/>
      <c r="AG1" s="3277"/>
      <c r="AH1" s="3277"/>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3032</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3033</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79">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79"/>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79"/>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86"/>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282">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79"/>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79"/>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86"/>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82">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79"/>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79"/>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80"/>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78">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79"/>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79"/>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80"/>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78">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79"/>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79"/>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80"/>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83">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84"/>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84"/>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85"/>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78">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79"/>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79"/>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80"/>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78">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79">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79">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80">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78">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79">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79">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80">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78">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79">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79">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80">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78">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79">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79">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80">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78">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79">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79">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80">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78">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79">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79">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80">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78">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79">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79">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80">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78">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79">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79">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80">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78">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79">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79">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80">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78">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79">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79">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80">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85" zoomScaleNormal="85" workbookViewId="0">
      <selection activeCell="K38" sqref="K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2684</v>
      </c>
      <c r="C1" s="1621" t="s">
        <v>2528</v>
      </c>
      <c r="D1" s="1622" t="s">
        <v>3117</v>
      </c>
      <c r="E1" s="1631"/>
      <c r="F1" s="2587" t="s">
        <v>3060</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f>IF(C2="——",ROUND(C50*D3/10000,0),ROUND(C50*D3/10000,0)-D2)</f>
        <v>751</v>
      </c>
      <c r="C2" s="2589" t="s">
        <v>70</v>
      </c>
      <c r="D2" s="1366"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4149</v>
      </c>
      <c r="C3" s="400" t="s">
        <v>2642</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2643</v>
      </c>
      <c r="B4" s="402"/>
      <c r="C4" s="3218" t="s">
        <v>2644</v>
      </c>
      <c r="D4" s="3219"/>
      <c r="E4" s="3220" t="s">
        <v>2645</v>
      </c>
      <c r="F4" s="3221"/>
      <c r="G4" s="3218" t="s">
        <v>2646</v>
      </c>
      <c r="H4" s="3219"/>
      <c r="I4" s="3218" t="s">
        <v>2647</v>
      </c>
      <c r="J4" s="3219"/>
      <c r="K4" s="610" t="s">
        <v>2648</v>
      </c>
      <c r="L4" s="1131"/>
      <c r="M4" s="1132"/>
      <c r="N4" s="1132"/>
      <c r="O4" s="1132"/>
      <c r="P4" s="3293" t="s">
        <v>2649</v>
      </c>
      <c r="Q4" s="3294"/>
      <c r="R4" s="3288" t="s">
        <v>2645</v>
      </c>
      <c r="S4" s="3289"/>
      <c r="T4" s="3288" t="s">
        <v>2646</v>
      </c>
      <c r="U4" s="3289"/>
      <c r="V4" s="3297" t="s">
        <v>2647</v>
      </c>
      <c r="W4" s="3297"/>
      <c r="X4" s="2673"/>
      <c r="Y4" s="3288" t="s">
        <v>2649</v>
      </c>
      <c r="Z4" s="3289"/>
      <c r="AA4" s="3287" t="s">
        <v>2645</v>
      </c>
      <c r="AB4" s="3287" t="s">
        <v>2646</v>
      </c>
      <c r="AC4" s="3290" t="s">
        <v>2647</v>
      </c>
    </row>
    <row r="5" spans="1:29" ht="15">
      <c r="A5" s="404"/>
      <c r="B5" s="405"/>
      <c r="C5" s="3211" t="s">
        <v>2540</v>
      </c>
      <c r="D5" s="3212"/>
      <c r="E5" s="3209" t="s">
        <v>2541</v>
      </c>
      <c r="F5" s="3210"/>
      <c r="G5" s="3211" t="s">
        <v>2542</v>
      </c>
      <c r="H5" s="3212"/>
      <c r="I5" s="3211" t="s">
        <v>2543</v>
      </c>
      <c r="J5" s="3212"/>
      <c r="K5" s="610"/>
      <c r="L5" s="1131"/>
      <c r="M5" s="1132"/>
      <c r="N5" s="1132"/>
      <c r="O5" s="1132"/>
      <c r="P5" s="3295"/>
      <c r="Q5" s="3225"/>
      <c r="R5" s="3207"/>
      <c r="S5" s="3208"/>
      <c r="T5" s="3207"/>
      <c r="U5" s="3208"/>
      <c r="V5" s="3230"/>
      <c r="W5" s="3230"/>
      <c r="X5" s="1813"/>
      <c r="Y5" s="3207"/>
      <c r="Z5" s="3208"/>
      <c r="AA5" s="3201"/>
      <c r="AB5" s="3201"/>
      <c r="AC5" s="3291"/>
    </row>
    <row r="6" spans="1:29" ht="15.75" thickBot="1">
      <c r="A6" s="406"/>
      <c r="B6" s="407"/>
      <c r="C6" s="3213" t="s">
        <v>2544</v>
      </c>
      <c r="D6" s="3214"/>
      <c r="E6" s="3215" t="s">
        <v>2544</v>
      </c>
      <c r="F6" s="3216"/>
      <c r="G6" s="3213" t="s">
        <v>2544</v>
      </c>
      <c r="H6" s="3214"/>
      <c r="I6" s="3213" t="s">
        <v>2544</v>
      </c>
      <c r="J6" s="3214"/>
      <c r="K6" s="610" t="s">
        <v>2545</v>
      </c>
      <c r="L6" s="1131"/>
      <c r="M6" s="1132"/>
      <c r="N6" s="1132"/>
      <c r="O6" s="1132"/>
      <c r="P6" s="3296"/>
      <c r="Q6" s="3227"/>
      <c r="R6" s="3207"/>
      <c r="S6" s="3208"/>
      <c r="T6" s="3228"/>
      <c r="U6" s="3229"/>
      <c r="V6" s="3230"/>
      <c r="W6" s="3230"/>
      <c r="X6" s="1813"/>
      <c r="Y6" s="3228"/>
      <c r="Z6" s="3229"/>
      <c r="AA6" s="3202"/>
      <c r="AB6" s="3202"/>
      <c r="AC6" s="3292"/>
    </row>
    <row r="7" spans="1:29" s="117" customFormat="1" ht="15.75" thickBot="1">
      <c r="A7" s="408" t="s">
        <v>2546</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298" t="s">
        <v>2547</v>
      </c>
      <c r="Q7" s="3231"/>
      <c r="R7" s="770" t="s">
        <v>17</v>
      </c>
      <c r="S7" s="771">
        <f t="shared" ref="S7:S15" si="0">F7</f>
        <v>100</v>
      </c>
      <c r="T7" s="770" t="s">
        <v>17</v>
      </c>
      <c r="U7" s="771">
        <f t="shared" ref="U7:U15" si="1">H7</f>
        <v>100</v>
      </c>
      <c r="V7" s="770" t="s">
        <v>17</v>
      </c>
      <c r="W7" s="771">
        <f t="shared" ref="W7:W15" si="2">J7</f>
        <v>100</v>
      </c>
      <c r="X7" s="772"/>
      <c r="Y7" s="3203" t="s">
        <v>2547</v>
      </c>
      <c r="Z7" s="3204"/>
      <c r="AA7" s="773">
        <f>D7/F7</f>
        <v>1</v>
      </c>
      <c r="AB7" s="773">
        <f>D7/H7</f>
        <v>1</v>
      </c>
      <c r="AC7" s="2674">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3"/>
      <c r="M8" s="1134"/>
      <c r="N8" s="1134"/>
      <c r="O8" s="1134"/>
      <c r="P8" s="3298" t="s">
        <v>2550</v>
      </c>
      <c r="Q8" s="3204"/>
      <c r="R8" s="770" t="s">
        <v>17</v>
      </c>
      <c r="S8" s="771">
        <f t="shared" si="0"/>
        <v>100</v>
      </c>
      <c r="T8" s="770" t="s">
        <v>17</v>
      </c>
      <c r="U8" s="771">
        <f t="shared" si="1"/>
        <v>100</v>
      </c>
      <c r="V8" s="770" t="s">
        <v>17</v>
      </c>
      <c r="W8" s="771">
        <f t="shared" si="2"/>
        <v>100</v>
      </c>
      <c r="X8" s="772"/>
      <c r="Y8" s="3203" t="s">
        <v>2550</v>
      </c>
      <c r="Z8" s="3204"/>
      <c r="AA8" s="773">
        <f t="shared" ref="AA8:AA47" si="3">D8/F8</f>
        <v>1</v>
      </c>
      <c r="AB8" s="773">
        <f t="shared" ref="AB8:AB47" si="4">D8/H8</f>
        <v>1</v>
      </c>
      <c r="AC8" s="2674">
        <f t="shared" ref="AC8:AC47" si="5">D8/J8</f>
        <v>1</v>
      </c>
    </row>
    <row r="9" spans="1:29" s="117" customFormat="1">
      <c r="A9" s="415" t="s">
        <v>2551</v>
      </c>
      <c r="B9" s="71" t="s">
        <v>2552</v>
      </c>
      <c r="C9" s="2947" t="s">
        <v>3057</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2674">
        <f t="shared" si="5"/>
        <v>1</v>
      </c>
    </row>
    <row r="10" spans="1:29" s="427" customFormat="1" ht="27.75" thickBot="1">
      <c r="A10" s="421"/>
      <c r="B10" s="422" t="s">
        <v>2555</v>
      </c>
      <c r="C10" s="423" t="s">
        <v>3058</v>
      </c>
      <c r="D10" s="136">
        <v>100</v>
      </c>
      <c r="E10" s="423" t="s">
        <v>3058</v>
      </c>
      <c r="F10" s="136">
        <f>SUMIF(66:66,E10,67:67)-SUMIF(66:66,C10,67:67)+100</f>
        <v>100</v>
      </c>
      <c r="G10" s="424" t="s">
        <v>3058</v>
      </c>
      <c r="H10" s="136">
        <f>SUMIF(66:66,G10,67:67)-SUMIF(66:66,C10,67:67)+100</f>
        <v>100</v>
      </c>
      <c r="I10" s="423" t="s">
        <v>3058</v>
      </c>
      <c r="J10" s="136">
        <f>SUMIF(66:66,I10,67:67)-SUMIF(66:66,C10,67:67)+100</f>
        <v>100</v>
      </c>
      <c r="K10" s="612">
        <v>1</v>
      </c>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4">
        <f t="shared" si="5"/>
        <v>1</v>
      </c>
    </row>
    <row r="11" spans="1:29" ht="15" hidden="1">
      <c r="A11" s="428"/>
      <c r="B11" s="422" t="s">
        <v>2556</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217"/>
      <c r="Q11" s="1795"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17"/>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17"/>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17"/>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244" t="s">
        <v>2558</v>
      </c>
      <c r="Q15" s="1810" t="str">
        <f t="shared" si="6"/>
        <v>办公集聚程度</v>
      </c>
      <c r="R15" s="774" t="s">
        <v>17</v>
      </c>
      <c r="S15" s="775">
        <f t="shared" si="0"/>
        <v>100</v>
      </c>
      <c r="T15" s="774" t="s">
        <v>17</v>
      </c>
      <c r="U15" s="775">
        <f t="shared" si="1"/>
        <v>97</v>
      </c>
      <c r="V15" s="774" t="s">
        <v>17</v>
      </c>
      <c r="W15" s="775">
        <f t="shared" si="2"/>
        <v>100</v>
      </c>
      <c r="X15" s="1813"/>
      <c r="Y15" s="3237" t="s">
        <v>2558</v>
      </c>
      <c r="Z15" s="1814" t="str">
        <f t="shared" si="7"/>
        <v>办公集聚程度</v>
      </c>
      <c r="AA15" s="1811">
        <f t="shared" si="3"/>
        <v>1</v>
      </c>
      <c r="AB15" s="1811">
        <f t="shared" si="4"/>
        <v>1.0309278350515463</v>
      </c>
      <c r="AC15" s="2677">
        <f t="shared" si="5"/>
        <v>1</v>
      </c>
    </row>
    <row r="16" spans="1:29" ht="15">
      <c r="A16" s="428"/>
      <c r="B16" s="630"/>
      <c r="C16" s="2614" t="s">
        <v>3063</v>
      </c>
      <c r="D16" s="448"/>
      <c r="E16" s="447" t="s">
        <v>3063</v>
      </c>
      <c r="F16" s="448"/>
      <c r="G16" s="2614" t="s">
        <v>3123</v>
      </c>
      <c r="H16" s="450"/>
      <c r="I16" s="447" t="s">
        <v>3063</v>
      </c>
      <c r="J16" s="448"/>
      <c r="K16" s="615"/>
      <c r="L16" s="1141"/>
      <c r="M16" s="1132"/>
      <c r="N16" s="1132"/>
      <c r="O16" s="1132"/>
      <c r="P16" s="3245"/>
      <c r="Q16" s="1810"/>
      <c r="R16" s="774"/>
      <c r="S16" s="775"/>
      <c r="T16" s="774"/>
      <c r="U16" s="775"/>
      <c r="V16" s="774"/>
      <c r="W16" s="775"/>
      <c r="X16" s="1813"/>
      <c r="Y16" s="3238"/>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245"/>
      <c r="Q17" s="1810" t="str">
        <f>B17</f>
        <v>交通便捷度</v>
      </c>
      <c r="R17" s="774" t="s">
        <v>17</v>
      </c>
      <c r="S17" s="775">
        <f>F17</f>
        <v>100</v>
      </c>
      <c r="T17" s="774" t="s">
        <v>17</v>
      </c>
      <c r="U17" s="775">
        <f>H17</f>
        <v>97</v>
      </c>
      <c r="V17" s="774" t="s">
        <v>17</v>
      </c>
      <c r="W17" s="775">
        <f>J17</f>
        <v>100</v>
      </c>
      <c r="X17" s="1813"/>
      <c r="Y17" s="3238"/>
      <c r="Z17" s="1814" t="str">
        <f>Q17</f>
        <v>交通便捷度</v>
      </c>
      <c r="AA17" s="1811">
        <f t="shared" si="3"/>
        <v>1</v>
      </c>
      <c r="AB17" s="1811">
        <f t="shared" si="4"/>
        <v>1.0309278350515463</v>
      </c>
      <c r="AC17" s="2677">
        <f t="shared" si="5"/>
        <v>1</v>
      </c>
    </row>
    <row r="18" spans="1:29" ht="15">
      <c r="A18" s="428"/>
      <c r="B18" s="632"/>
      <c r="C18" s="2679" t="s">
        <v>3111</v>
      </c>
      <c r="D18" s="450"/>
      <c r="E18" s="2612" t="s">
        <v>3111</v>
      </c>
      <c r="F18" s="450"/>
      <c r="G18" s="2613" t="s">
        <v>3061</v>
      </c>
      <c r="H18" s="448"/>
      <c r="I18" s="2613" t="s">
        <v>3111</v>
      </c>
      <c r="J18" s="448"/>
      <c r="K18" s="615"/>
      <c r="L18" s="1141"/>
      <c r="M18" s="1132"/>
      <c r="N18" s="1132"/>
      <c r="O18" s="1132"/>
      <c r="P18" s="3245"/>
      <c r="Q18" s="1810"/>
      <c r="R18" s="774"/>
      <c r="S18" s="775"/>
      <c r="T18" s="774"/>
      <c r="U18" s="775"/>
      <c r="V18" s="774"/>
      <c r="W18" s="775"/>
      <c r="X18" s="1813"/>
      <c r="Y18" s="3238"/>
      <c r="Z18" s="1814"/>
      <c r="AA18" s="1811">
        <v>1</v>
      </c>
      <c r="AB18" s="1811">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2677">
        <f t="shared" si="5"/>
        <v>1</v>
      </c>
    </row>
    <row r="20" spans="1:29" ht="15">
      <c r="A20" s="428"/>
      <c r="B20" s="632"/>
      <c r="C20" s="2614" t="s">
        <v>3061</v>
      </c>
      <c r="D20" s="448"/>
      <c r="E20" s="2607" t="s">
        <v>3061</v>
      </c>
      <c r="F20" s="448"/>
      <c r="G20" s="2608" t="s">
        <v>3061</v>
      </c>
      <c r="H20" s="448"/>
      <c r="I20" s="2608" t="s">
        <v>3061</v>
      </c>
      <c r="J20" s="448"/>
      <c r="K20" s="615"/>
      <c r="L20" s="1141"/>
      <c r="M20" s="1132"/>
      <c r="N20" s="1132"/>
      <c r="O20" s="1132"/>
      <c r="P20" s="3245"/>
      <c r="Q20" s="1810"/>
      <c r="R20" s="774"/>
      <c r="S20" s="775"/>
      <c r="T20" s="774"/>
      <c r="U20" s="775"/>
      <c r="V20" s="774"/>
      <c r="W20" s="775"/>
      <c r="X20" s="1813"/>
      <c r="Y20" s="3238"/>
      <c r="Z20" s="1814"/>
      <c r="AA20" s="1811">
        <v>1</v>
      </c>
      <c r="AB20" s="1811">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2677">
        <f t="shared" ref="AC21" si="10">D21/J21</f>
        <v>1</v>
      </c>
    </row>
    <row r="22" spans="1:29" ht="15">
      <c r="A22" s="428"/>
      <c r="B22" s="633"/>
      <c r="C22" s="2679" t="s">
        <v>3062</v>
      </c>
      <c r="D22" s="448"/>
      <c r="E22" s="447" t="s">
        <v>3062</v>
      </c>
      <c r="F22" s="448"/>
      <c r="G22" s="2614" t="s">
        <v>3062</v>
      </c>
      <c r="H22" s="448"/>
      <c r="I22" s="2614" t="s">
        <v>3062</v>
      </c>
      <c r="J22" s="448"/>
      <c r="K22" s="1384"/>
      <c r="L22" s="1141"/>
      <c r="M22" s="1132"/>
      <c r="N22" s="1132"/>
      <c r="O22" s="1132"/>
      <c r="P22" s="3245"/>
      <c r="Q22" s="1810"/>
      <c r="R22" s="774"/>
      <c r="S22" s="775"/>
      <c r="T22" s="774"/>
      <c r="U22" s="775"/>
      <c r="V22" s="774"/>
      <c r="W22" s="775"/>
      <c r="X22" s="1813"/>
      <c r="Y22" s="3238"/>
      <c r="Z22" s="1814"/>
      <c r="AA22" s="1811">
        <v>1</v>
      </c>
      <c r="AB22" s="1811">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45"/>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2677">
        <f t="shared" si="5"/>
        <v>1</v>
      </c>
    </row>
    <row r="24" spans="1:29" ht="15">
      <c r="A24" s="428"/>
      <c r="B24" s="633"/>
      <c r="C24" s="2614" t="s">
        <v>3061</v>
      </c>
      <c r="D24" s="448"/>
      <c r="E24" s="2607" t="s">
        <v>3061</v>
      </c>
      <c r="F24" s="448"/>
      <c r="G24" s="2608" t="s">
        <v>3061</v>
      </c>
      <c r="H24" s="448"/>
      <c r="I24" s="2608" t="s">
        <v>3061</v>
      </c>
      <c r="J24" s="448"/>
      <c r="K24" s="615"/>
      <c r="L24" s="1141"/>
      <c r="M24" s="1132"/>
      <c r="N24" s="1132"/>
      <c r="O24" s="1132"/>
      <c r="P24" s="3245"/>
      <c r="Q24" s="1810"/>
      <c r="R24" s="774"/>
      <c r="S24" s="775"/>
      <c r="T24" s="774"/>
      <c r="U24" s="775"/>
      <c r="V24" s="774"/>
      <c r="W24" s="775"/>
      <c r="X24" s="1813"/>
      <c r="Y24" s="3238"/>
      <c r="Z24" s="1814"/>
      <c r="AA24" s="1811">
        <v>1</v>
      </c>
      <c r="AB24" s="1811">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245"/>
      <c r="Q25" s="1810" t="str">
        <f>B25</f>
        <v>毗邻道路的类型与等级</v>
      </c>
      <c r="R25" s="774" t="s">
        <v>17</v>
      </c>
      <c r="S25" s="775">
        <f>F25</f>
        <v>100</v>
      </c>
      <c r="T25" s="774" t="s">
        <v>17</v>
      </c>
      <c r="U25" s="775">
        <f>H25</f>
        <v>100</v>
      </c>
      <c r="V25" s="774" t="s">
        <v>17</v>
      </c>
      <c r="W25" s="775">
        <f>J25</f>
        <v>100</v>
      </c>
      <c r="X25" s="1813"/>
      <c r="Y25" s="3238"/>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245"/>
      <c r="Q26" s="1810"/>
      <c r="R26" s="774"/>
      <c r="S26" s="775"/>
      <c r="T26" s="774"/>
      <c r="U26" s="775"/>
      <c r="V26" s="774"/>
      <c r="W26" s="775"/>
      <c r="X26" s="1813"/>
      <c r="Y26" s="3238"/>
      <c r="Z26" s="1814"/>
      <c r="AA26" s="1811">
        <v>1</v>
      </c>
      <c r="AB26" s="1811">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245"/>
      <c r="Q27" s="1810" t="str">
        <f t="shared" ref="Q27:Q47" si="11">B27</f>
        <v>楼层</v>
      </c>
      <c r="R27" s="774" t="s">
        <v>17</v>
      </c>
      <c r="S27" s="775">
        <f>F27</f>
        <v>100</v>
      </c>
      <c r="T27" s="774" t="s">
        <v>17</v>
      </c>
      <c r="U27" s="775">
        <f>H27</f>
        <v>100</v>
      </c>
      <c r="V27" s="774" t="s">
        <v>17</v>
      </c>
      <c r="W27" s="775">
        <f>J27</f>
        <v>100</v>
      </c>
      <c r="X27" s="1813"/>
      <c r="Y27" s="3238"/>
      <c r="Z27" s="1814" t="str">
        <f>Q27</f>
        <v>楼层</v>
      </c>
      <c r="AA27" s="1811">
        <f t="shared" si="3"/>
        <v>1</v>
      </c>
      <c r="AB27" s="1811">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245"/>
      <c r="Q28" s="1795" t="str">
        <f t="shared" si="11"/>
        <v>朝向</v>
      </c>
      <c r="R28" s="770" t="s">
        <v>17</v>
      </c>
      <c r="S28" s="771">
        <f>F28</f>
        <v>100</v>
      </c>
      <c r="T28" s="770" t="s">
        <v>17</v>
      </c>
      <c r="U28" s="771">
        <f>H28</f>
        <v>100</v>
      </c>
      <c r="V28" s="770" t="s">
        <v>17</v>
      </c>
      <c r="W28" s="771">
        <f>J28</f>
        <v>100</v>
      </c>
      <c r="X28" s="772"/>
      <c r="Y28" s="3238"/>
      <c r="Z28" s="55" t="str">
        <f>Q28</f>
        <v>朝向</v>
      </c>
      <c r="AA28" s="1811">
        <f>D28/F28</f>
        <v>1</v>
      </c>
      <c r="AB28" s="1811">
        <f>D28/H28</f>
        <v>1</v>
      </c>
      <c r="AC28" s="2677">
        <f>D28/J28</f>
        <v>1</v>
      </c>
    </row>
    <row r="29" spans="1:29" ht="15">
      <c r="A29" s="428"/>
      <c r="B29" s="2951" t="s">
        <v>3093</v>
      </c>
      <c r="C29" s="2952" t="s">
        <v>3097</v>
      </c>
      <c r="D29" s="435">
        <v>100</v>
      </c>
      <c r="E29" s="2953" t="s">
        <v>3097</v>
      </c>
      <c r="F29" s="435">
        <f>SUMIF(93:93,E29,94:94)-SUMIF(93:93,C29,94:94)+100</f>
        <v>100</v>
      </c>
      <c r="G29" s="2954" t="s">
        <v>3098</v>
      </c>
      <c r="H29" s="435">
        <f>SUMIF(93:93,G29,94:94)-SUMIF(93:93,C29,94:94)+100</f>
        <v>100</v>
      </c>
      <c r="I29" s="2953" t="s">
        <v>3098</v>
      </c>
      <c r="J29" s="435">
        <f>SUMIF(93:93,I29,94:94)-SUMIF(93:93,C29,94:94)+100</f>
        <v>100</v>
      </c>
      <c r="K29" s="613"/>
      <c r="L29" s="1141"/>
      <c r="M29" s="1132"/>
      <c r="N29" s="1132"/>
      <c r="O29" s="1132"/>
      <c r="P29" s="3245"/>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238"/>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45"/>
      <c r="Q32" s="1810">
        <f t="shared" si="11"/>
        <v>111</v>
      </c>
      <c r="R32" s="774" t="s">
        <v>17</v>
      </c>
      <c r="S32" s="775">
        <f t="shared" si="12"/>
        <v>100</v>
      </c>
      <c r="T32" s="774" t="s">
        <v>17</v>
      </c>
      <c r="U32" s="775">
        <f t="shared" si="13"/>
        <v>100</v>
      </c>
      <c r="V32" s="774" t="s">
        <v>17</v>
      </c>
      <c r="W32" s="775">
        <f t="shared" si="14"/>
        <v>100</v>
      </c>
      <c r="X32" s="1813"/>
      <c r="Y32" s="3238"/>
      <c r="Z32" s="1814">
        <f t="shared" si="15"/>
        <v>111</v>
      </c>
      <c r="AA32" s="1811">
        <f t="shared" si="3"/>
        <v>1</v>
      </c>
      <c r="AB32" s="1811">
        <f t="shared" si="4"/>
        <v>1</v>
      </c>
      <c r="AC32" s="2677">
        <f t="shared" si="5"/>
        <v>1</v>
      </c>
    </row>
    <row r="33" spans="1:29" ht="15">
      <c r="A33" s="440" t="s">
        <v>2561</v>
      </c>
      <c r="B33" s="71" t="s">
        <v>2691</v>
      </c>
      <c r="C33" s="3310" t="s">
        <v>3124</v>
      </c>
      <c r="D33" s="467">
        <v>100</v>
      </c>
      <c r="E33" s="3310" t="s">
        <v>3124</v>
      </c>
      <c r="F33" s="461">
        <f>SUMIF(101:101,E33,102:102)-SUMIF(101:101,C33,102:102)+100</f>
        <v>100</v>
      </c>
      <c r="G33" s="3310" t="s">
        <v>3124</v>
      </c>
      <c r="H33" s="435">
        <f>SUMIF(101:101,G33,102:102)-SUMIF(101:101,C33,102:102)+100</f>
        <v>100</v>
      </c>
      <c r="I33" s="3310" t="s">
        <v>3126</v>
      </c>
      <c r="J33" s="467">
        <f>SUMIF(101:101,I33,102:102)-SUMIF(101:101,C33,102:102)+100</f>
        <v>100</v>
      </c>
      <c r="K33" s="612">
        <v>2</v>
      </c>
      <c r="L33" s="1141"/>
      <c r="M33" s="1132"/>
      <c r="N33" s="1132"/>
      <c r="O33" s="1132"/>
      <c r="P33" s="3239" t="s">
        <v>2563</v>
      </c>
      <c r="Q33" s="1810" t="str">
        <f t="shared" si="11"/>
        <v>建筑类型</v>
      </c>
      <c r="R33" s="774" t="s">
        <v>17</v>
      </c>
      <c r="S33" s="775">
        <f t="shared" si="12"/>
        <v>100</v>
      </c>
      <c r="T33" s="774" t="s">
        <v>17</v>
      </c>
      <c r="U33" s="775">
        <f t="shared" si="13"/>
        <v>100</v>
      </c>
      <c r="V33" s="774" t="s">
        <v>17</v>
      </c>
      <c r="W33" s="775">
        <f t="shared" si="14"/>
        <v>100</v>
      </c>
      <c r="X33" s="1813"/>
      <c r="Y33" s="3242" t="s">
        <v>2563</v>
      </c>
      <c r="Z33" s="1814" t="str">
        <f t="shared" si="15"/>
        <v>建筑类型</v>
      </c>
      <c r="AA33" s="1811">
        <f t="shared" si="3"/>
        <v>1</v>
      </c>
      <c r="AB33" s="1811">
        <f t="shared" si="4"/>
        <v>1</v>
      </c>
      <c r="AC33" s="2677">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240"/>
      <c r="Q34" s="776" t="str">
        <f t="shared" si="11"/>
        <v>项目建筑规模</v>
      </c>
      <c r="R34" s="777" t="s">
        <v>17</v>
      </c>
      <c r="S34" s="778">
        <f t="shared" si="12"/>
        <v>100</v>
      </c>
      <c r="T34" s="777" t="s">
        <v>17</v>
      </c>
      <c r="U34" s="778">
        <f t="shared" si="13"/>
        <v>100</v>
      </c>
      <c r="V34" s="777" t="s">
        <v>17</v>
      </c>
      <c r="W34" s="778">
        <f t="shared" si="14"/>
        <v>100</v>
      </c>
      <c r="X34" s="779"/>
      <c r="Y34" s="3242"/>
      <c r="Z34" s="780" t="str">
        <f t="shared" si="15"/>
        <v>项目建筑规模</v>
      </c>
      <c r="AA34" s="1811">
        <f t="shared" si="3"/>
        <v>1</v>
      </c>
      <c r="AB34" s="1811">
        <f t="shared" si="4"/>
        <v>1</v>
      </c>
      <c r="AC34" s="2677">
        <f t="shared" si="5"/>
        <v>1</v>
      </c>
    </row>
    <row r="35" spans="1:29" ht="15">
      <c r="A35" s="472"/>
      <c r="B35" s="422" t="s">
        <v>2565</v>
      </c>
      <c r="C35" s="460" t="s">
        <v>3055</v>
      </c>
      <c r="D35" s="435">
        <v>100</v>
      </c>
      <c r="E35" s="460" t="s">
        <v>3067</v>
      </c>
      <c r="F35" s="461">
        <f>SUMIF(106:106,E35,107:107)-SUMIF(106:106,C35,107:107)+100</f>
        <v>103</v>
      </c>
      <c r="G35" s="460" t="s">
        <v>3067</v>
      </c>
      <c r="H35" s="435">
        <f>SUMIF(106:106,G35,107:107)-SUMIF(106:106,C35,107:107)+100</f>
        <v>103</v>
      </c>
      <c r="I35" s="460" t="s">
        <v>3067</v>
      </c>
      <c r="J35" s="435">
        <f>SUMIF(106:106,I35,107:107)-SUMIF(106:106,C35,107:107)+100</f>
        <v>103</v>
      </c>
      <c r="K35" s="612">
        <v>3</v>
      </c>
      <c r="L35" s="1141"/>
      <c r="M35" s="1132"/>
      <c r="N35" s="1132"/>
      <c r="O35" s="1132"/>
      <c r="P35" s="3240"/>
      <c r="Q35" s="1810" t="str">
        <f t="shared" si="11"/>
        <v>建筑结构</v>
      </c>
      <c r="R35" s="774" t="s">
        <v>17</v>
      </c>
      <c r="S35" s="775">
        <f t="shared" si="12"/>
        <v>103</v>
      </c>
      <c r="T35" s="774" t="s">
        <v>17</v>
      </c>
      <c r="U35" s="775">
        <f t="shared" si="13"/>
        <v>103</v>
      </c>
      <c r="V35" s="774" t="s">
        <v>17</v>
      </c>
      <c r="W35" s="775">
        <f t="shared" si="14"/>
        <v>103</v>
      </c>
      <c r="X35" s="1813"/>
      <c r="Y35" s="3242"/>
      <c r="Z35" s="1814" t="str">
        <f t="shared" si="15"/>
        <v>建筑结构</v>
      </c>
      <c r="AA35" s="1811">
        <f t="shared" si="3"/>
        <v>0.970873786407767</v>
      </c>
      <c r="AB35" s="1811">
        <f t="shared" si="4"/>
        <v>0.970873786407767</v>
      </c>
      <c r="AC35" s="2677">
        <f t="shared" si="5"/>
        <v>0.970873786407767</v>
      </c>
    </row>
    <row r="36" spans="1:29" ht="15">
      <c r="A36" s="472"/>
      <c r="B36" s="422" t="s">
        <v>2659</v>
      </c>
      <c r="C36" s="460" t="s">
        <v>3073</v>
      </c>
      <c r="D36" s="435">
        <v>100</v>
      </c>
      <c r="E36" s="460" t="s">
        <v>3071</v>
      </c>
      <c r="F36" s="461">
        <f>SUMIF(108:108,E36,109:109)-SUMIF(108:108,C36,109:109)+100</f>
        <v>102</v>
      </c>
      <c r="G36" s="460" t="s">
        <v>3071</v>
      </c>
      <c r="H36" s="435">
        <f>SUMIF(108:108,G36,109:109)-SUMIF(108:108,C36,109:109)+100</f>
        <v>102</v>
      </c>
      <c r="I36" s="460" t="s">
        <v>3071</v>
      </c>
      <c r="J36" s="435">
        <f>SUMIF(108:108,I36,109:109)-SUMIF(108:108,C36,109:109)+100</f>
        <v>102</v>
      </c>
      <c r="K36" s="612">
        <v>2</v>
      </c>
      <c r="L36" s="1141"/>
      <c r="M36" s="1132"/>
      <c r="N36" s="1132"/>
      <c r="O36" s="1132"/>
      <c r="P36" s="3240"/>
      <c r="Q36" s="1810" t="str">
        <f t="shared" si="11"/>
        <v>公共部分装修</v>
      </c>
      <c r="R36" s="774" t="s">
        <v>17</v>
      </c>
      <c r="S36" s="775">
        <f t="shared" si="12"/>
        <v>102</v>
      </c>
      <c r="T36" s="774" t="s">
        <v>17</v>
      </c>
      <c r="U36" s="775">
        <f t="shared" si="13"/>
        <v>102</v>
      </c>
      <c r="V36" s="774" t="s">
        <v>17</v>
      </c>
      <c r="W36" s="775">
        <f t="shared" si="14"/>
        <v>102</v>
      </c>
      <c r="X36" s="1813"/>
      <c r="Y36" s="3242"/>
      <c r="Z36" s="1814" t="str">
        <f t="shared" si="15"/>
        <v>公共部分装修</v>
      </c>
      <c r="AA36" s="1811">
        <f t="shared" si="3"/>
        <v>0.98039215686274506</v>
      </c>
      <c r="AB36" s="1811">
        <f t="shared" si="4"/>
        <v>0.98039215686274506</v>
      </c>
      <c r="AC36" s="2677">
        <f t="shared" si="5"/>
        <v>0.98039215686274506</v>
      </c>
    </row>
    <row r="37" spans="1:29" ht="15">
      <c r="A37" s="472"/>
      <c r="B37" s="422" t="s">
        <v>2660</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240"/>
      <c r="Q37" s="1810" t="str">
        <f t="shared" si="11"/>
        <v>成新度</v>
      </c>
      <c r="R37" s="774" t="s">
        <v>17</v>
      </c>
      <c r="S37" s="775">
        <f t="shared" si="12"/>
        <v>102</v>
      </c>
      <c r="T37" s="774" t="s">
        <v>17</v>
      </c>
      <c r="U37" s="775">
        <f t="shared" si="13"/>
        <v>102</v>
      </c>
      <c r="V37" s="774" t="s">
        <v>17</v>
      </c>
      <c r="W37" s="775">
        <f t="shared" si="14"/>
        <v>102</v>
      </c>
      <c r="X37" s="1813"/>
      <c r="Y37" s="3242"/>
      <c r="Z37" s="1814" t="str">
        <f t="shared" si="15"/>
        <v>成新度</v>
      </c>
      <c r="AA37" s="1811">
        <f t="shared" si="3"/>
        <v>0.98039215686274506</v>
      </c>
      <c r="AB37" s="1811">
        <f t="shared" si="4"/>
        <v>0.98039215686274506</v>
      </c>
      <c r="AC37" s="2677">
        <f t="shared" si="5"/>
        <v>0.98039215686274506</v>
      </c>
    </row>
    <row r="38" spans="1:29" s="117" customFormat="1" ht="15">
      <c r="A38" s="473"/>
      <c r="B38" s="422" t="s">
        <v>2692</v>
      </c>
      <c r="C38" s="460" t="s">
        <v>3079</v>
      </c>
      <c r="D38" s="136">
        <v>100</v>
      </c>
      <c r="E38" s="460" t="s">
        <v>3077</v>
      </c>
      <c r="F38" s="461">
        <f>SUMIF(113:113,E38,114:114)-SUMIF(113:113,C38,114:114)+100</f>
        <v>100</v>
      </c>
      <c r="G38" s="460" t="s">
        <v>3079</v>
      </c>
      <c r="H38" s="435">
        <f>SUMIF(113:113,G38,114:114)-SUMIF(113:113,C38,114:114)+100</f>
        <v>100</v>
      </c>
      <c r="I38" s="460" t="s">
        <v>3077</v>
      </c>
      <c r="J38" s="435">
        <f>SUMIF(113:113,I38,114:114)-SUMIF(113:113,C38,114:114)+100</f>
        <v>100</v>
      </c>
      <c r="K38" s="612"/>
      <c r="L38" s="1133"/>
      <c r="M38" s="1134"/>
      <c r="N38" s="1134"/>
      <c r="O38" s="1134"/>
      <c r="P38" s="3240"/>
      <c r="Q38" s="1795"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4">
        <f t="shared" si="5"/>
        <v>1</v>
      </c>
    </row>
    <row r="39" spans="1:29" ht="15">
      <c r="A39" s="472"/>
      <c r="B39" s="422" t="s">
        <v>2693</v>
      </c>
      <c r="C39" s="460" t="s">
        <v>3063</v>
      </c>
      <c r="D39" s="435">
        <v>100</v>
      </c>
      <c r="E39" s="460" t="s">
        <v>3061</v>
      </c>
      <c r="F39" s="461">
        <f>SUMIF(115:115,E39,116:116)-SUMIF(115:115,C39,116:116)+100</f>
        <v>102</v>
      </c>
      <c r="G39" s="460" t="s">
        <v>3063</v>
      </c>
      <c r="H39" s="435">
        <f>SUMIF(115:115,G39,116:116)-SUMIF(115:115,C39,116:116)+100</f>
        <v>100</v>
      </c>
      <c r="I39" s="460" t="s">
        <v>3061</v>
      </c>
      <c r="J39" s="435">
        <f>SUMIF(115:115,I39,116:116)-SUMIF(115:115,C39,116:116)+100</f>
        <v>102</v>
      </c>
      <c r="K39" s="612">
        <v>2</v>
      </c>
      <c r="L39" s="1141"/>
      <c r="M39" s="1132"/>
      <c r="N39" s="1132"/>
      <c r="O39" s="1132"/>
      <c r="P39" s="3240" t="s">
        <v>2563</v>
      </c>
      <c r="Q39" s="1810" t="str">
        <f t="shared" si="11"/>
        <v>物业管理</v>
      </c>
      <c r="R39" s="774" t="s">
        <v>17</v>
      </c>
      <c r="S39" s="775">
        <f t="shared" si="12"/>
        <v>102</v>
      </c>
      <c r="T39" s="774" t="s">
        <v>17</v>
      </c>
      <c r="U39" s="775">
        <f t="shared" si="13"/>
        <v>100</v>
      </c>
      <c r="V39" s="774" t="s">
        <v>17</v>
      </c>
      <c r="W39" s="775">
        <f t="shared" si="14"/>
        <v>102</v>
      </c>
      <c r="X39" s="1813"/>
      <c r="Y39" s="3242" t="s">
        <v>2563</v>
      </c>
      <c r="Z39" s="1814" t="str">
        <f t="shared" si="15"/>
        <v>物业管理</v>
      </c>
      <c r="AA39" s="1811">
        <f t="shared" si="3"/>
        <v>0.98039215686274506</v>
      </c>
      <c r="AB39" s="1811">
        <f t="shared" si="4"/>
        <v>1</v>
      </c>
      <c r="AC39" s="2677">
        <f t="shared" si="5"/>
        <v>0.98039215686274506</v>
      </c>
    </row>
    <row r="40" spans="1:29" ht="15">
      <c r="A40" s="472"/>
      <c r="B40" s="422" t="s">
        <v>2661</v>
      </c>
      <c r="C40" s="460" t="s">
        <v>3062</v>
      </c>
      <c r="D40" s="435">
        <v>100</v>
      </c>
      <c r="E40" s="460" t="s">
        <v>3062</v>
      </c>
      <c r="F40" s="461">
        <f>SUMIF(117:117,E40,118:118)-SUMIF(117:117,C40,118:118)+100</f>
        <v>100</v>
      </c>
      <c r="G40" s="460" t="s">
        <v>3062</v>
      </c>
      <c r="H40" s="435">
        <f>SUMIF(117:117,G40,118:118)-SUMIF(117:117,C40,118:118)+100</f>
        <v>100</v>
      </c>
      <c r="I40" s="460" t="s">
        <v>3062</v>
      </c>
      <c r="J40" s="435">
        <f>SUMIF(117:117,I40,118:118)-SUMIF(117:117,C40,118:118)+100</f>
        <v>100</v>
      </c>
      <c r="K40" s="612">
        <v>1</v>
      </c>
      <c r="L40" s="1141"/>
      <c r="M40" s="1132"/>
      <c r="N40" s="1132"/>
      <c r="O40" s="1132"/>
      <c r="P40" s="3240"/>
      <c r="Q40" s="1810" t="str">
        <f t="shared" si="11"/>
        <v>市政基础设施</v>
      </c>
      <c r="R40" s="774" t="s">
        <v>17</v>
      </c>
      <c r="S40" s="775">
        <f t="shared" si="12"/>
        <v>100</v>
      </c>
      <c r="T40" s="774" t="s">
        <v>17</v>
      </c>
      <c r="U40" s="775">
        <f t="shared" si="13"/>
        <v>100</v>
      </c>
      <c r="V40" s="774" t="s">
        <v>17</v>
      </c>
      <c r="W40" s="775">
        <f t="shared" si="14"/>
        <v>100</v>
      </c>
      <c r="X40" s="1813"/>
      <c r="Y40" s="3242"/>
      <c r="Z40" s="1814" t="str">
        <f t="shared" si="15"/>
        <v>市政基础设施</v>
      </c>
      <c r="AA40" s="1811">
        <f t="shared" si="3"/>
        <v>1</v>
      </c>
      <c r="AB40" s="1811">
        <f t="shared" si="4"/>
        <v>1</v>
      </c>
      <c r="AC40" s="2677">
        <f t="shared" si="5"/>
        <v>1</v>
      </c>
    </row>
    <row r="41" spans="1:29" ht="15">
      <c r="A41" s="472"/>
      <c r="B41" s="422" t="s">
        <v>2663</v>
      </c>
      <c r="C41" s="616" t="s">
        <v>3088</v>
      </c>
      <c r="D41" s="435">
        <v>100</v>
      </c>
      <c r="E41" s="616" t="s">
        <v>3088</v>
      </c>
      <c r="F41" s="461">
        <f>SUMIF(119:119,E41,120:120)-SUMIF(119:119,C41,120:120)+100</f>
        <v>100</v>
      </c>
      <c r="G41" s="616" t="s">
        <v>3088</v>
      </c>
      <c r="H41" s="435">
        <f>SUMIF(119:119,G41,120:120)-SUMIF(119:119,C41,120:120)+100</f>
        <v>100</v>
      </c>
      <c r="I41" s="616" t="s">
        <v>3088</v>
      </c>
      <c r="J41" s="435">
        <f>SUMIF(119:119,I41,120:120)-SUMIF(119:119,C41,120:120)+100</f>
        <v>100</v>
      </c>
      <c r="K41" s="612">
        <v>1</v>
      </c>
      <c r="L41" s="1141"/>
      <c r="M41" s="1132"/>
      <c r="N41" s="1132"/>
      <c r="O41" s="1132"/>
      <c r="P41" s="3240"/>
      <c r="Q41" s="1810" t="str">
        <f t="shared" si="11"/>
        <v>层高</v>
      </c>
      <c r="R41" s="774" t="s">
        <v>17</v>
      </c>
      <c r="S41" s="775">
        <f t="shared" si="12"/>
        <v>100</v>
      </c>
      <c r="T41" s="774" t="s">
        <v>17</v>
      </c>
      <c r="U41" s="775">
        <f t="shared" si="13"/>
        <v>100</v>
      </c>
      <c r="V41" s="774" t="s">
        <v>17</v>
      </c>
      <c r="W41" s="775">
        <f t="shared" si="14"/>
        <v>100</v>
      </c>
      <c r="X41" s="1813"/>
      <c r="Y41" s="3242"/>
      <c r="Z41" s="1814" t="str">
        <f t="shared" si="15"/>
        <v>层高</v>
      </c>
      <c r="AA41" s="1811">
        <f t="shared" si="3"/>
        <v>1</v>
      </c>
      <c r="AB41" s="1811">
        <f t="shared" si="4"/>
        <v>1</v>
      </c>
      <c r="AC41" s="2677">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1">
        <f t="shared" si="3"/>
        <v>1</v>
      </c>
      <c r="AB42" s="1811">
        <f t="shared" si="4"/>
        <v>1</v>
      </c>
      <c r="AC42" s="2677">
        <f t="shared" si="5"/>
        <v>1</v>
      </c>
    </row>
    <row r="43" spans="1:29" ht="15">
      <c r="A43" s="472"/>
      <c r="B43" s="422" t="s">
        <v>2666</v>
      </c>
      <c r="C43" s="460" t="s">
        <v>3073</v>
      </c>
      <c r="D43" s="435">
        <v>100</v>
      </c>
      <c r="E43" s="460" t="s">
        <v>3071</v>
      </c>
      <c r="F43" s="461">
        <f>SUMIF(123:123,E43,124:124)-SUMIF(123:123,C43,124:124)+100</f>
        <v>103</v>
      </c>
      <c r="G43" s="460" t="s">
        <v>3071</v>
      </c>
      <c r="H43" s="435">
        <f>SUMIF(123:123,G43,124:124)-SUMIF(123:123,C43,124:124)+100</f>
        <v>103</v>
      </c>
      <c r="I43" s="460" t="s">
        <v>3073</v>
      </c>
      <c r="J43" s="435">
        <f>SUMIF(123:123,I43,124:124)-SUMIF(123:123,C43,124:124)+100</f>
        <v>100</v>
      </c>
      <c r="K43" s="612">
        <v>3</v>
      </c>
      <c r="L43" s="1141"/>
      <c r="M43" s="1132"/>
      <c r="N43" s="1132"/>
      <c r="O43" s="1132"/>
      <c r="P43" s="3240"/>
      <c r="Q43" s="1810" t="str">
        <f t="shared" si="11"/>
        <v>内部装修</v>
      </c>
      <c r="R43" s="774" t="s">
        <v>17</v>
      </c>
      <c r="S43" s="775">
        <f t="shared" si="12"/>
        <v>103</v>
      </c>
      <c r="T43" s="774" t="s">
        <v>17</v>
      </c>
      <c r="U43" s="775">
        <f t="shared" si="13"/>
        <v>103</v>
      </c>
      <c r="V43" s="774" t="s">
        <v>17</v>
      </c>
      <c r="W43" s="775">
        <f t="shared" si="14"/>
        <v>100</v>
      </c>
      <c r="X43" s="1813"/>
      <c r="Y43" s="3242"/>
      <c r="Z43" s="1814" t="str">
        <f t="shared" si="15"/>
        <v>内部装修</v>
      </c>
      <c r="AA43" s="1811">
        <f t="shared" si="3"/>
        <v>0.970873786407767</v>
      </c>
      <c r="AB43" s="1811">
        <f t="shared" si="4"/>
        <v>0.970873786407767</v>
      </c>
      <c r="AC43" s="2677">
        <f t="shared" si="5"/>
        <v>1</v>
      </c>
    </row>
    <row r="44" spans="1:29" ht="15">
      <c r="A44" s="472"/>
      <c r="B44" s="422" t="s">
        <v>2574</v>
      </c>
      <c r="C44" s="460" t="s">
        <v>3061</v>
      </c>
      <c r="D44" s="435">
        <v>100</v>
      </c>
      <c r="E44" s="2616" t="s">
        <v>3061</v>
      </c>
      <c r="F44" s="461">
        <f>SUMIF(125:125,E44,126:126)-SUMIF(125:125,C44,126:126)+100</f>
        <v>100</v>
      </c>
      <c r="G44" s="2616" t="s">
        <v>3061</v>
      </c>
      <c r="H44" s="435">
        <f>SUMIF(125:125,G44,126:126)-SUMIF(125:125,C44,126:126)+100</f>
        <v>100</v>
      </c>
      <c r="I44" s="2616" t="s">
        <v>3061</v>
      </c>
      <c r="J44" s="435">
        <f>SUMIF(125:125,I44,126:126)-SUMIF(125:125,C44,126:126)+100</f>
        <v>100</v>
      </c>
      <c r="K44" s="612">
        <v>1</v>
      </c>
      <c r="L44" s="1141"/>
      <c r="M44" s="1132"/>
      <c r="N44" s="1132"/>
      <c r="O44" s="1132"/>
      <c r="P44" s="3240"/>
      <c r="Q44" s="1810" t="str">
        <f t="shared" si="11"/>
        <v>内部装修维护情况</v>
      </c>
      <c r="R44" s="774" t="s">
        <v>17</v>
      </c>
      <c r="S44" s="775">
        <f t="shared" si="12"/>
        <v>100</v>
      </c>
      <c r="T44" s="774" t="s">
        <v>17</v>
      </c>
      <c r="U44" s="775">
        <f t="shared" si="13"/>
        <v>100</v>
      </c>
      <c r="V44" s="774" t="s">
        <v>17</v>
      </c>
      <c r="W44" s="775">
        <f t="shared" si="14"/>
        <v>100</v>
      </c>
      <c r="X44" s="1813"/>
      <c r="Y44" s="3242"/>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0"/>
      <c r="Q45" s="1795">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1"/>
      <c r="Q47" s="1810">
        <f t="shared" si="11"/>
        <v>111</v>
      </c>
      <c r="R47" s="774" t="s">
        <v>17</v>
      </c>
      <c r="S47" s="775">
        <f t="shared" si="12"/>
        <v>100</v>
      </c>
      <c r="T47" s="774" t="s">
        <v>17</v>
      </c>
      <c r="U47" s="775">
        <f t="shared" si="13"/>
        <v>100</v>
      </c>
      <c r="V47" s="774" t="s">
        <v>17</v>
      </c>
      <c r="W47" s="775">
        <f t="shared" si="14"/>
        <v>100</v>
      </c>
      <c r="X47" s="1813"/>
      <c r="Y47" s="3243"/>
      <c r="Z47" s="1814">
        <f t="shared" si="15"/>
        <v>111</v>
      </c>
      <c r="AA47" s="1811">
        <f t="shared" si="3"/>
        <v>1</v>
      </c>
      <c r="AB47" s="1811">
        <f t="shared" si="4"/>
        <v>1</v>
      </c>
      <c r="AC47" s="2677">
        <f t="shared" si="5"/>
        <v>1</v>
      </c>
    </row>
    <row r="48" spans="1:29" ht="15">
      <c r="A48" s="479" t="s">
        <v>2575</v>
      </c>
      <c r="B48" s="480"/>
      <c r="C48" s="1408" t="s">
        <v>1</v>
      </c>
      <c r="D48" s="1409"/>
      <c r="E48" s="2960">
        <v>4285</v>
      </c>
      <c r="F48" s="1411"/>
      <c r="G48" s="2961">
        <v>4387</v>
      </c>
      <c r="H48" s="1413"/>
      <c r="I48" s="1410">
        <v>4829</v>
      </c>
      <c r="J48" s="485"/>
      <c r="K48" s="783"/>
      <c r="L48" s="1144"/>
      <c r="M48" s="1132"/>
      <c r="N48" s="1132"/>
      <c r="O48" s="1132"/>
      <c r="P48" s="3217" t="str">
        <f>A48</f>
        <v>成交单价（元/平方米）</v>
      </c>
      <c r="Q48" s="3235"/>
      <c r="R48" s="3236">
        <f>E48</f>
        <v>4285</v>
      </c>
      <c r="S48" s="3236"/>
      <c r="T48" s="3236">
        <f>G48</f>
        <v>4387</v>
      </c>
      <c r="U48" s="3236"/>
      <c r="V48" s="3236">
        <f>I48</f>
        <v>4829</v>
      </c>
      <c r="W48" s="3236"/>
      <c r="X48" s="446"/>
      <c r="Y48" s="781"/>
      <c r="Z48" s="446"/>
      <c r="AA48" s="446"/>
      <c r="AB48" s="446"/>
      <c r="AC48" s="630"/>
    </row>
    <row r="49" spans="1:29" ht="15.75" thickBot="1">
      <c r="A49" s="486" t="s">
        <v>2667</v>
      </c>
      <c r="B49" s="487"/>
      <c r="C49" s="1414">
        <f>R50</f>
        <v>4149</v>
      </c>
      <c r="D49" s="1415"/>
      <c r="E49" s="1416">
        <f>R49</f>
        <v>3806</v>
      </c>
      <c r="F49" s="1416"/>
      <c r="G49" s="1414">
        <f>T49</f>
        <v>4224</v>
      </c>
      <c r="H49" s="1415"/>
      <c r="I49" s="1416">
        <f>V49</f>
        <v>4418</v>
      </c>
      <c r="J49" s="489"/>
      <c r="K49" s="784"/>
      <c r="L49" s="1144"/>
      <c r="M49" s="1132"/>
      <c r="N49" s="1132"/>
      <c r="O49" s="1132"/>
      <c r="P49" s="3217" t="str">
        <f>A49</f>
        <v>比较价值（元/平方米）</v>
      </c>
      <c r="Q49" s="3235"/>
      <c r="R49" s="3236">
        <f>IF(F1="售价",ROUND(PRODUCT(R48,AA7:AA47),0),ROUND(PRODUCT(R48,AA7:AA47),1))</f>
        <v>3806</v>
      </c>
      <c r="S49" s="3236"/>
      <c r="T49" s="3236">
        <f>IF(F1="售价",ROUND(PRODUCT(T48,AB7:AB47),0),ROUND(PRODUCT(T48,AB7:AB47),1))</f>
        <v>4224</v>
      </c>
      <c r="U49" s="3236"/>
      <c r="V49" s="3236">
        <f>IF(F1="售价",ROUND(PRODUCT(V48,AC7:AC47),0),ROUND(PRODUCT(V48,AC7:AC47),1))</f>
        <v>4418</v>
      </c>
      <c r="W49" s="3236"/>
      <c r="X49" s="446"/>
      <c r="Y49" s="446"/>
      <c r="Z49" s="446"/>
      <c r="AA49" s="446"/>
      <c r="AB49" s="446"/>
      <c r="AC49" s="630"/>
    </row>
    <row r="50" spans="1:29" ht="15.75" thickBot="1">
      <c r="A50" s="492" t="s">
        <v>2668</v>
      </c>
      <c r="B50" s="493"/>
      <c r="C50" s="1418">
        <f>R50</f>
        <v>4149</v>
      </c>
      <c r="D50" s="1418"/>
      <c r="E50" s="1418"/>
      <c r="F50" s="1418"/>
      <c r="G50" s="1418"/>
      <c r="H50" s="1418"/>
      <c r="I50" s="1418"/>
      <c r="J50" s="494"/>
      <c r="K50" s="785"/>
      <c r="L50" s="1144"/>
      <c r="M50" s="1132"/>
      <c r="N50" s="1132"/>
      <c r="O50" s="1132"/>
      <c r="P50" s="3299" t="str">
        <f>A50</f>
        <v>估价对象XX用房的比较价值（楼面单价，元/平方米）</v>
      </c>
      <c r="Q50" s="3300"/>
      <c r="R50" s="3301">
        <f>IF(F1="售价",ROUND(AVERAGE(R49:V49),0),ROUND(AVERAGE(R49:V49),1))</f>
        <v>4149</v>
      </c>
      <c r="S50" s="3301"/>
      <c r="T50" s="3301"/>
      <c r="U50" s="3301"/>
      <c r="V50" s="3301"/>
      <c r="W50" s="3301"/>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2669</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2670</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2671</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2672</v>
      </c>
      <c r="B58" s="759"/>
      <c r="C58" s="764"/>
      <c r="D58" s="764"/>
      <c r="E58" s="764"/>
      <c r="F58" s="765"/>
      <c r="G58" s="765"/>
      <c r="H58" s="764"/>
      <c r="I58" s="764"/>
      <c r="J58" s="764"/>
      <c r="K58" s="766"/>
      <c r="L58" s="1162"/>
      <c r="M58" s="1160"/>
      <c r="N58" s="1160"/>
      <c r="O58" s="1160"/>
      <c r="P58" s="2684"/>
      <c r="Q58" s="504"/>
    </row>
    <row r="59" spans="1:29" s="508" customFormat="1" ht="15">
      <c r="A59" s="505" t="s">
        <v>2546</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2586</v>
      </c>
      <c r="B64" s="528" t="s">
        <v>2552</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2697</v>
      </c>
      <c r="C87" s="2948" t="s">
        <v>3064</v>
      </c>
      <c r="D87" s="2948" t="s">
        <v>3065</v>
      </c>
      <c r="E87" s="2948" t="s">
        <v>3066</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3095</v>
      </c>
      <c r="D93" s="2948" t="s">
        <v>3097</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2561</v>
      </c>
      <c r="B101" s="528" t="s">
        <v>2610</v>
      </c>
      <c r="C101" s="2949" t="s">
        <v>3125</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2611</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2612</v>
      </c>
      <c r="C106" s="2948" t="s">
        <v>3068</v>
      </c>
      <c r="D106" s="2948" t="s">
        <v>3069</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2614</v>
      </c>
      <c r="C108" s="2948" t="s">
        <v>3070</v>
      </c>
      <c r="D108" s="2948" t="s">
        <v>3072</v>
      </c>
      <c r="E108" s="2948" t="s">
        <v>3074</v>
      </c>
      <c r="F108" s="2950" t="s">
        <v>3075</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2698</v>
      </c>
      <c r="C113" s="2948" t="s">
        <v>3076</v>
      </c>
      <c r="D113" s="2948" t="s">
        <v>3078</v>
      </c>
      <c r="E113" s="2948" t="s">
        <v>3080</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2615</v>
      </c>
      <c r="C115" s="2948" t="s">
        <v>3081</v>
      </c>
      <c r="D115" s="2948" t="s">
        <v>3082</v>
      </c>
      <c r="E115" s="2950" t="s">
        <v>3083</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2616</v>
      </c>
      <c r="C117" s="2948" t="s">
        <v>3084</v>
      </c>
      <c r="D117" s="2948" t="s">
        <v>3085</v>
      </c>
      <c r="E117" s="2948" t="s">
        <v>3086</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2699</v>
      </c>
      <c r="C119" s="2950" t="s">
        <v>3087</v>
      </c>
      <c r="D119" s="2950" t="s">
        <v>3089</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2618</v>
      </c>
      <c r="C123" s="2948" t="s">
        <v>3070</v>
      </c>
      <c r="D123" s="2948" t="s">
        <v>3072</v>
      </c>
      <c r="E123" s="2948" t="s">
        <v>3074</v>
      </c>
      <c r="F123" s="2950" t="s">
        <v>3075</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1625</v>
      </c>
      <c r="C4" s="2988"/>
      <c r="D4" s="2988"/>
      <c r="E4" s="1961"/>
    </row>
    <row r="5" spans="1:5" ht="16.5" thickTop="1">
      <c r="A5" s="1959"/>
      <c r="B5" s="2986" t="s">
        <v>1617</v>
      </c>
      <c r="C5" s="1962" t="s">
        <v>1618</v>
      </c>
      <c r="D5" s="1043">
        <f ca="1">结果表!H101</f>
        <v>6231</v>
      </c>
      <c r="E5" s="1959"/>
    </row>
    <row r="6" spans="1:5" ht="15.75">
      <c r="A6" s="1959"/>
      <c r="B6" s="2986"/>
      <c r="C6" s="1962" t="s">
        <v>1619</v>
      </c>
      <c r="D6" s="1043" t="str">
        <f ca="1">NUMBERSTRING(INT(D5*10000),2)&amp;"元整"</f>
        <v>陆仟贰佰叁拾壹万元整</v>
      </c>
      <c r="E6" s="1959"/>
    </row>
    <row r="7" spans="1:5" ht="15.75">
      <c r="A7" s="1959"/>
      <c r="B7" s="2991"/>
      <c r="C7" s="1963" t="s">
        <v>1620</v>
      </c>
      <c r="D7" s="1044">
        <f ca="1">结果表!H102</f>
        <v>4272</v>
      </c>
      <c r="E7" s="1959"/>
    </row>
    <row r="8" spans="1:5" ht="15.75">
      <c r="A8" s="1959"/>
      <c r="B8" s="2992" t="str">
        <f>结果表!E103</f>
        <v>2.估价师知悉的法定优先受偿款</v>
      </c>
      <c r="C8" s="1964" t="s">
        <v>1621</v>
      </c>
      <c r="D8" s="1044">
        <f>结果表!H103</f>
        <v>0</v>
      </c>
      <c r="E8" s="1959"/>
    </row>
    <row r="9" spans="1:5" ht="15.75">
      <c r="A9" s="1959"/>
      <c r="B9" s="2994"/>
      <c r="C9" s="1962" t="s">
        <v>1619</v>
      </c>
      <c r="D9" s="1043" t="str">
        <f>NUMBERSTRING(INT(D8*10000),2)&amp;"元整"</f>
        <v>零元整</v>
      </c>
      <c r="E9" s="1959"/>
    </row>
    <row r="10" spans="1:5" ht="15">
      <c r="A10" s="1959"/>
      <c r="B10" s="1965" t="s">
        <v>1624</v>
      </c>
      <c r="C10" s="1966" t="s">
        <v>1622</v>
      </c>
      <c r="D10" s="1045">
        <f>结果表!H104</f>
        <v>0</v>
      </c>
      <c r="E10" s="1959"/>
    </row>
    <row r="11" spans="1:5" ht="15">
      <c r="A11" s="1959"/>
      <c r="B11" s="1965" t="s">
        <v>1626</v>
      </c>
      <c r="C11" s="1966" t="s">
        <v>1627</v>
      </c>
      <c r="D11" s="1045">
        <f>结果表!H105</f>
        <v>0</v>
      </c>
      <c r="E11" s="1959"/>
    </row>
    <row r="12" spans="1:5" ht="15">
      <c r="A12" s="1959"/>
      <c r="B12" s="1965" t="s">
        <v>1628</v>
      </c>
      <c r="C12" s="1966" t="s">
        <v>1627</v>
      </c>
      <c r="D12" s="1045">
        <f>结果表!H106</f>
        <v>0</v>
      </c>
      <c r="E12" s="1959"/>
    </row>
    <row r="13" spans="1:5" ht="15.75">
      <c r="A13" s="1959"/>
      <c r="B13" s="2985" t="str">
        <f>结果表!E107</f>
        <v>3.房地产抵押价值</v>
      </c>
      <c r="C13" s="1967" t="s">
        <v>1618</v>
      </c>
      <c r="D13" s="1046">
        <f ca="1">结果表!H107</f>
        <v>6231</v>
      </c>
      <c r="E13" s="1959"/>
    </row>
    <row r="14" spans="1:5" ht="15.75">
      <c r="A14" s="1959"/>
      <c r="B14" s="2986"/>
      <c r="C14" s="1962" t="s">
        <v>1619</v>
      </c>
      <c r="D14" s="1043" t="str">
        <f ca="1">NUMBERSTRING(INT(D13*10000),2)&amp;"元整"</f>
        <v>陆仟贰佰叁拾壹万元整</v>
      </c>
      <c r="E14" s="1959"/>
    </row>
    <row r="15" spans="1:5" ht="15">
      <c r="A15" s="1959"/>
      <c r="B15" s="2991"/>
      <c r="C15" s="1963" t="s">
        <v>1629</v>
      </c>
      <c r="D15" s="1055">
        <f ca="1">结果表!H108</f>
        <v>4272</v>
      </c>
      <c r="E15" s="1959"/>
    </row>
    <row r="16" spans="1:5" ht="15">
      <c r="A16" s="1959"/>
      <c r="B16" s="2992" t="str">
        <f>结果表!E109</f>
        <v>——</v>
      </c>
      <c r="C16" s="1967" t="s">
        <v>1630</v>
      </c>
      <c r="D16" s="1968" t="str">
        <f>结果表!H109</f>
        <v>——</v>
      </c>
      <c r="E16" s="1959"/>
    </row>
    <row r="17" spans="1:5" ht="15.75">
      <c r="A17" s="1959"/>
      <c r="B17" s="2993"/>
      <c r="C17" s="1962" t="s">
        <v>1631</v>
      </c>
      <c r="D17" s="1043" t="e">
        <f>NUMBERSTRING(INT(D16*10000),2)&amp;"元整"</f>
        <v>#VALUE!</v>
      </c>
      <c r="E17" s="1959"/>
    </row>
    <row r="18" spans="1:5" ht="15">
      <c r="A18" s="1959"/>
      <c r="B18" s="2994"/>
      <c r="C18" s="1963" t="s">
        <v>1620</v>
      </c>
      <c r="D18" s="1055" t="str">
        <f>结果表!H110</f>
        <v>——</v>
      </c>
      <c r="E18" s="1959"/>
    </row>
    <row r="19" spans="1:5" ht="15.75">
      <c r="A19" s="1959"/>
      <c r="B19" s="2985" t="str">
        <f>结果表!E111</f>
        <v>——</v>
      </c>
      <c r="C19" s="1967" t="s">
        <v>1618</v>
      </c>
      <c r="D19" s="1044" t="str">
        <f>结果表!H111</f>
        <v>——</v>
      </c>
      <c r="E19" s="1959"/>
    </row>
    <row r="20" spans="1:5" ht="15.75">
      <c r="A20" s="1959"/>
      <c r="B20" s="2986"/>
      <c r="C20" s="1962" t="s">
        <v>1631</v>
      </c>
      <c r="D20" s="1043" t="e">
        <f>NUMBERSTRING(INT(D19*10000),2)&amp;"元整"</f>
        <v>#VALUE!</v>
      </c>
      <c r="E20" s="1959"/>
    </row>
    <row r="21" spans="1:5" ht="15.75" thickBot="1">
      <c r="A21" s="1959"/>
      <c r="B21" s="2987"/>
      <c r="C21" s="1969" t="s">
        <v>1629</v>
      </c>
      <c r="D21" s="1056"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6" sqref="S26:S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3005</v>
      </c>
      <c r="C1" s="3303" t="s">
        <v>3006</v>
      </c>
      <c r="D1" s="3304"/>
      <c r="E1" s="3304"/>
      <c r="F1" s="3304"/>
      <c r="G1" s="3304"/>
      <c r="H1" s="3304"/>
      <c r="I1" s="3304"/>
      <c r="J1" s="3304"/>
      <c r="K1" s="3304"/>
      <c r="L1" s="3304"/>
      <c r="M1" s="3304"/>
      <c r="N1" s="3304"/>
      <c r="O1" s="3304"/>
      <c r="P1" s="3304"/>
      <c r="Q1" s="3304"/>
      <c r="R1" s="3304"/>
      <c r="S1" s="3305"/>
      <c r="T1" s="1205" t="s">
        <v>3007</v>
      </c>
    </row>
    <row r="2" spans="1:45" s="707" customFormat="1" ht="38.25">
      <c r="A2" s="1206"/>
      <c r="B2" s="703" t="s">
        <v>3008</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3099</v>
      </c>
      <c r="C9" s="2957" t="s">
        <v>3100</v>
      </c>
      <c r="D9" s="2958" t="s">
        <v>3101</v>
      </c>
      <c r="E9" s="2958" t="s">
        <v>3103</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2955" t="s">
        <v>3109</v>
      </c>
      <c r="C13" s="2962"/>
      <c r="D13" s="2963"/>
      <c r="E13" s="2963"/>
      <c r="F13" s="2963"/>
      <c r="G13" s="2963"/>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3009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3010</v>
      </c>
      <c r="B17" s="2920" t="s">
        <v>3011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3012</v>
      </c>
      <c r="E19" s="1792"/>
      <c r="F19" s="1792"/>
      <c r="G19" s="1792"/>
      <c r="H19" s="1281"/>
      <c r="I19" s="168"/>
      <c r="J19" s="168"/>
      <c r="K19" s="168"/>
      <c r="L19" s="168"/>
      <c r="M19" s="168"/>
      <c r="N19" s="168"/>
      <c r="O19" s="168"/>
      <c r="P19" s="168"/>
      <c r="Q19" s="168"/>
      <c r="R19" s="788"/>
      <c r="S19" s="138"/>
    </row>
    <row r="20" spans="1:45" ht="16.5" thickBot="1">
      <c r="A20" s="715" t="s">
        <v>3013</v>
      </c>
      <c r="B20" s="338">
        <f ca="1">IF(D20="——",S22,S22-F20)</f>
        <v>6231</v>
      </c>
      <c r="C20" s="168"/>
      <c r="D20" s="2922" t="s">
        <v>70</v>
      </c>
      <c r="E20" s="1793"/>
      <c r="F20" s="1205" t="e">
        <f ca="1">SUMIF(INDIRECT("'"&amp;H20&amp;"'"&amp;"!A:A"),"承租人权益价值",INDIRECT("'"&amp;H20&amp;"'"&amp;"!c:c"))</f>
        <v>#REF!</v>
      </c>
      <c r="G20" s="1205" t="s">
        <v>3014</v>
      </c>
      <c r="H20" s="2923"/>
      <c r="I20" s="168"/>
      <c r="J20" s="168"/>
      <c r="K20" s="168"/>
      <c r="L20" s="168"/>
      <c r="M20" s="168"/>
      <c r="N20" s="168"/>
      <c r="O20" s="168"/>
      <c r="P20" s="168"/>
      <c r="Q20" s="168"/>
      <c r="R20" s="788"/>
      <c r="S20" s="138"/>
    </row>
    <row r="21" spans="1:45" ht="15.75">
      <c r="A21" s="715" t="s">
        <v>3015</v>
      </c>
      <c r="B21" s="338">
        <f ca="1">R22</f>
        <v>4272</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14583.990000000002</v>
      </c>
      <c r="C22" s="3085" t="s">
        <v>33</v>
      </c>
      <c r="D22" s="3086"/>
      <c r="E22" s="3086"/>
      <c r="F22" s="3086"/>
      <c r="G22" s="3086"/>
      <c r="H22" s="3086"/>
      <c r="I22" s="3086"/>
      <c r="J22" s="3086"/>
      <c r="K22" s="3086"/>
      <c r="L22" s="3086"/>
      <c r="M22" s="3086"/>
      <c r="N22" s="3086"/>
      <c r="O22" s="3086"/>
      <c r="P22" s="3086"/>
      <c r="Q22" s="3302"/>
      <c r="R22" s="716">
        <f ca="1">ROUND(S22*10000/B22,0)</f>
        <v>4272</v>
      </c>
      <c r="S22" s="24">
        <f ca="1">SUM(S24:S10000)</f>
        <v>6231</v>
      </c>
    </row>
    <row r="23" spans="1:45" s="12" customFormat="1" ht="24">
      <c r="A23" s="11" t="s">
        <v>3017</v>
      </c>
      <c r="B23" s="11" t="s">
        <v>3018</v>
      </c>
      <c r="C23" s="11" t="s">
        <v>3019</v>
      </c>
      <c r="D23" s="11">
        <f>B5</f>
        <v>0</v>
      </c>
      <c r="E23" s="11" t="s">
        <v>3019</v>
      </c>
      <c r="F23" s="11">
        <f>B7</f>
        <v>0</v>
      </c>
      <c r="G23" s="11" t="s">
        <v>3019</v>
      </c>
      <c r="H23" s="11" t="str">
        <f>B9</f>
        <v>临街状况</v>
      </c>
      <c r="I23" s="11" t="s">
        <v>3019</v>
      </c>
      <c r="J23" s="11">
        <f>B11</f>
        <v>0</v>
      </c>
      <c r="K23" s="11" t="s">
        <v>3019</v>
      </c>
      <c r="L23" s="11" t="str">
        <f>B13</f>
        <v>容积率</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1809.36</v>
      </c>
      <c r="C24" s="719">
        <v>1</v>
      </c>
      <c r="D24" s="2964"/>
      <c r="E24" s="719">
        <v>1</v>
      </c>
      <c r="F24" s="720"/>
      <c r="G24" s="719">
        <v>1</v>
      </c>
      <c r="H24" s="720" t="s">
        <v>3096</v>
      </c>
      <c r="I24" s="719">
        <v>1</v>
      </c>
      <c r="J24" s="720"/>
      <c r="K24" s="719">
        <v>1</v>
      </c>
      <c r="L24" s="720"/>
      <c r="M24" s="719">
        <v>1</v>
      </c>
      <c r="N24" s="720"/>
      <c r="O24" s="719">
        <v>1</v>
      </c>
      <c r="P24" s="720"/>
      <c r="Q24" s="719">
        <v>1</v>
      </c>
      <c r="R24" s="721">
        <f ca="1">'结果表 (2)'!G20</f>
        <v>4390</v>
      </c>
      <c r="S24" s="719">
        <f t="shared" ref="S24:S54" ca="1" si="11">ROUND(R24*B24/10000,0)</f>
        <v>794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2959" t="s">
        <v>3104</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3096</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4390</v>
      </c>
      <c r="S26" s="361">
        <f t="shared" ca="1" si="11"/>
        <v>871</v>
      </c>
      <c r="U26" s="795">
        <f ca="1">SUM(S26:S29)</f>
        <v>1802</v>
      </c>
      <c r="V26" s="795">
        <f>SUM(B26:B29)</f>
        <v>4161.22</v>
      </c>
      <c r="W26" s="795">
        <f ca="1">U26/V26*10000</f>
        <v>4330.4607783294323</v>
      </c>
    </row>
    <row r="27" spans="1:45">
      <c r="A27" s="159"/>
      <c r="B27" s="59">
        <v>612.94000000000005</v>
      </c>
      <c r="C27" s="24">
        <f t="shared" si="12"/>
        <v>0.99</v>
      </c>
      <c r="D27" s="2964"/>
      <c r="E27" s="24">
        <f t="shared" si="13"/>
        <v>1</v>
      </c>
      <c r="F27" s="720"/>
      <c r="G27" s="24">
        <f t="shared" si="14"/>
        <v>1</v>
      </c>
      <c r="H27" s="720" t="s">
        <v>3102</v>
      </c>
      <c r="I27" s="24">
        <f t="shared" si="15"/>
        <v>0.95</v>
      </c>
      <c r="J27" s="720"/>
      <c r="K27" s="24">
        <f t="shared" si="16"/>
        <v>1</v>
      </c>
      <c r="L27" s="720"/>
      <c r="M27" s="24">
        <f t="shared" si="17"/>
        <v>1</v>
      </c>
      <c r="N27" s="720"/>
      <c r="O27" s="24">
        <f t="shared" si="18"/>
        <v>1</v>
      </c>
      <c r="P27" s="720"/>
      <c r="Q27" s="24">
        <f t="shared" si="19"/>
        <v>1</v>
      </c>
      <c r="R27" s="716">
        <f t="shared" ca="1" si="20"/>
        <v>4129</v>
      </c>
      <c r="S27" s="361">
        <f t="shared" ca="1" si="11"/>
        <v>253</v>
      </c>
    </row>
    <row r="28" spans="1:45">
      <c r="A28" s="159"/>
      <c r="B28" s="59">
        <v>360.5</v>
      </c>
      <c r="C28" s="24">
        <f t="shared" si="12"/>
        <v>0.99</v>
      </c>
      <c r="D28" s="2964"/>
      <c r="E28" s="24">
        <f t="shared" si="13"/>
        <v>1</v>
      </c>
      <c r="F28" s="720"/>
      <c r="G28" s="24">
        <f t="shared" si="14"/>
        <v>1</v>
      </c>
      <c r="H28" s="720" t="s">
        <v>3102</v>
      </c>
      <c r="I28" s="24">
        <f t="shared" si="15"/>
        <v>0.95</v>
      </c>
      <c r="J28" s="720"/>
      <c r="K28" s="24">
        <f t="shared" si="16"/>
        <v>1</v>
      </c>
      <c r="L28" s="720"/>
      <c r="M28" s="24">
        <f t="shared" si="17"/>
        <v>1</v>
      </c>
      <c r="N28" s="720"/>
      <c r="O28" s="24">
        <f t="shared" si="18"/>
        <v>1</v>
      </c>
      <c r="P28" s="720"/>
      <c r="Q28" s="24">
        <f t="shared" si="19"/>
        <v>1</v>
      </c>
      <c r="R28" s="716">
        <f t="shared" ca="1" si="20"/>
        <v>4129</v>
      </c>
      <c r="S28" s="361">
        <f t="shared" ca="1" si="11"/>
        <v>149</v>
      </c>
    </row>
    <row r="29" spans="1:45">
      <c r="A29" s="159"/>
      <c r="B29" s="59">
        <v>1204</v>
      </c>
      <c r="C29" s="24">
        <f t="shared" si="12"/>
        <v>1</v>
      </c>
      <c r="D29" s="2964"/>
      <c r="E29" s="24">
        <f t="shared" si="13"/>
        <v>1</v>
      </c>
      <c r="F29" s="720"/>
      <c r="G29" s="24">
        <f t="shared" si="14"/>
        <v>1</v>
      </c>
      <c r="H29" s="720" t="s">
        <v>3096</v>
      </c>
      <c r="I29" s="24">
        <f t="shared" si="15"/>
        <v>1</v>
      </c>
      <c r="J29" s="720"/>
      <c r="K29" s="24">
        <f t="shared" si="16"/>
        <v>1</v>
      </c>
      <c r="L29" s="720"/>
      <c r="M29" s="24">
        <f t="shared" si="17"/>
        <v>1</v>
      </c>
      <c r="N29" s="720"/>
      <c r="O29" s="24">
        <f t="shared" si="18"/>
        <v>1</v>
      </c>
      <c r="P29" s="720"/>
      <c r="Q29" s="24">
        <f t="shared" si="19"/>
        <v>1</v>
      </c>
      <c r="R29" s="716">
        <f t="shared" ca="1" si="20"/>
        <v>4390</v>
      </c>
      <c r="S29" s="361">
        <f t="shared" ca="1" si="11"/>
        <v>529</v>
      </c>
    </row>
    <row r="30" spans="1:45" hidden="1">
      <c r="A30" s="2959" t="s">
        <v>3106</v>
      </c>
      <c r="B30" s="59"/>
      <c r="C30" s="24">
        <f t="shared" si="12"/>
        <v>1</v>
      </c>
      <c r="D30" s="2964"/>
      <c r="E30" s="24">
        <f t="shared" si="13"/>
        <v>1</v>
      </c>
      <c r="F30" s="720"/>
      <c r="G30" s="24">
        <f t="shared" si="14"/>
        <v>1</v>
      </c>
      <c r="H30" s="720" t="s">
        <v>3102</v>
      </c>
      <c r="I30" s="24">
        <f t="shared" si="15"/>
        <v>0.95</v>
      </c>
      <c r="J30" s="720" t="s">
        <v>3105</v>
      </c>
      <c r="K30" s="24">
        <f t="shared" si="16"/>
        <v>1</v>
      </c>
      <c r="L30" s="720"/>
      <c r="M30" s="24">
        <f t="shared" si="17"/>
        <v>1</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3102</v>
      </c>
      <c r="I31" s="24">
        <f t="shared" si="15"/>
        <v>0.95</v>
      </c>
      <c r="J31" s="720" t="s">
        <v>3105</v>
      </c>
      <c r="K31" s="24">
        <f t="shared" si="16"/>
        <v>1</v>
      </c>
      <c r="L31" s="720"/>
      <c r="M31" s="24">
        <f t="shared" si="17"/>
        <v>1</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3102</v>
      </c>
      <c r="I32" s="24">
        <f t="shared" si="15"/>
        <v>0.95</v>
      </c>
      <c r="J32" s="720" t="s">
        <v>3105</v>
      </c>
      <c r="K32" s="24">
        <f t="shared" si="16"/>
        <v>1</v>
      </c>
      <c r="L32" s="720"/>
      <c r="M32" s="24">
        <f t="shared" si="17"/>
        <v>1</v>
      </c>
      <c r="N32" s="720"/>
      <c r="O32" s="24">
        <f t="shared" si="18"/>
        <v>1</v>
      </c>
      <c r="P32" s="720"/>
      <c r="Q32" s="24">
        <f t="shared" si="19"/>
        <v>1</v>
      </c>
      <c r="R32" s="716">
        <f t="shared" si="20"/>
        <v>0</v>
      </c>
      <c r="S32" s="361">
        <f t="shared" si="11"/>
        <v>0</v>
      </c>
    </row>
    <row r="33" spans="1:23" hidden="1">
      <c r="A33" s="159"/>
      <c r="B33" s="59"/>
      <c r="C33" s="24">
        <f t="shared" si="12"/>
        <v>1</v>
      </c>
      <c r="D33" s="2964"/>
      <c r="E33" s="24">
        <f t="shared" si="13"/>
        <v>1</v>
      </c>
      <c r="F33" s="720"/>
      <c r="G33" s="24">
        <f t="shared" si="14"/>
        <v>1</v>
      </c>
      <c r="H33" s="720" t="s">
        <v>3102</v>
      </c>
      <c r="I33" s="24">
        <f t="shared" si="15"/>
        <v>0.95</v>
      </c>
      <c r="J33" s="720">
        <v>6</v>
      </c>
      <c r="K33" s="24">
        <f t="shared" si="16"/>
        <v>1</v>
      </c>
      <c r="L33" s="720"/>
      <c r="M33" s="24">
        <f t="shared" si="17"/>
        <v>1</v>
      </c>
      <c r="N33" s="720"/>
      <c r="O33" s="24">
        <f t="shared" si="18"/>
        <v>1</v>
      </c>
      <c r="P33" s="720"/>
      <c r="Q33" s="24">
        <f t="shared" si="19"/>
        <v>1</v>
      </c>
      <c r="R33" s="716">
        <f t="shared" si="20"/>
        <v>0</v>
      </c>
      <c r="S33" s="361">
        <f t="shared" si="11"/>
        <v>0</v>
      </c>
    </row>
    <row r="34" spans="1:23" hidden="1">
      <c r="A34" s="159"/>
      <c r="B34" s="59"/>
      <c r="C34" s="24">
        <f t="shared" si="12"/>
        <v>1</v>
      </c>
      <c r="D34" s="2964"/>
      <c r="E34" s="24">
        <f t="shared" si="13"/>
        <v>1</v>
      </c>
      <c r="F34" s="720"/>
      <c r="G34" s="24">
        <f t="shared" si="14"/>
        <v>1</v>
      </c>
      <c r="H34" s="720" t="s">
        <v>3102</v>
      </c>
      <c r="I34" s="24">
        <f t="shared" si="15"/>
        <v>0.95</v>
      </c>
      <c r="J34" s="720" t="s">
        <v>3105</v>
      </c>
      <c r="K34" s="24">
        <f t="shared" si="16"/>
        <v>1</v>
      </c>
      <c r="L34" s="720"/>
      <c r="M34" s="24">
        <f t="shared" si="17"/>
        <v>1</v>
      </c>
      <c r="N34" s="720"/>
      <c r="O34" s="24">
        <f t="shared" si="18"/>
        <v>1</v>
      </c>
      <c r="P34" s="720"/>
      <c r="Q34" s="24">
        <f t="shared" si="19"/>
        <v>1</v>
      </c>
      <c r="R34" s="716">
        <f t="shared" si="20"/>
        <v>0</v>
      </c>
      <c r="S34" s="361">
        <f t="shared" si="11"/>
        <v>0</v>
      </c>
    </row>
    <row r="35" spans="1:23" hidden="1">
      <c r="A35" s="159"/>
      <c r="B35" s="59"/>
      <c r="C35" s="24">
        <f t="shared" si="12"/>
        <v>1</v>
      </c>
      <c r="D35" s="2964"/>
      <c r="E35" s="24">
        <f t="shared" si="13"/>
        <v>1</v>
      </c>
      <c r="F35" s="720"/>
      <c r="G35" s="24">
        <f t="shared" si="14"/>
        <v>1</v>
      </c>
      <c r="H35" s="720" t="s">
        <v>3096</v>
      </c>
      <c r="I35" s="24">
        <f t="shared" si="15"/>
        <v>1</v>
      </c>
      <c r="J35" s="720" t="s">
        <v>3105</v>
      </c>
      <c r="K35" s="24">
        <f t="shared" si="16"/>
        <v>1</v>
      </c>
      <c r="L35" s="720"/>
      <c r="M35" s="24">
        <f t="shared" si="17"/>
        <v>1</v>
      </c>
      <c r="N35" s="720"/>
      <c r="O35" s="24">
        <f t="shared" si="18"/>
        <v>1</v>
      </c>
      <c r="P35" s="720"/>
      <c r="Q35" s="24">
        <f t="shared" si="19"/>
        <v>1</v>
      </c>
      <c r="R35" s="716">
        <f t="shared" si="20"/>
        <v>0</v>
      </c>
      <c r="S35" s="361">
        <f t="shared" si="11"/>
        <v>0</v>
      </c>
    </row>
    <row r="36" spans="1:23" hidden="1">
      <c r="A36" s="159"/>
      <c r="B36" s="59"/>
      <c r="C36" s="24">
        <f t="shared" si="12"/>
        <v>1</v>
      </c>
      <c r="D36" s="2964"/>
      <c r="E36" s="24">
        <f t="shared" si="13"/>
        <v>1</v>
      </c>
      <c r="F36" s="720"/>
      <c r="G36" s="24">
        <f t="shared" si="14"/>
        <v>1</v>
      </c>
      <c r="H36" s="720" t="s">
        <v>3094</v>
      </c>
      <c r="I36" s="24">
        <f t="shared" si="15"/>
        <v>1.05</v>
      </c>
      <c r="J36" s="720">
        <v>4</v>
      </c>
      <c r="K36" s="24">
        <f t="shared" si="16"/>
        <v>1</v>
      </c>
      <c r="L36" s="720"/>
      <c r="M36" s="24">
        <f t="shared" si="17"/>
        <v>1</v>
      </c>
      <c r="N36" s="720"/>
      <c r="O36" s="24">
        <f t="shared" si="18"/>
        <v>1</v>
      </c>
      <c r="P36" s="720"/>
      <c r="Q36" s="24">
        <f t="shared" si="19"/>
        <v>1</v>
      </c>
      <c r="R36" s="716">
        <f t="shared" si="20"/>
        <v>0</v>
      </c>
      <c r="S36" s="361">
        <f t="shared" si="11"/>
        <v>0</v>
      </c>
    </row>
    <row r="37" spans="1:23">
      <c r="A37" s="2959" t="s">
        <v>3107</v>
      </c>
      <c r="B37" s="59">
        <v>2083.1999999999998</v>
      </c>
      <c r="C37" s="24">
        <f t="shared" si="12"/>
        <v>1</v>
      </c>
      <c r="D37" s="2964"/>
      <c r="E37" s="24">
        <f t="shared" si="13"/>
        <v>1</v>
      </c>
      <c r="F37" s="720"/>
      <c r="G37" s="24">
        <f t="shared" si="14"/>
        <v>1</v>
      </c>
      <c r="H37" s="720" t="s">
        <v>3102</v>
      </c>
      <c r="I37" s="24">
        <f t="shared" si="15"/>
        <v>0.95</v>
      </c>
      <c r="J37" s="720"/>
      <c r="K37" s="24">
        <f t="shared" si="16"/>
        <v>1</v>
      </c>
      <c r="L37" s="720"/>
      <c r="M37" s="24">
        <f t="shared" si="17"/>
        <v>1</v>
      </c>
      <c r="N37" s="720"/>
      <c r="O37" s="24">
        <f t="shared" si="18"/>
        <v>1</v>
      </c>
      <c r="P37" s="720"/>
      <c r="Q37" s="24">
        <f t="shared" si="19"/>
        <v>1</v>
      </c>
      <c r="R37" s="716">
        <f t="shared" ca="1" si="20"/>
        <v>4171</v>
      </c>
      <c r="S37" s="361">
        <f t="shared" ca="1" si="11"/>
        <v>869</v>
      </c>
      <c r="U37" s="795">
        <f ca="1">SUM(S37:S46)</f>
        <v>3635</v>
      </c>
      <c r="V37" s="795">
        <f>SUM(B37:B46)</f>
        <v>8613.41</v>
      </c>
      <c r="W37" s="795">
        <f ca="1">U37/V37*10000</f>
        <v>4220.1636750137286</v>
      </c>
    </row>
    <row r="38" spans="1:23">
      <c r="A38" s="159"/>
      <c r="B38" s="59">
        <v>1641.8</v>
      </c>
      <c r="C38" s="24">
        <f t="shared" si="12"/>
        <v>1</v>
      </c>
      <c r="D38" s="2964"/>
      <c r="E38" s="24">
        <f t="shared" si="13"/>
        <v>1</v>
      </c>
      <c r="F38" s="720"/>
      <c r="G38" s="24">
        <f t="shared" si="14"/>
        <v>1</v>
      </c>
      <c r="H38" s="720" t="s">
        <v>3102</v>
      </c>
      <c r="I38" s="24">
        <f t="shared" si="15"/>
        <v>0.95</v>
      </c>
      <c r="J38" s="720"/>
      <c r="K38" s="24">
        <f t="shared" si="16"/>
        <v>1</v>
      </c>
      <c r="L38" s="720"/>
      <c r="M38" s="24">
        <f t="shared" si="17"/>
        <v>1</v>
      </c>
      <c r="N38" s="720"/>
      <c r="O38" s="24">
        <f t="shared" si="18"/>
        <v>1</v>
      </c>
      <c r="P38" s="720"/>
      <c r="Q38" s="24">
        <f t="shared" si="19"/>
        <v>1</v>
      </c>
      <c r="R38" s="716">
        <f t="shared" ca="1" si="20"/>
        <v>4171</v>
      </c>
      <c r="S38" s="361">
        <f t="shared" ca="1" si="11"/>
        <v>685</v>
      </c>
    </row>
    <row r="39" spans="1:23">
      <c r="A39" s="159"/>
      <c r="B39" s="59">
        <v>65</v>
      </c>
      <c r="C39" s="24">
        <f t="shared" si="12"/>
        <v>0.99</v>
      </c>
      <c r="D39" s="2964"/>
      <c r="E39" s="24">
        <f t="shared" si="13"/>
        <v>1</v>
      </c>
      <c r="F39" s="720"/>
      <c r="G39" s="24">
        <f t="shared" si="14"/>
        <v>1</v>
      </c>
      <c r="H39" s="720" t="s">
        <v>3102</v>
      </c>
      <c r="I39" s="24">
        <f t="shared" si="15"/>
        <v>0.95</v>
      </c>
      <c r="J39" s="720"/>
      <c r="K39" s="24">
        <f t="shared" si="16"/>
        <v>1</v>
      </c>
      <c r="L39" s="720"/>
      <c r="M39" s="24">
        <f t="shared" si="17"/>
        <v>1</v>
      </c>
      <c r="N39" s="720"/>
      <c r="O39" s="24">
        <f t="shared" si="18"/>
        <v>1</v>
      </c>
      <c r="P39" s="720"/>
      <c r="Q39" s="24">
        <f t="shared" si="19"/>
        <v>1</v>
      </c>
      <c r="R39" s="716">
        <f t="shared" ca="1" si="20"/>
        <v>4129</v>
      </c>
      <c r="S39" s="361">
        <f t="shared" ca="1" si="11"/>
        <v>27</v>
      </c>
    </row>
    <row r="40" spans="1:23">
      <c r="A40" s="159"/>
      <c r="B40" s="59">
        <v>865.09</v>
      </c>
      <c r="C40" s="24">
        <f t="shared" si="12"/>
        <v>0.99</v>
      </c>
      <c r="D40" s="2964"/>
      <c r="E40" s="24">
        <f t="shared" si="13"/>
        <v>1</v>
      </c>
      <c r="F40" s="720"/>
      <c r="G40" s="24">
        <f t="shared" si="14"/>
        <v>1</v>
      </c>
      <c r="H40" s="720" t="s">
        <v>3096</v>
      </c>
      <c r="I40" s="24">
        <f t="shared" si="15"/>
        <v>1</v>
      </c>
      <c r="J40" s="720"/>
      <c r="K40" s="24">
        <f t="shared" si="16"/>
        <v>1</v>
      </c>
      <c r="L40" s="720"/>
      <c r="M40" s="24">
        <f t="shared" si="17"/>
        <v>1</v>
      </c>
      <c r="N40" s="720"/>
      <c r="O40" s="24">
        <f t="shared" si="18"/>
        <v>1</v>
      </c>
      <c r="P40" s="720"/>
      <c r="Q40" s="24">
        <f t="shared" si="19"/>
        <v>1</v>
      </c>
      <c r="R40" s="716">
        <f t="shared" ca="1" si="20"/>
        <v>4346</v>
      </c>
      <c r="S40" s="361">
        <f t="shared" ca="1" si="11"/>
        <v>376</v>
      </c>
    </row>
    <row r="41" spans="1:23">
      <c r="A41" s="159"/>
      <c r="B41" s="59">
        <v>1326</v>
      </c>
      <c r="C41" s="24">
        <f t="shared" si="12"/>
        <v>1</v>
      </c>
      <c r="D41" s="2964"/>
      <c r="E41" s="24">
        <f t="shared" si="13"/>
        <v>1</v>
      </c>
      <c r="F41" s="720"/>
      <c r="G41" s="24">
        <f t="shared" si="14"/>
        <v>1</v>
      </c>
      <c r="H41" s="720" t="s">
        <v>3102</v>
      </c>
      <c r="I41" s="24">
        <f t="shared" si="15"/>
        <v>0.95</v>
      </c>
      <c r="J41" s="720"/>
      <c r="K41" s="24">
        <f t="shared" si="16"/>
        <v>1</v>
      </c>
      <c r="L41" s="720"/>
      <c r="M41" s="24">
        <f t="shared" si="17"/>
        <v>1</v>
      </c>
      <c r="N41" s="720"/>
      <c r="O41" s="24">
        <f t="shared" si="18"/>
        <v>1</v>
      </c>
      <c r="P41" s="720"/>
      <c r="Q41" s="24">
        <f t="shared" si="19"/>
        <v>1</v>
      </c>
      <c r="R41" s="716">
        <f t="shared" ca="1" si="20"/>
        <v>4171</v>
      </c>
      <c r="S41" s="361">
        <f t="shared" ca="1" si="11"/>
        <v>553</v>
      </c>
    </row>
    <row r="42" spans="1:23">
      <c r="A42" s="159"/>
      <c r="B42" s="59">
        <v>576</v>
      </c>
      <c r="C42" s="24">
        <f t="shared" si="12"/>
        <v>0.99</v>
      </c>
      <c r="D42" s="2964"/>
      <c r="E42" s="24">
        <f t="shared" si="13"/>
        <v>1</v>
      </c>
      <c r="F42" s="720"/>
      <c r="G42" s="24">
        <f t="shared" si="14"/>
        <v>1</v>
      </c>
      <c r="H42" s="720" t="s">
        <v>3102</v>
      </c>
      <c r="I42" s="24">
        <f t="shared" si="15"/>
        <v>0.95</v>
      </c>
      <c r="J42" s="720"/>
      <c r="K42" s="24">
        <f t="shared" si="16"/>
        <v>1</v>
      </c>
      <c r="L42" s="720"/>
      <c r="M42" s="24">
        <f t="shared" si="17"/>
        <v>1</v>
      </c>
      <c r="N42" s="720"/>
      <c r="O42" s="24">
        <f t="shared" si="18"/>
        <v>1</v>
      </c>
      <c r="P42" s="720"/>
      <c r="Q42" s="24">
        <f t="shared" si="19"/>
        <v>1</v>
      </c>
      <c r="R42" s="716">
        <f t="shared" ca="1" si="20"/>
        <v>4129</v>
      </c>
      <c r="S42" s="361">
        <f t="shared" ca="1" si="11"/>
        <v>238</v>
      </c>
    </row>
    <row r="43" spans="1:23">
      <c r="A43" s="159"/>
      <c r="B43" s="59">
        <v>1336.2</v>
      </c>
      <c r="C43" s="24">
        <f t="shared" si="12"/>
        <v>1</v>
      </c>
      <c r="D43" s="2964"/>
      <c r="E43" s="24">
        <f t="shared" si="13"/>
        <v>1</v>
      </c>
      <c r="F43" s="720"/>
      <c r="G43" s="24">
        <f t="shared" si="14"/>
        <v>1</v>
      </c>
      <c r="H43" s="720" t="s">
        <v>3096</v>
      </c>
      <c r="I43" s="24">
        <f t="shared" si="15"/>
        <v>1</v>
      </c>
      <c r="J43" s="720"/>
      <c r="K43" s="24">
        <f t="shared" si="16"/>
        <v>1</v>
      </c>
      <c r="L43" s="720"/>
      <c r="M43" s="24">
        <f t="shared" si="17"/>
        <v>1</v>
      </c>
      <c r="N43" s="720"/>
      <c r="O43" s="24">
        <f t="shared" si="18"/>
        <v>1</v>
      </c>
      <c r="P43" s="720"/>
      <c r="Q43" s="24">
        <f t="shared" si="19"/>
        <v>1</v>
      </c>
      <c r="R43" s="716">
        <f t="shared" ca="1" si="20"/>
        <v>4390</v>
      </c>
      <c r="S43" s="361">
        <f t="shared" ca="1" si="11"/>
        <v>587</v>
      </c>
    </row>
    <row r="44" spans="1:23">
      <c r="A44" s="159"/>
      <c r="B44" s="59">
        <v>269.44</v>
      </c>
      <c r="C44" s="24">
        <f t="shared" si="12"/>
        <v>0.99</v>
      </c>
      <c r="D44" s="2964"/>
      <c r="E44" s="24">
        <f t="shared" si="13"/>
        <v>1</v>
      </c>
      <c r="F44" s="720"/>
      <c r="G44" s="24">
        <f t="shared" si="14"/>
        <v>1</v>
      </c>
      <c r="H44" s="720" t="s">
        <v>3102</v>
      </c>
      <c r="I44" s="24">
        <f t="shared" si="15"/>
        <v>0.95</v>
      </c>
      <c r="J44" s="720"/>
      <c r="K44" s="24">
        <f t="shared" si="16"/>
        <v>1</v>
      </c>
      <c r="L44" s="720"/>
      <c r="M44" s="24">
        <f t="shared" si="17"/>
        <v>1</v>
      </c>
      <c r="N44" s="720"/>
      <c r="O44" s="24">
        <f t="shared" si="18"/>
        <v>1</v>
      </c>
      <c r="P44" s="720"/>
      <c r="Q44" s="24">
        <f t="shared" si="19"/>
        <v>1</v>
      </c>
      <c r="R44" s="716">
        <f t="shared" ca="1" si="20"/>
        <v>4129</v>
      </c>
      <c r="S44" s="361">
        <f t="shared" ca="1" si="11"/>
        <v>111</v>
      </c>
    </row>
    <row r="45" spans="1:23">
      <c r="A45" s="159"/>
      <c r="B45" s="59">
        <v>312.92</v>
      </c>
      <c r="C45" s="24">
        <f t="shared" si="12"/>
        <v>0.99</v>
      </c>
      <c r="D45" s="2964"/>
      <c r="E45" s="24">
        <f t="shared" si="13"/>
        <v>1</v>
      </c>
      <c r="F45" s="720"/>
      <c r="G45" s="24">
        <f t="shared" si="14"/>
        <v>1</v>
      </c>
      <c r="H45" s="720" t="s">
        <v>3102</v>
      </c>
      <c r="I45" s="24">
        <f t="shared" si="15"/>
        <v>0.95</v>
      </c>
      <c r="J45" s="720"/>
      <c r="K45" s="24">
        <f t="shared" si="16"/>
        <v>1</v>
      </c>
      <c r="L45" s="720"/>
      <c r="M45" s="24">
        <f t="shared" si="17"/>
        <v>1</v>
      </c>
      <c r="N45" s="720"/>
      <c r="O45" s="24">
        <f t="shared" si="18"/>
        <v>1</v>
      </c>
      <c r="P45" s="720"/>
      <c r="Q45" s="24">
        <f t="shared" si="19"/>
        <v>1</v>
      </c>
      <c r="R45" s="716">
        <f t="shared" ca="1" si="20"/>
        <v>4129</v>
      </c>
      <c r="S45" s="361">
        <f t="shared" ca="1" si="11"/>
        <v>129</v>
      </c>
    </row>
    <row r="46" spans="1:23">
      <c r="A46" s="159"/>
      <c r="B46" s="59">
        <v>137.76</v>
      </c>
      <c r="C46" s="24">
        <f t="shared" si="12"/>
        <v>0.99</v>
      </c>
      <c r="D46" s="2964"/>
      <c r="E46" s="24">
        <f t="shared" si="13"/>
        <v>1</v>
      </c>
      <c r="F46" s="720"/>
      <c r="G46" s="24">
        <f t="shared" si="14"/>
        <v>1</v>
      </c>
      <c r="H46" s="720" t="s">
        <v>3096</v>
      </c>
      <c r="I46" s="24">
        <f t="shared" si="15"/>
        <v>1</v>
      </c>
      <c r="J46" s="720"/>
      <c r="K46" s="24">
        <f t="shared" si="16"/>
        <v>1</v>
      </c>
      <c r="L46" s="720"/>
      <c r="M46" s="24">
        <f t="shared" si="17"/>
        <v>1</v>
      </c>
      <c r="N46" s="720"/>
      <c r="O46" s="24">
        <f t="shared" si="18"/>
        <v>1</v>
      </c>
      <c r="P46" s="720"/>
      <c r="Q46" s="24">
        <f t="shared" si="19"/>
        <v>1</v>
      </c>
      <c r="R46" s="716">
        <f t="shared" ca="1" si="20"/>
        <v>4346</v>
      </c>
      <c r="S46" s="361">
        <f t="shared" ca="1" si="11"/>
        <v>60</v>
      </c>
    </row>
    <row r="47" spans="1:23">
      <c r="A47" s="159"/>
      <c r="B47" s="59"/>
      <c r="C47" s="24">
        <f t="shared" si="12"/>
        <v>1</v>
      </c>
      <c r="D47" s="2964"/>
      <c r="E47" s="24">
        <f t="shared" si="13"/>
        <v>1</v>
      </c>
      <c r="F47" s="720"/>
      <c r="G47" s="24">
        <f t="shared" si="14"/>
        <v>1</v>
      </c>
      <c r="H47" s="720"/>
      <c r="I47" s="24">
        <f t="shared" si="15"/>
        <v>0.05</v>
      </c>
      <c r="J47" s="720"/>
      <c r="K47" s="24">
        <f t="shared" si="16"/>
        <v>1</v>
      </c>
      <c r="L47" s="720"/>
      <c r="M47" s="24">
        <f t="shared" si="17"/>
        <v>1</v>
      </c>
      <c r="N47" s="720"/>
      <c r="O47" s="24">
        <f t="shared" si="18"/>
        <v>1</v>
      </c>
      <c r="P47" s="720"/>
      <c r="Q47" s="24">
        <f t="shared" si="19"/>
        <v>1</v>
      </c>
      <c r="R47" s="716">
        <f t="shared" si="20"/>
        <v>0</v>
      </c>
      <c r="S47" s="361">
        <f t="shared" si="11"/>
        <v>0</v>
      </c>
    </row>
    <row r="48" spans="1:23">
      <c r="A48" s="159"/>
      <c r="B48" s="59"/>
      <c r="C48" s="24">
        <f t="shared" si="12"/>
        <v>1</v>
      </c>
      <c r="D48" s="2964"/>
      <c r="E48" s="24">
        <f t="shared" si="13"/>
        <v>1</v>
      </c>
      <c r="F48" s="720"/>
      <c r="G48" s="24">
        <f t="shared" si="14"/>
        <v>1</v>
      </c>
      <c r="H48" s="720"/>
      <c r="I48" s="24">
        <f t="shared" si="15"/>
        <v>0.05</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28920</v>
      </c>
      <c r="C2" s="2" t="s">
        <v>133</v>
      </c>
      <c r="D2" s="243"/>
      <c r="E2" s="243"/>
      <c r="F2" s="243"/>
      <c r="G2" s="243"/>
    </row>
    <row r="3" spans="1:7" s="244" customFormat="1" ht="18" customHeight="1" thickBot="1">
      <c r="A3" s="247" t="s">
        <v>85</v>
      </c>
      <c r="B3" s="248">
        <f ca="1">ROUND(B2*10000/'数据-汇总表'!E3,0)</f>
        <v>19830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219</v>
      </c>
      <c r="D10" s="1035">
        <f>'数据-汇总表'!E6</f>
        <v>14583.989999999998</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292</v>
      </c>
      <c r="D19" s="1039">
        <f>'数据-汇总表'!E3</f>
        <v>14583.989999999998</v>
      </c>
      <c r="E19" s="255">
        <f>'数据-取费表'!B31</f>
        <v>200</v>
      </c>
      <c r="F19" s="275"/>
      <c r="G19" s="1" t="s">
        <v>1071</v>
      </c>
    </row>
    <row r="20" spans="1:7" s="258" customFormat="1" ht="13.5" customHeight="1">
      <c r="A20" s="951" t="s">
        <v>1054</v>
      </c>
      <c r="B20" s="254" t="s">
        <v>104</v>
      </c>
      <c r="C20" s="276">
        <f>ROUND((C5+C19)*F20,0)</f>
        <v>418</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919</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13</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2132</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2132</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26376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2333</v>
      </c>
      <c r="D34" s="261"/>
      <c r="E34" s="264"/>
      <c r="F34" s="301">
        <f>IF('数据-取费表'!B24=0,1,'数据-取费表'!N16)</f>
        <v>1</v>
      </c>
      <c r="G34" s="263" t="s">
        <v>116</v>
      </c>
    </row>
    <row r="35" spans="1:7" ht="13.5" customHeight="1">
      <c r="A35" s="954" t="s">
        <v>796</v>
      </c>
      <c r="B35" s="259" t="s">
        <v>60</v>
      </c>
      <c r="C35" s="264">
        <f>ROUND(C34*F35,0)</f>
        <v>117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292</v>
      </c>
      <c r="D37" s="261">
        <f>'数据-汇总表'!E3</f>
        <v>14583.989999999998</v>
      </c>
      <c r="E37" s="293">
        <f>'数据-取费表'!B35</f>
        <v>200</v>
      </c>
      <c r="F37" s="303"/>
      <c r="G37" s="305" t="s">
        <v>119</v>
      </c>
    </row>
    <row r="38" spans="1:7" ht="13.5" customHeight="1">
      <c r="A38" s="954" t="s">
        <v>799</v>
      </c>
      <c r="B38" s="259" t="s">
        <v>63</v>
      </c>
      <c r="C38" s="264">
        <f>ROUND(C34*F38,0)</f>
        <v>35</v>
      </c>
      <c r="D38" s="264"/>
      <c r="E38" s="264"/>
      <c r="F38" s="303">
        <f>'数据-取费表'!B36</f>
        <v>1.4999999999999999E-2</v>
      </c>
      <c r="G38" s="263" t="s">
        <v>117</v>
      </c>
    </row>
    <row r="39" spans="1:7" s="258" customFormat="1" ht="13.5" customHeight="1">
      <c r="A39" s="951" t="s">
        <v>783</v>
      </c>
      <c r="B39" s="254" t="s">
        <v>104</v>
      </c>
      <c r="C39" s="276">
        <f>ROUND(C33*F20,0)</f>
        <v>56</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60</v>
      </c>
      <c r="D42" s="282"/>
      <c r="E42" s="282"/>
      <c r="F42" s="283"/>
      <c r="G42" s="3170" t="s">
        <v>121</v>
      </c>
    </row>
    <row r="43" spans="1:7" ht="13.5" customHeight="1">
      <c r="A43" s="954" t="s">
        <v>792</v>
      </c>
      <c r="B43" s="259" t="s">
        <v>1061</v>
      </c>
      <c r="C43" s="282">
        <f ca="1">ROUND(IF('数据-取费表'!B22&lt;=1,C39*F22*'数据-取费表'!B21/2,C39*(POWER((1+F22),'数据-取费表'!B21/2)-1)),0)</f>
        <v>1</v>
      </c>
      <c r="D43" s="282"/>
      <c r="E43" s="282"/>
      <c r="F43" s="283"/>
      <c r="G43" s="3171"/>
    </row>
    <row r="44" spans="1:7" ht="13.5" customHeight="1">
      <c r="A44" s="954" t="s">
        <v>793</v>
      </c>
      <c r="B44" s="259" t="s">
        <v>1063</v>
      </c>
      <c r="C44" s="282">
        <f ca="1">ROUND(IF('数据-取费表'!B22&lt;=1,C40*F22*'数据-取费表'!B21/2,C40*(POWER((1+F22),'数据-取费表'!B21/2)-1)),4)</f>
        <v>4.0000000000000002E-4</v>
      </c>
      <c r="D44" s="282"/>
      <c r="E44" s="282"/>
      <c r="F44" s="283"/>
      <c r="G44" s="3172"/>
    </row>
    <row r="45" spans="1:7" s="258" customFormat="1" ht="13.5" customHeight="1">
      <c r="A45" s="951" t="s">
        <v>786</v>
      </c>
      <c r="B45" s="288" t="s">
        <v>112</v>
      </c>
      <c r="C45" s="289">
        <f>C46</f>
        <v>283</v>
      </c>
      <c r="D45" s="279">
        <f>C47</f>
        <v>2E-3</v>
      </c>
      <c r="E45" s="280" t="s">
        <v>129</v>
      </c>
      <c r="F45" s="290"/>
      <c r="G45" s="291" t="s">
        <v>1069</v>
      </c>
    </row>
    <row r="46" spans="1:7" s="258" customFormat="1" ht="13.5" customHeight="1">
      <c r="A46" s="954" t="s">
        <v>794</v>
      </c>
      <c r="B46" s="292" t="s">
        <v>1062</v>
      </c>
      <c r="C46" s="293">
        <f>ROUND((C33+C39)*F27,0)</f>
        <v>283</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3438</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2544</v>
      </c>
      <c r="D51" s="276"/>
      <c r="E51" s="276"/>
      <c r="F51" s="308"/>
      <c r="G51" s="278" t="s">
        <v>64</v>
      </c>
    </row>
    <row r="52" spans="1:7" s="252" customFormat="1" ht="16.5" thickBot="1">
      <c r="A52" s="309" t="s">
        <v>65</v>
      </c>
      <c r="B52" s="310"/>
      <c r="C52" s="311">
        <f ca="1">C31+C51</f>
        <v>28920</v>
      </c>
      <c r="D52" s="310"/>
      <c r="E52" s="310"/>
      <c r="F52" s="310"/>
      <c r="G52" s="312"/>
    </row>
    <row r="55" spans="1:7" ht="15">
      <c r="B55" s="314" t="s">
        <v>66</v>
      </c>
      <c r="C55" s="315"/>
    </row>
    <row r="56" spans="1:7">
      <c r="B56" s="317" t="s">
        <v>67</v>
      </c>
      <c r="C56" s="318">
        <f ca="1">ROUND(C51/C52,3)</f>
        <v>8.7999999999999995E-2</v>
      </c>
    </row>
    <row r="57" spans="1:7">
      <c r="B57" s="317" t="s">
        <v>68</v>
      </c>
      <c r="C57" s="319">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868</v>
      </c>
      <c r="B1" s="330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1636</v>
      </c>
      <c r="B2" s="2996" t="s">
        <v>1637</v>
      </c>
      <c r="C2" s="2996" t="s">
        <v>1638</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7" t="s">
        <v>1633</v>
      </c>
      <c r="E3" s="1047" t="s">
        <v>1639</v>
      </c>
      <c r="F3" s="1047" t="s">
        <v>1633</v>
      </c>
      <c r="G3" s="1047" t="s">
        <v>1634</v>
      </c>
      <c r="H3" s="1047" t="s">
        <v>1633</v>
      </c>
      <c r="I3" s="1047" t="s">
        <v>1634</v>
      </c>
    </row>
    <row r="4" spans="1:9" ht="15">
      <c r="A4" s="1973" t="str">
        <f>项目基本情况!S2</f>
        <v>房地产</v>
      </c>
      <c r="B4" s="1047">
        <f>项目基本情况!C17</f>
        <v>14583.989999999998</v>
      </c>
      <c r="C4" s="1047">
        <f>项目基本情况!C18</f>
        <v>0</v>
      </c>
      <c r="D4" s="1047">
        <f ca="1">结果表!D118</f>
        <v>3894</v>
      </c>
      <c r="E4" s="1047">
        <f ca="1">结果表!E118</f>
        <v>2670</v>
      </c>
      <c r="F4" s="1047">
        <f ca="1">结果表!F118</f>
        <v>2337</v>
      </c>
      <c r="G4" s="1047">
        <f ca="1">结果表!G118</f>
        <v>1602</v>
      </c>
      <c r="H4" s="1047">
        <f ca="1">结果表!H118</f>
        <v>6231</v>
      </c>
      <c r="I4" s="1047">
        <f ca="1">结果表!I118</f>
        <v>4272</v>
      </c>
    </row>
    <row r="5" spans="1:9" ht="30" customHeight="1">
      <c r="A5" s="2997" t="s">
        <v>1635</v>
      </c>
      <c r="B5" s="2997"/>
      <c r="C5" s="2997"/>
      <c r="D5" s="2998" t="str">
        <f ca="1">结果表!D119</f>
        <v>叁仟捌佰玖拾肆万元整</v>
      </c>
      <c r="E5" s="2998"/>
      <c r="F5" s="2998" t="str">
        <f ca="1">结果表!F119</f>
        <v>贰仟叁佰叁拾柒万元整</v>
      </c>
      <c r="G5" s="2998"/>
      <c r="H5" s="2998" t="str">
        <f ca="1">结果表!H119</f>
        <v>陆仟贰佰叁拾壹万元整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1635</v>
      </c>
      <c r="B7" s="2997"/>
      <c r="C7" s="2997"/>
      <c r="D7" s="3000" t="str">
        <f>结果表!D121</f>
        <v>零元整</v>
      </c>
      <c r="E7" s="3001"/>
      <c r="F7" s="3001"/>
      <c r="G7" s="3001"/>
      <c r="H7" s="3001"/>
      <c r="I7" s="3002"/>
    </row>
    <row r="8" spans="1:9" ht="15.75">
      <c r="A8" s="2999" t="str">
        <f>结果表!A122</f>
        <v>房地产抵押价值</v>
      </c>
      <c r="B8" s="2999"/>
      <c r="C8" s="2999"/>
      <c r="D8" s="2999">
        <f ca="1">结果表!D122</f>
        <v>6231</v>
      </c>
      <c r="E8" s="2999"/>
      <c r="F8" s="2999"/>
      <c r="G8" s="2999"/>
      <c r="H8" s="2999"/>
      <c r="I8" s="2999"/>
    </row>
    <row r="9" spans="1:9" ht="15">
      <c r="A9" s="2997" t="s">
        <v>1635</v>
      </c>
      <c r="B9" s="2997"/>
      <c r="C9" s="2997"/>
      <c r="D9" s="2998" t="str">
        <f ca="1">结果表!D123</f>
        <v>陆仟贰佰叁拾壹万元整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1635</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1635</v>
      </c>
      <c r="B13" s="3003"/>
      <c r="C13" s="3003"/>
      <c r="D13" s="3004" t="e">
        <f>结果表!D127</f>
        <v>#VALUE!</v>
      </c>
      <c r="E13" s="3004"/>
      <c r="F13" s="3004"/>
      <c r="G13" s="3004"/>
      <c r="H13" s="3004"/>
      <c r="I13" s="3004"/>
    </row>
    <row r="14" spans="1:9" ht="15" thickTop="1">
      <c r="A14" s="3005" t="s">
        <v>1640</v>
      </c>
      <c r="B14" s="3005"/>
      <c r="C14" s="3005"/>
      <c r="D14" s="3005"/>
      <c r="E14" s="3005"/>
      <c r="F14" s="3005"/>
      <c r="G14" s="3005"/>
      <c r="H14" s="3005"/>
      <c r="I14" s="3005"/>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6" t="s">
        <v>1657</v>
      </c>
      <c r="B1" s="3006"/>
      <c r="C1" s="3006"/>
      <c r="D1" s="3006"/>
    </row>
    <row r="2" spans="1:4" ht="18">
      <c r="A2" s="3007" t="s">
        <v>1641</v>
      </c>
      <c r="B2" s="3007"/>
      <c r="C2" s="3007"/>
      <c r="D2" s="3007"/>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3007" t="s">
        <v>1647</v>
      </c>
      <c r="B6" s="3007"/>
      <c r="C6" s="3007"/>
      <c r="D6" s="3007"/>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08" t="s">
        <v>1650</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1651</v>
      </c>
      <c r="B16" s="3012"/>
      <c r="C16" s="3012"/>
      <c r="D16" s="3012"/>
    </row>
    <row r="17" spans="1:4" ht="144" customHeight="1">
      <c r="A17" s="3012" t="s">
        <v>1652</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1653</v>
      </c>
      <c r="B22" s="3014"/>
      <c r="C22" s="3014"/>
      <c r="D22" s="3014"/>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20" t="s">
        <v>1664</v>
      </c>
      <c r="B15" s="3015" t="s">
        <v>136</v>
      </c>
      <c r="C15" s="3016"/>
    </row>
    <row r="16" spans="1:7" ht="13.5">
      <c r="A16" s="3021"/>
      <c r="B16" s="3015" t="s">
        <v>69</v>
      </c>
      <c r="C16" s="3016"/>
    </row>
    <row r="17" spans="1:3" ht="13.5">
      <c r="A17" s="3021"/>
      <c r="B17" s="3018" t="s">
        <v>1665</v>
      </c>
      <c r="C17" s="2000" t="s">
        <v>1664</v>
      </c>
    </row>
    <row r="18" spans="1:3" ht="13.5">
      <c r="A18" s="3021"/>
      <c r="B18" s="3018"/>
      <c r="C18" s="2000" t="s">
        <v>1666</v>
      </c>
    </row>
    <row r="19" spans="1:3" ht="13.5">
      <c r="A19" s="3021"/>
      <c r="B19" s="3018"/>
      <c r="C19" s="2000" t="s">
        <v>1667</v>
      </c>
    </row>
    <row r="20" spans="1:3" ht="13.5">
      <c r="A20" s="3022"/>
      <c r="B20" s="3017" t="s">
        <v>1668</v>
      </c>
      <c r="C20" s="3016"/>
    </row>
    <row r="21" spans="1:3" ht="13.5">
      <c r="A21" s="2001" t="s">
        <v>1669</v>
      </c>
      <c r="B21" s="2002"/>
      <c r="C21" s="2003"/>
    </row>
    <row r="22" spans="1:3" ht="13.5">
      <c r="A22" s="3019" t="s">
        <v>1670</v>
      </c>
      <c r="B22" s="3017" t="s">
        <v>1671</v>
      </c>
      <c r="C22" s="3016"/>
    </row>
    <row r="23" spans="1:3" ht="13.5">
      <c r="A23" s="3019"/>
      <c r="B23" s="3017" t="s">
        <v>1672</v>
      </c>
      <c r="C23" s="3016"/>
    </row>
    <row r="24" spans="1:3" ht="13.5">
      <c r="A24" s="3019"/>
      <c r="B24" s="3017" t="s">
        <v>1673</v>
      </c>
      <c r="C24" s="3016"/>
    </row>
    <row r="25" spans="1:3" ht="13.5">
      <c r="A25" s="3019"/>
      <c r="B25" s="3018" t="s">
        <v>1674</v>
      </c>
      <c r="C25" s="2000" t="s">
        <v>1675</v>
      </c>
    </row>
    <row r="26" spans="1:3" ht="13.5">
      <c r="A26" s="3019"/>
      <c r="B26" s="3018"/>
      <c r="C26" s="2000" t="s">
        <v>1676</v>
      </c>
    </row>
    <row r="27" spans="1:3" ht="13.5">
      <c r="A27" s="3019"/>
      <c r="B27" s="3018"/>
      <c r="C27" s="2000" t="s">
        <v>1677</v>
      </c>
    </row>
    <row r="28" spans="1:3" ht="13.5">
      <c r="A28" s="3019"/>
      <c r="B28" s="3018"/>
      <c r="C28" s="2000" t="s">
        <v>1678</v>
      </c>
    </row>
    <row r="29" spans="1:3" ht="13.5">
      <c r="A29" s="3019"/>
      <c r="B29" s="3018"/>
      <c r="C29" s="2000" t="s">
        <v>1679</v>
      </c>
    </row>
    <row r="30" spans="1:3" ht="13.5">
      <c r="A30" s="3019"/>
      <c r="B30" s="3018"/>
      <c r="C30" s="2000" t="s">
        <v>1680</v>
      </c>
    </row>
    <row r="31" spans="1:3" ht="13.5">
      <c r="A31" s="3019"/>
      <c r="B31" s="3018"/>
      <c r="C31" s="2000" t="s">
        <v>1681</v>
      </c>
    </row>
    <row r="32" spans="1:3" ht="13.5">
      <c r="A32" s="3019"/>
      <c r="B32" s="3018"/>
      <c r="C32" s="2000" t="s">
        <v>1682</v>
      </c>
    </row>
    <row r="33" spans="1:3" ht="13.5">
      <c r="A33" s="3019"/>
      <c r="B33" s="3018"/>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43647</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t="str">
        <f ca="1">IF(C11&lt;B2,"已过期",1120100036)</f>
        <v>已过期</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3040</v>
      </c>
      <c r="B14" s="1025">
        <f ca="1">IF(C14&lt;B2,"已过期",1120040230)</f>
        <v>1120040230</v>
      </c>
      <c r="C14" s="2348">
        <v>43835</v>
      </c>
      <c r="D14" s="2351" t="s">
        <v>3040</v>
      </c>
      <c r="E14" s="1025">
        <f ca="1">IF(F14&lt;B2,"已过期",98030020)</f>
        <v>98030020</v>
      </c>
      <c r="F14" s="1033">
        <v>47118</v>
      </c>
    </row>
    <row r="15" spans="1:6" ht="24" customHeight="1">
      <c r="A15" s="1704" t="s">
        <v>3041</v>
      </c>
      <c r="B15" s="1025">
        <f ca="1">IF(C15&lt;B2,"已过期",1120070085)</f>
        <v>1120070085</v>
      </c>
      <c r="C15" s="2348">
        <v>43814</v>
      </c>
      <c r="D15" s="2352" t="s">
        <v>3041</v>
      </c>
      <c r="E15" s="1025">
        <f ca="1">IF(F15&lt;B2,"已过期",2004110128)</f>
        <v>2004110128</v>
      </c>
      <c r="F15" s="1026">
        <v>47118</v>
      </c>
    </row>
    <row r="16" spans="1:6" ht="24" customHeight="1">
      <c r="A16" s="1703" t="s">
        <v>3042</v>
      </c>
      <c r="B16" s="1025">
        <f ca="1">IF(C16&lt;B2,"已过期",1120140022)</f>
        <v>1120140022</v>
      </c>
      <c r="C16" s="2939">
        <v>44029</v>
      </c>
      <c r="D16" s="2351" t="s">
        <v>3042</v>
      </c>
      <c r="E16" s="1025">
        <f ca="1">IF(F16&lt;B2,"已过期",2008110059)</f>
        <v>2008110059</v>
      </c>
      <c r="F16" s="1033">
        <v>47177</v>
      </c>
    </row>
    <row r="17" spans="1:7" ht="24" customHeight="1">
      <c r="A17" s="1703"/>
      <c r="B17" s="1025"/>
      <c r="C17" s="2348"/>
      <c r="D17" s="2351" t="s">
        <v>3043</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23" t="s">
        <v>843</v>
      </c>
      <c r="B25" s="3023"/>
      <c r="C25" s="3023"/>
      <c r="D25" s="3023"/>
      <c r="E25" s="3023"/>
      <c r="F25" s="3023"/>
      <c r="G25" s="3023"/>
    </row>
    <row r="26" spans="1:7" s="1028" customFormat="1" ht="24" customHeight="1">
      <c r="A26" s="3024" t="s">
        <v>844</v>
      </c>
      <c r="B26" s="3024"/>
      <c r="C26" s="3025"/>
      <c r="D26" s="3026" t="s">
        <v>845</v>
      </c>
      <c r="E26" s="3024"/>
      <c r="F26" s="302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2019-07-01T02:54:46Z</dcterms:modified>
</cp:coreProperties>
</file>