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2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J9" i="2"/>
  <c r="H12" i="2"/>
  <c r="B14" i="8" l="1"/>
  <c r="C5" i="8" l="1"/>
  <c r="F23" i="8" l="1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H14" i="2" s="1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<sst xmlns="http://schemas.openxmlformats.org/spreadsheetml/2006/main" count="222" uniqueCount="116">
  <si>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</si>
  <si>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</si>
  <si>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</si>
  <si>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</si>
  <si>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</si>
  <si>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</si>
  <si>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</si>
  <si>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</si>
  <si>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</si>
  <si>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</si>
  <si>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</si>
  <si>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</si>
  <si>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</si>
  <si>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</si>
  <si>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</si>
  <si>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</si>
  <si>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</si>
  <si>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</si>
  <si>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</si>
  <si>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</si>
  <si>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</si>
  <si>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</si>
  <si>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</si>
  <si>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</si>
  <si>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</si>
  <si>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</si>
  <si>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</si>
  <si>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</si>
  <si>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</si>
  <si>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</si>
  <si>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</si>
  <si>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</si>
  <si>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</si>
  <si>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</si>
  <si>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</si>
  <si>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</si>
  <si>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</si>
  <si>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</si>
  <si>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</si>
  <si>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</si>
  <si>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</si>
  <si>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</si>
  <si>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</si>
  <si>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</si>
  <si>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</si>
  <si>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</si>
  <si>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</si>
  <si>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</si>
  <si>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</si>
  <si>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</si>
  <si>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</si>
  <si>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</si>
  <si>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</si>
  <si>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</si>
  <si>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</si>
  <si>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</si>
  <si>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</si>
  <si>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</si>
  <si>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</si>
  <si>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</si>
  <si>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</si>
  <si>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</si>
  <si>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</si>
  <si>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</si>
  <si>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</si>
  <si>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</si>
  <si>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</si>
  <si>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</si>
  <si>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</si>
  <si>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</si>
  <si>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</si>
  <si>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</si>
  <si>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</si>
  <si>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</si>
  <si>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</si>
  <si>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</si>
  <si>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</si>
  <si>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</si>
  <si>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</si>
  <si>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</si>
  <si>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</si>
  <si>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</si>
  <si>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</si>
  <si>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</si>
  <si>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</si>
  <si>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</si>
  <si>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</si>
  <si>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</si>
  <si>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</si>
  <si>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</si>
  <si>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</si>
  <si>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</si>
  <si>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</si>
  <si>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</si>
  <si>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</si>
  <si>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</si>
  <si>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</si>
  <si>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</si>
  <si>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</si>
  <si>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</si>
  <si>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</si>
  <si>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</si>
  <si>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</si>
  <si>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</si>
  <si>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</si>
  <si>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</si>
  <si>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</si>
  <si>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</si>
  <si>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</si>
  <si>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</si>
  <si>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</si>
  <si>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</si>
  <si>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设定</t>
    <phoneticPr fontId="46" type="noConversion"/>
  </si>
  <si>
    <t>中弘国际商务花园-375平</t>
    <phoneticPr fontId="46" type="noConversion"/>
  </si>
  <si>
    <r>
      <rPr>
        <sz val="16"/>
        <color theme="1"/>
        <rFont val="宋体"/>
        <family val="3"/>
        <charset val="134"/>
      </rPr>
      <t>长楹星座</t>
    </r>
    <r>
      <rPr>
        <sz val="16"/>
        <color theme="1"/>
        <rFont val="Arial"/>
        <family val="2"/>
      </rPr>
      <t>-136.54-</t>
    </r>
    <r>
      <rPr>
        <sz val="16"/>
        <color theme="1"/>
        <rFont val="宋体"/>
        <family val="3"/>
        <charset val="134"/>
      </rPr>
      <t>高区</t>
    </r>
    <phoneticPr fontId="46" type="noConversion"/>
  </si>
  <si>
    <r>
      <rPr>
        <sz val="16"/>
        <color theme="1"/>
        <rFont val="宋体"/>
        <family val="3"/>
        <charset val="134"/>
      </rPr>
      <t>长楹星座</t>
    </r>
    <r>
      <rPr>
        <sz val="16"/>
        <color theme="1"/>
        <rFont val="Arial"/>
        <family val="2"/>
      </rPr>
      <t>-135.75-</t>
    </r>
    <r>
      <rPr>
        <sz val="16"/>
        <color theme="1"/>
        <rFont val="宋体"/>
        <family val="3"/>
        <charset val="134"/>
      </rPr>
      <t>高区</t>
    </r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</si>
</sst>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208667</xdr:colOff>
      <xdr:row>32</xdr:row>
      <xdr:rowOff>123124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66667" cy="56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0</xdr:row>
      <xdr:rowOff>0</xdr:rowOff>
    </xdr:from>
    <xdr:to>
      <xdr:col>16</xdr:col>
      <xdr:colOff>409056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0"/>
          <a:ext cx="4152381" cy="5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656715</xdr:colOff>
      <xdr:row>67</xdr:row>
      <xdr:rowOff>151674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29300"/>
          <a:ext cx="4085715" cy="58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12</xdr:col>
      <xdr:colOff>28057</xdr:colOff>
      <xdr:row>66</xdr:row>
      <xdr:rowOff>123124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4800" y="5829300"/>
          <a:ext cx="4142857" cy="56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18</xdr:col>
      <xdr:colOff>56629</xdr:colOff>
      <xdr:row>65</xdr:row>
      <xdr:rowOff>132669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9600" y="5829300"/>
          <a:ext cx="4171429" cy="5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8067</xdr:colOff>
      <xdr:row>29</xdr:row>
      <xdr:rowOff>170807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6667" cy="5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5</xdr:col>
      <xdr:colOff>666238</xdr:colOff>
      <xdr:row>64</xdr:row>
      <xdr:rowOff>18341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14950"/>
          <a:ext cx="4095238" cy="56761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  <row r="16">
          <cell r="A16"/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26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27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28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29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 t="str">
            <v>车库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0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1">
        <row r="72">
          <cell r="A72" t="str">
            <v>交易情况</v>
          </cell>
          <cell r="B72"/>
          <cell r="C72" t="str">
            <v>正常</v>
          </cell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74">
          <cell r="B74" t="str">
            <v>用途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</row>
        <row r="105">
          <cell r="B105" t="str">
            <v>毗邻道路的类型与等级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土地级别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8">
          <cell r="B118" t="str">
            <v>宗地形状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0">
          <cell r="B120" t="str">
            <v>临街宽度及深度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宗地开发程度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  <row r="124">
          <cell r="B124" t="str">
            <v>工程地质条件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</row>
      </sheetData>
      <sheetData sheetId="32">
        <row r="70">
          <cell r="B70" t="str">
            <v>用途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</row>
        <row r="97">
          <cell r="B97" t="str">
            <v>毗邻道路的类型与等级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</row>
        <row r="99">
          <cell r="B99" t="str">
            <v>土地级别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10">
          <cell r="B110" t="str">
            <v>宗地形状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12">
          <cell r="B112" t="str">
            <v>宗地开发程度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工程地质条件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</sheetData>
      <sheetData sheetId="33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4"/>
      <sheetData sheetId="35"/>
      <sheetData sheetId="36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  <row r="140">
          <cell r="C140"/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1" t="s">
        <v>0</v>
      </c>
      <c r="B2" s="172"/>
      <c r="C2" s="172"/>
      <c r="D2" s="172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8">
        <f>ROUND((C7*D7+C8*D8+C9*D9)/3,0)</f>
        <v>16150</v>
      </c>
      <c r="F7" s="180">
        <v>0.7</v>
      </c>
      <c r="G7" s="182" t="str">
        <f>IF(OR(H7&gt;0.75,H7&lt;0.6),"租售比异常，注意权重计取","")</f>
        <v>租售比异常，注意权重计取</v>
      </c>
      <c r="H7" s="18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8"/>
      <c r="F8" s="180"/>
      <c r="G8" s="183"/>
      <c r="H8" s="18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9"/>
      <c r="F9" s="181"/>
      <c r="G9" s="184"/>
      <c r="H9" s="18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3" t="s">
        <v>26</v>
      </c>
      <c r="B13" s="174"/>
      <c r="C13" s="174"/>
      <c r="D13" s="174"/>
      <c r="E13" s="174"/>
      <c r="F13" s="175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7" t="s">
        <v>34</v>
      </c>
      <c r="H20" s="198"/>
      <c r="I20" s="198"/>
      <c r="J20" s="19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0"/>
      <c r="H21" s="201"/>
      <c r="I21" s="201"/>
      <c r="J21" s="20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0" t="s">
        <v>37</v>
      </c>
      <c r="R21" s="201"/>
      <c r="S21" s="201"/>
      <c r="T21" s="20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0"/>
      <c r="H22" s="201"/>
      <c r="I22" s="201"/>
      <c r="J22" s="20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0"/>
      <c r="R22" s="201"/>
      <c r="S22" s="201"/>
      <c r="T22" s="20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0"/>
      <c r="H23" s="201"/>
      <c r="I23" s="201"/>
      <c r="J23" s="20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0"/>
      <c r="R23" s="201"/>
      <c r="S23" s="201"/>
      <c r="T23" s="20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0"/>
      <c r="H24" s="201"/>
      <c r="I24" s="201"/>
      <c r="J24" s="20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0"/>
      <c r="R24" s="201"/>
      <c r="S24" s="201"/>
      <c r="T24" s="20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0"/>
      <c r="H25" s="201"/>
      <c r="I25" s="201"/>
      <c r="J25" s="20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0"/>
      <c r="R25" s="201"/>
      <c r="S25" s="201"/>
      <c r="T25" s="20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0"/>
      <c r="H26" s="201"/>
      <c r="I26" s="201"/>
      <c r="J26" s="20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0"/>
      <c r="R26" s="201"/>
      <c r="S26" s="201"/>
      <c r="T26" s="20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0"/>
      <c r="H27" s="201"/>
      <c r="I27" s="201"/>
      <c r="J27" s="20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0"/>
      <c r="R27" s="201"/>
      <c r="S27" s="201"/>
      <c r="T27" s="202"/>
    </row>
    <row r="28" spans="1:21" ht="15">
      <c r="A28" s="118"/>
      <c r="B28" s="119"/>
      <c r="C28" s="176"/>
      <c r="D28" s="177"/>
      <c r="E28" s="120"/>
      <c r="F28" s="121"/>
      <c r="G28" s="203"/>
      <c r="H28" s="204"/>
      <c r="I28" s="204"/>
      <c r="J28" s="20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3"/>
      <c r="R28" s="204"/>
      <c r="S28" s="204"/>
      <c r="T28" s="20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8" t="s">
        <v>41</v>
      </c>
      <c r="H31" s="189"/>
      <c r="I31" s="189"/>
      <c r="J31" s="19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7" t="s">
        <v>42</v>
      </c>
      <c r="R31" s="198"/>
      <c r="S31" s="198"/>
      <c r="T31" s="19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1"/>
      <c r="H32" s="192"/>
      <c r="I32" s="192"/>
      <c r="J32" s="19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0"/>
      <c r="R32" s="201"/>
      <c r="S32" s="201"/>
      <c r="T32" s="20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1"/>
      <c r="H33" s="192"/>
      <c r="I33" s="192"/>
      <c r="J33" s="19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0"/>
      <c r="R33" s="201"/>
      <c r="S33" s="201"/>
      <c r="T33" s="20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1"/>
      <c r="H34" s="192"/>
      <c r="I34" s="192"/>
      <c r="J34" s="19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0"/>
      <c r="R34" s="201"/>
      <c r="S34" s="201"/>
      <c r="T34" s="20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1"/>
      <c r="H35" s="192"/>
      <c r="I35" s="192"/>
      <c r="J35" s="19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0"/>
      <c r="R35" s="201"/>
      <c r="S35" s="201"/>
      <c r="T35" s="20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1"/>
      <c r="H36" s="192"/>
      <c r="I36" s="192"/>
      <c r="J36" s="19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0"/>
      <c r="R36" s="201"/>
      <c r="S36" s="201"/>
      <c r="T36" s="20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1"/>
      <c r="H37" s="192"/>
      <c r="I37" s="192"/>
      <c r="J37" s="19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0"/>
      <c r="R37" s="201"/>
      <c r="S37" s="201"/>
      <c r="T37" s="20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4"/>
      <c r="H38" s="195"/>
      <c r="I38" s="195"/>
      <c r="J38" s="19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3"/>
      <c r="R38" s="204"/>
      <c r="S38" s="204"/>
      <c r="T38" s="20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D10" sqref="D10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/>
    </row>
    <row r="2" spans="1:14" s="28" customFormat="1" ht="23.25">
      <c r="A2" s="171" t="s">
        <v>0</v>
      </c>
      <c r="B2" s="172"/>
      <c r="C2" s="172"/>
      <c r="D2" s="172"/>
      <c r="E2" s="34">
        <f>ROUND(IF(F4=0,E7*F7+E12*F12,IF(F7=0,E4*F4+E12*F12,E4*F4+E7*F7)),0)</f>
        <v>17338</v>
      </c>
      <c r="F2" s="35">
        <f>ROUND(IF(F4=0,E7/E12-1,IF(F7=0,E4/E12-1,E4/E7)),3)</f>
        <v>0.27700000000000002</v>
      </c>
      <c r="G2" s="36" t="s">
        <v>1</v>
      </c>
      <c r="I2" s="144" t="s">
        <v>74</v>
      </c>
      <c r="J2" s="144">
        <v>346.86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601.39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5.3829137259032968E-2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113</v>
      </c>
      <c r="C7" s="43">
        <v>14934</v>
      </c>
      <c r="D7" s="43">
        <v>1</v>
      </c>
      <c r="E7" s="178">
        <f>ROUND((C7*D7+C8*D8+C9*D9)/3,0)</f>
        <v>18986</v>
      </c>
      <c r="F7" s="210">
        <v>0.6</v>
      </c>
      <c r="G7" s="212" t="str">
        <f>IF(OR(H7&gt;0.75,H7&lt;0.6),"租售比异常，注意权重计取","")</f>
        <v/>
      </c>
      <c r="H7" s="185">
        <f>E7/10000/A12</f>
        <v>0.67807142857142866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114</v>
      </c>
      <c r="C8" s="43">
        <v>20134</v>
      </c>
      <c r="D8" s="43">
        <v>1.05</v>
      </c>
      <c r="E8" s="178"/>
      <c r="F8" s="210"/>
      <c r="G8" s="213"/>
      <c r="H8" s="18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115</v>
      </c>
      <c r="C9" s="43">
        <v>19889</v>
      </c>
      <c r="D9" s="43">
        <f>D8</f>
        <v>1.05</v>
      </c>
      <c r="E9" s="179"/>
      <c r="F9" s="211"/>
      <c r="G9" s="214"/>
      <c r="H9" s="187"/>
      <c r="I9" s="144"/>
      <c r="J9" s="144">
        <f>2005+50</f>
        <v>2055</v>
      </c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2.8</v>
      </c>
      <c r="B12" s="61">
        <v>0.8</v>
      </c>
      <c r="C12" s="62">
        <f>J14</f>
        <v>30</v>
      </c>
      <c r="D12" s="63">
        <v>5.5E-2</v>
      </c>
      <c r="E12" s="44">
        <f>ROUND(A12*365*B12/D12,0)</f>
        <v>14865</v>
      </c>
      <c r="F12" s="64">
        <f>1-F4-F7</f>
        <v>0.4</v>
      </c>
      <c r="G12" s="33"/>
      <c r="H12" s="33">
        <f>2025-2007</f>
        <v>18</v>
      </c>
      <c r="I12" s="144" t="s">
        <v>72</v>
      </c>
      <c r="J12" s="150">
        <v>45975</v>
      </c>
      <c r="K12" s="144"/>
      <c r="L12" s="144"/>
      <c r="M12" s="150"/>
      <c r="N12" s="143"/>
    </row>
    <row r="13" spans="1:14" ht="15">
      <c r="A13" s="206" t="s">
        <v>52</v>
      </c>
      <c r="B13" s="207"/>
      <c r="C13" s="207"/>
      <c r="D13" s="207"/>
      <c r="E13" s="207"/>
      <c r="F13" s="208"/>
      <c r="H13" s="33">
        <f>H12+2</f>
        <v>20</v>
      </c>
      <c r="I13" s="168" t="s">
        <v>111</v>
      </c>
      <c r="J13" s="150">
        <v>56928</v>
      </c>
      <c r="K13" s="168" t="s">
        <v>112</v>
      </c>
      <c r="L13" s="144"/>
      <c r="M13" s="150"/>
      <c r="N13" s="144"/>
    </row>
    <row r="14" spans="1:14">
      <c r="H14" s="33">
        <f>50-H13</f>
        <v>30</v>
      </c>
      <c r="I14" s="144" t="s">
        <v>77</v>
      </c>
      <c r="J14" s="144">
        <f>ROUNDDOWN(MIN((J13-J12)/365,J11),2)</f>
        <v>30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7" t="s">
        <v>59</v>
      </c>
      <c r="I20" s="217"/>
      <c r="J20" s="217"/>
      <c r="K20" s="217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7"/>
      <c r="I21" s="217"/>
      <c r="J21" s="217"/>
      <c r="K21" s="217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5" t="s">
        <v>61</v>
      </c>
      <c r="T21" s="216"/>
      <c r="U21" s="216"/>
      <c r="V21" s="216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7"/>
      <c r="I22" s="217"/>
      <c r="J22" s="217"/>
      <c r="K22" s="217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5"/>
      <c r="T22" s="216"/>
      <c r="U22" s="216"/>
      <c r="V22" s="216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7"/>
      <c r="I23" s="217"/>
      <c r="J23" s="217"/>
      <c r="K23" s="217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5"/>
      <c r="T23" s="216"/>
      <c r="U23" s="216"/>
      <c r="V23" s="216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7"/>
      <c r="I24" s="217"/>
      <c r="J24" s="217"/>
      <c r="K24" s="217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5"/>
      <c r="T24" s="216"/>
      <c r="U24" s="216"/>
      <c r="V24" s="216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7"/>
      <c r="I25" s="217"/>
      <c r="J25" s="217"/>
      <c r="K25" s="217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5"/>
      <c r="T25" s="216"/>
      <c r="U25" s="216"/>
      <c r="V25" s="216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7"/>
      <c r="I26" s="217"/>
      <c r="J26" s="217"/>
      <c r="K26" s="217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5"/>
      <c r="T26" s="216"/>
      <c r="U26" s="216"/>
      <c r="V26" s="216"/>
    </row>
    <row r="27" spans="1:22">
      <c r="A27" s="2"/>
      <c r="B27" s="76"/>
      <c r="C27" s="77"/>
      <c r="D27" s="78"/>
      <c r="E27" s="79"/>
      <c r="F27" s="209"/>
      <c r="G27" s="209"/>
      <c r="H27" s="217"/>
      <c r="I27" s="217"/>
      <c r="J27" s="217"/>
      <c r="K27" s="217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5"/>
      <c r="T27" s="216"/>
      <c r="U27" s="216"/>
      <c r="V27" s="216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5" t="s">
        <v>64</v>
      </c>
      <c r="I30" s="216"/>
      <c r="J30" s="216"/>
      <c r="K30" s="216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5" t="s">
        <v>65</v>
      </c>
      <c r="T30" s="216"/>
      <c r="U30" s="216"/>
      <c r="V30" s="216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5"/>
      <c r="I31" s="216"/>
      <c r="J31" s="216"/>
      <c r="K31" s="216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5"/>
      <c r="T31" s="216"/>
      <c r="U31" s="216"/>
      <c r="V31" s="216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5"/>
      <c r="I32" s="216"/>
      <c r="J32" s="216"/>
      <c r="K32" s="216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5"/>
      <c r="T32" s="216"/>
      <c r="U32" s="216"/>
      <c r="V32" s="216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5"/>
      <c r="I33" s="216"/>
      <c r="J33" s="216"/>
      <c r="K33" s="216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5"/>
      <c r="T33" s="216"/>
      <c r="U33" s="216"/>
      <c r="V33" s="216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5"/>
      <c r="I34" s="216"/>
      <c r="J34" s="216"/>
      <c r="K34" s="216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5"/>
      <c r="T34" s="216"/>
      <c r="U34" s="216"/>
      <c r="V34" s="216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5"/>
      <c r="I35" s="216"/>
      <c r="J35" s="216"/>
      <c r="K35" s="216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5"/>
      <c r="T35" s="216"/>
      <c r="U35" s="216"/>
      <c r="V35" s="216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5"/>
      <c r="I36" s="216"/>
      <c r="J36" s="216"/>
      <c r="K36" s="216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5"/>
      <c r="T36" s="216"/>
      <c r="U36" s="216"/>
      <c r="V36" s="216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H8" sqref="H8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346.86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45975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520.29</v>
      </c>
      <c r="C5" s="152">
        <f>E14</f>
        <v>15000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520.29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346.86</v>
      </c>
      <c r="C14" s="165"/>
      <c r="D14" s="165">
        <f>ROUND(E14*B14/10000,2)</f>
        <v>520.29</v>
      </c>
      <c r="E14" s="165">
        <v>15000</v>
      </c>
      <c r="F14" s="165" t="e">
        <f>ROUND(D14*10000/C14,0)</f>
        <v>#DIV/0!</v>
      </c>
      <c r="G14" s="165">
        <f>D14</f>
        <v>520.29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>
      <selection activeCell="M35" sqref="M35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>
      <selection activeCell="A32" sqref="A32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2025-11-14T06:11:52Z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