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710" windowHeight="955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<sst xmlns="http://schemas.openxmlformats.org/spreadsheetml/2006/main" count="8986" uniqueCount="3090">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</sst>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
    <numFmt numFmtId="197"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000000"/>
      <name val="Arial"/>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4"/>
      <color theme="3" tint="0.399945066682943"/>
      <name val="宋体"/>
      <charset val="134"/>
    </font>
    <font>
      <sz val="11"/>
      <color indexed="10"/>
      <name val="宋体"/>
      <charset val="134"/>
    </font>
    <font>
      <sz val="11"/>
      <color indexed="53"/>
      <name val="宋体"/>
      <charset val="134"/>
    </font>
    <font>
      <i/>
      <sz val="11"/>
      <color theme="3" tint="0.399945066682943"/>
      <name val="宋体"/>
      <charset val="134"/>
    </font>
    <font>
      <sz val="14"/>
      <color theme="1"/>
      <name val="宋体"/>
      <charset val="134"/>
    </font>
    <font>
      <sz val="12"/>
      <color indexed="8"/>
      <name val="宋体"/>
      <charset val="134"/>
    </font>
    <font>
      <b/>
      <sz val="11"/>
      <color indexed="10"/>
      <name val="宋体"/>
      <charset val="134"/>
    </font>
    <font>
      <sz val="11"/>
      <color theme="9" tint="-0.249977111117893"/>
      <name val="宋体"/>
      <charset val="134"/>
    </font>
    <font>
      <sz val="12"/>
      <color rgb="FF000000"/>
      <name val="宋体"/>
      <charset val="134"/>
    </font>
    <font>
      <sz val="10"/>
      <color theme="9" tint="-0.249977111117893"/>
      <name val="宋体"/>
      <charset val="134"/>
    </font>
    <font>
      <sz val="8"/>
      <color indexed="8"/>
      <name val="仿宋_GB2312"/>
      <charset val="134"/>
    </font>
    <font>
      <b/>
      <sz val="10"/>
      <color indexed="53"/>
      <name val="宋体"/>
      <charset val="134"/>
    </font>
    <font>
      <sz val="12"/>
      <color theme="1"/>
      <name val="宋体"/>
      <charset val="134"/>
    </font>
    <font>
      <b/>
      <vertAlign val="subscript"/>
      <sz val="10"/>
      <name val="宋体"/>
      <charset val="134"/>
    </font>
    <font>
      <b/>
      <vertAlign val="subscript"/>
      <sz val="10"/>
      <name val="Arial"/>
      <charset val="134"/>
    </font>
    <font>
      <sz val="10"/>
      <color rgb="FF707070"/>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4"/>
      <color rgb="FF000000"/>
      <name val="宋体"/>
      <charset val="134"/>
    </font>
    <font>
      <vertAlign val="superscript"/>
      <sz val="10"/>
      <color theme="1"/>
      <name val="宋体"/>
      <charset val="134"/>
    </font>
    <font>
      <sz val="10"/>
      <color rgb="FFFF0000"/>
      <name val="楷体_GB2312"/>
      <charset val="134"/>
    </font>
    <font>
      <vertAlign val="subscript"/>
      <sz val="10"/>
      <color theme="1"/>
      <name val="Arial"/>
      <charset val="134"/>
    </font>
    <font>
      <b/>
      <vertAlign val="subscript"/>
      <sz val="10"/>
      <name val="楷体_GB2312"/>
      <charset val="134"/>
    </font>
    <font>
      <sz val="12"/>
      <color theme="9" tint="-0.249977111117893"/>
      <name val="宋体"/>
      <charset val="134"/>
    </font>
    <font>
      <sz val="10"/>
      <color indexed="53"/>
      <name val="宋体"/>
      <charset val="134"/>
    </font>
    <font>
      <b/>
      <sz val="14"/>
      <color indexed="10"/>
      <name val="宋体"/>
      <charset val="134"/>
      <scheme val="minor"/>
    </font>
    <font>
      <i/>
      <sz val="14"/>
      <color theme="3" tint="0.39994506668294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sz val="9"/>
      <color indexed="8"/>
      <name val="宋体"/>
      <charset val="134"/>
    </font>
    <font>
      <b/>
      <sz val="14"/>
      <color rgb="FF000000"/>
      <name val="宋体"/>
      <charset val="134"/>
    </font>
    <font>
      <sz val="9"/>
      <color indexed="8"/>
      <name val="仿宋_GB2312"/>
      <charset val="134"/>
    </font>
    <font>
      <sz val="14"/>
      <color theme="9" tint="-0.249977111117893"/>
      <name val="宋体"/>
      <charset val="134"/>
    </font>
    <font>
      <i/>
      <sz val="11"/>
      <color theme="1"/>
      <name val="宋体"/>
      <charset val="134"/>
    </font>
    <font>
      <i/>
      <sz val="10"/>
      <name val="楷体_GB2312"/>
      <charset val="134"/>
    </font>
    <font>
      <sz val="11"/>
      <color indexed="8"/>
      <name val="仿宋_GB2312"/>
      <charset val="134"/>
    </font>
    <font>
      <sz val="8"/>
      <color indexed="8"/>
      <name val="宋体"/>
      <charset val="134"/>
    </font>
    <font>
      <b/>
      <sz val="10"/>
      <color indexed="10"/>
      <name val="楷体_GB2312"/>
      <charset val="134"/>
    </font>
    <font>
      <vertAlign val="superscript"/>
      <sz val="10"/>
      <color theme="1"/>
      <name val="Arial"/>
      <charset val="134"/>
    </font>
    <font>
      <b/>
      <sz val="12"/>
      <color rgb="FF000000"/>
      <name val="宋体"/>
      <charset val="134"/>
    </font>
    <font>
      <b/>
      <i/>
      <sz val="10"/>
      <color rgb="FFFF0000"/>
      <name val="宋体"/>
      <charset val="134"/>
    </font>
    <font>
      <vertAlign val="subscript"/>
      <sz val="10"/>
      <color indexed="8"/>
      <name val="宋体"/>
      <charset val="134"/>
    </font>
    <font>
      <sz val="10"/>
      <color indexed="8"/>
      <name val="楷体_GB2312"/>
      <charset val="134"/>
    </font>
    <font>
      <b/>
      <i/>
      <sz val="11"/>
      <color theme="3" tint="0.399945066682943"/>
      <name val="宋体"/>
      <charset val="134"/>
    </font>
    <font>
      <b/>
      <sz val="11"/>
      <name val="仿宋_GB2312"/>
      <charset val="134"/>
    </font>
    <font>
      <b/>
      <vertAlign val="subscript"/>
      <sz val="11"/>
      <name val="宋体"/>
      <charset val="134"/>
    </font>
    <font>
      <b/>
      <vertAlign val="subscript"/>
      <sz val="11"/>
      <name val="Arial"/>
      <charset val="134"/>
    </font>
    <font>
      <b/>
      <sz val="16"/>
      <color indexed="10"/>
      <name val="楷体_GB2312"/>
      <charset val="134"/>
    </font>
    <font>
      <b/>
      <vertAlign val="subscript"/>
      <sz val="10"/>
      <color indexed="8"/>
      <name val="宋体"/>
      <charset val="134"/>
    </font>
    <font>
      <vertAlign val="superscript"/>
      <sz val="10"/>
      <color indexed="8"/>
      <name val="Arial"/>
      <charset val="134"/>
    </font>
    <font>
      <sz val="9"/>
      <name val="宋体"/>
      <charset val="134"/>
    </font>
    <font>
      <sz val="10"/>
      <name val="宋体"/>
      <charset val="134"/>
    </font>
    <font>
      <sz val="16"/>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0"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44"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1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0"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177"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177"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3"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33"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0"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134"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0" fontId="135" fillId="7" borderId="0" xfId="0" applyFont="1" applyFill="1" applyAlignment="1" applyProtection="1">
      <alignment horizontal="left" vertical="center"/>
      <protection locked="0"/>
    </xf>
    <xf numFmtId="0" fontId="135" fillId="7" borderId="0" xfId="0" applyFont="1" applyFill="1" applyAlignment="1" applyProtection="1">
      <alignment vertical="center"/>
      <protection locked="0"/>
    </xf>
    <xf numFmtId="0" fontId="77" fillId="7" borderId="0" xfId="0" applyFont="1" applyFill="1" applyAlignment="1" applyProtection="1">
      <alignment vertical="center"/>
      <protection locked="0"/>
    </xf>
    <xf numFmtId="177" fontId="72" fillId="2" borderId="6" xfId="52" applyNumberFormat="1" applyFont="1" applyFill="1" applyBorder="1" applyAlignment="1" applyProtection="1">
      <alignment vertical="center" wrapText="1"/>
    </xf>
    <xf numFmtId="0" fontId="54" fillId="7" borderId="0" xfId="0" applyFont="1" applyFill="1" applyAlignment="1" applyProtection="1">
      <alignment horizontal="left" vertical="center"/>
      <protection locked="0"/>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115" fillId="7" borderId="108" xfId="0" applyFont="1" applyFill="1" applyBorder="1" applyAlignment="1" applyProtection="1">
      <alignment horizontal="center" vertical="center"/>
      <protection locked="0"/>
    </xf>
    <xf numFmtId="196" fontId="88" fillId="7" borderId="109" xfId="0" applyNumberFormat="1" applyFont="1" applyFill="1" applyBorder="1" applyAlignment="1" applyProtection="1">
      <alignment vertical="center"/>
      <protection locked="0"/>
    </xf>
    <xf numFmtId="0" fontId="115" fillId="7" borderId="108" xfId="0" applyFont="1" applyFill="1" applyBorder="1" applyAlignment="1" applyProtection="1">
      <alignment vertical="center"/>
      <protection locked="0"/>
    </xf>
    <xf numFmtId="0" fontId="54" fillId="7" borderId="108" xfId="0" applyFont="1" applyFill="1" applyBorder="1" applyAlignment="1" applyProtection="1">
      <alignment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Alignment="1" applyProtection="1">
      <alignment vertical="center"/>
      <protection locked="0"/>
    </xf>
    <xf numFmtId="0" fontId="54" fillId="7" borderId="17" xfId="0" applyFont="1" applyFill="1" applyBorder="1" applyAlignment="1" applyProtection="1">
      <alignment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7" fillId="7" borderId="0" xfId="0" applyFont="1" applyFill="1" applyAlignment="1" applyProtection="1">
      <alignment horizontal="right" vertical="center"/>
      <protection locked="0"/>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0" fontId="54" fillId="7" borderId="116" xfId="0"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116" xfId="0" applyFont="1" applyFill="1" applyBorder="1" applyAlignment="1" applyProtection="1">
      <alignmen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62" customWidth="1"/>
    <col min="2" max="2" width="81" style="4763" customWidth="1"/>
    <col min="3" max="16384" width="9" style="4764"/>
  </cols>
  <sheetData>
    <row r="1" s="4759" customFormat="1" ht="16.25" spans="1:2">
      <c r="A1" s="4765" t="s">
        <v>0</v>
      </c>
      <c r="B1" s="4766" t="s">
        <v>1</v>
      </c>
    </row>
    <row r="2" s="4760" customFormat="1" ht="15.75" spans="1:2">
      <c r="A2" s="4767" t="s">
        <v>2</v>
      </c>
      <c r="B2" s="4768" t="str">
        <f>'预评函-封皮'!B37:I37</f>
        <v>北京市房地产市场价值预评估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75" spans="1:2">
      <c r="A5" s="4771" t="s">
        <v>5</v>
      </c>
      <c r="B5" s="4772" t="str">
        <f>'预评函-封皮'!B49</f>
        <v>康正预评字号</v>
      </c>
    </row>
    <row r="6" s="4760" customFormat="1" ht="15.75" spans="1:2">
      <c r="A6" s="4767" t="s">
        <v>6</v>
      </c>
      <c r="B6" s="4768" t="str">
        <f>'预评函-1'!A4</f>
        <v>受贵公司委托，我公司对北京市房地产市场价值进行了预评估。</v>
      </c>
    </row>
    <row r="7" s="4761" customFormat="1" spans="1:2">
      <c r="A7" s="4769" t="s">
        <v>7</v>
      </c>
      <c r="B7" s="4770" t="str">
        <f>'预评函-1'!A7</f>
        <v>估价对象为北京市房地产，为所有。根据《国有土地使用证》[]，估价对象（分摊）出让国有建设用地使用权面积为9999.1平方米，建筑面积为16724.51平方米。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估价对象为北京市房地产,属开发建设的，该项目尚在开发建设中。根据《国有土地使用证》[]，估价对象（分摊）出让国有建设用地使用权面积为9999.1平方米，规划建筑面积为16724.51平方米。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2026年1月7日</v>
      </c>
    </row>
    <row r="13" s="4761" customFormat="1" spans="1:2">
      <c r="A13" s="4769" t="s">
        <v>13</v>
      </c>
      <c r="B13" s="4770"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v>
      </c>
    </row>
    <row r="16" s="4761" customFormat="1" spans="1:2">
      <c r="A16" s="4769" t="s">
        <v>16</v>
      </c>
      <c r="B16" s="4770" t="str">
        <f>'预评函-1'!A21</f>
        <v>——</v>
      </c>
    </row>
    <row r="17" s="4761" customFormat="1" spans="1:2">
      <c r="A17" s="4769" t="s">
        <v>17</v>
      </c>
      <c r="B17" s="4770" t="str">
        <f>'预评函-1'!A22</f>
        <v>——</v>
      </c>
    </row>
    <row r="18" s="4759" customFormat="1" ht="15.75" spans="1:2">
      <c r="A18" s="4771" t="s">
        <v>18</v>
      </c>
      <c r="B18" s="4772" t="str">
        <f>'预评函-1'!A24</f>
        <v>本次评估采用的主估价方法为成本法和收益法。</v>
      </c>
    </row>
    <row r="19" s="4760" customFormat="1" ht="15.75" spans="1:2">
      <c r="A19" s="4767" t="s">
        <v>19</v>
      </c>
      <c r="B19" s="47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1" customFormat="1" spans="1:2">
      <c r="A20" s="4769" t="s">
        <v>20</v>
      </c>
      <c r="B20" s="4770">
        <f ca="1">'预评函-2'!D5</f>
        <v>12495</v>
      </c>
    </row>
    <row r="21" s="4761" customFormat="1" spans="1:2">
      <c r="A21" s="4769" t="s">
        <v>21</v>
      </c>
      <c r="B21" s="4770">
        <f ca="1">'预评函-2'!D7</f>
        <v>7471</v>
      </c>
    </row>
    <row r="22" s="4761" customFormat="1" spans="1:2">
      <c r="A22" s="4769" t="s">
        <v>22</v>
      </c>
      <c r="B22" s="4770" t="str">
        <f ca="1">'预评函-2'!D6</f>
        <v>壹亿贰仟肆佰玖拾伍万元整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12495</v>
      </c>
    </row>
    <row r="31" s="4761" customFormat="1" spans="1:2">
      <c r="A31" s="4769" t="s">
        <v>31</v>
      </c>
      <c r="B31" s="4770">
        <f ca="1">'预评函-2'!D15</f>
        <v>7471</v>
      </c>
    </row>
    <row r="32" s="4761" customFormat="1" spans="1:2">
      <c r="A32" s="4769" t="s">
        <v>32</v>
      </c>
      <c r="B32" s="4770" t="str">
        <f ca="1">'预评函-2'!D14</f>
        <v>壹亿贰仟肆佰玖拾伍万元整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ht="30" spans="1:2">
      <c r="A42" s="4769" t="s">
        <v>42</v>
      </c>
      <c r="B42" s="4770" t="str">
        <f>'预评函-3'!B2</f>
        <v>建筑面积</v>
      </c>
    </row>
    <row r="43" s="4761" customFormat="1" spans="1:2">
      <c r="A43" s="4769" t="s">
        <v>43</v>
      </c>
      <c r="B43" s="4770">
        <f>'预评函-3'!B4</f>
        <v>16724.51</v>
      </c>
    </row>
    <row r="44" s="4761" customFormat="1" ht="30" spans="1:2">
      <c r="A44" s="4769" t="s">
        <v>44</v>
      </c>
      <c r="B44" s="4770" t="str">
        <f>'预评函-3'!C2</f>
        <v>(分摊)土地面积</v>
      </c>
    </row>
    <row r="45" s="4761" customFormat="1" spans="1:2">
      <c r="A45" s="4769" t="s">
        <v>45</v>
      </c>
      <c r="B45" s="4770">
        <f>'预评函-3'!C4</f>
        <v>9999.1</v>
      </c>
    </row>
    <row r="46" s="4761" customFormat="1" spans="1:2">
      <c r="A46" s="4769" t="s">
        <v>46</v>
      </c>
      <c r="B46" s="4770" t="str">
        <f>'预评函-3'!D2</f>
        <v>出让国有建设用地使用权价值</v>
      </c>
    </row>
    <row r="47" s="4761" customFormat="1" spans="1:2">
      <c r="A47" s="4769" t="s">
        <v>47</v>
      </c>
      <c r="B47" s="4770">
        <f ca="1">'预评函-3'!D4</f>
        <v>8672</v>
      </c>
    </row>
    <row r="48" s="4761" customFormat="1" spans="1:2">
      <c r="A48" s="4769" t="s">
        <v>48</v>
      </c>
      <c r="B48" s="4770">
        <f ca="1">'预评函-3'!E4</f>
        <v>5185</v>
      </c>
    </row>
    <row r="49" s="4761" customFormat="1" spans="1:2">
      <c r="A49" s="4769" t="s">
        <v>49</v>
      </c>
      <c r="B49" s="4770" t="str">
        <f ca="1">'预评函-3'!D5</f>
        <v>捌仟陆佰柒拾贰万元整</v>
      </c>
    </row>
    <row r="50" s="4761" customFormat="1" spans="1:2">
      <c r="A50" s="4769" t="s">
        <v>50</v>
      </c>
      <c r="B50" s="4770">
        <f>'预评函-3'!F2</f>
        <v>0</v>
      </c>
    </row>
    <row r="51" s="4761" customFormat="1" spans="1:2">
      <c r="A51" s="4769" t="s">
        <v>51</v>
      </c>
      <c r="B51" s="4770">
        <f ca="1">'预评函-3'!F4</f>
        <v>3823</v>
      </c>
    </row>
    <row r="52" s="4761" customFormat="1" spans="1:2">
      <c r="A52" s="4769" t="s">
        <v>52</v>
      </c>
      <c r="B52" s="4770">
        <f ca="1">'预评函-3'!G4</f>
        <v>2286</v>
      </c>
    </row>
    <row r="53" s="4761" customFormat="1" spans="1:2">
      <c r="A53" s="4769" t="s">
        <v>53</v>
      </c>
      <c r="B53" s="4770" t="str">
        <f ca="1">'预评函-3'!F5</f>
        <v>叁仟捌佰贰拾叁万元整</v>
      </c>
    </row>
    <row r="54" s="4761" customFormat="1" spans="1:2">
      <c r="A54" s="4769" t="s">
        <v>54</v>
      </c>
      <c r="B54" s="4770" t="str">
        <f>'预评函-3'!A8</f>
        <v/>
      </c>
    </row>
    <row r="55" s="4761" customFormat="1" spans="1:2">
      <c r="A55" s="4769" t="s">
        <v>55</v>
      </c>
      <c r="B55" s="4770" t="str">
        <f>'预评函-3'!A10</f>
        <v/>
      </c>
    </row>
    <row r="56" s="4761" customFormat="1" spans="1:2">
      <c r="A56" s="4769" t="s">
        <v>56</v>
      </c>
      <c r="B56" s="4770" t="str">
        <f>'预评函-3'!A12</f>
        <v/>
      </c>
    </row>
    <row r="57" s="4759" customFormat="1" ht="15.75" spans="1:2">
      <c r="A57" s="4771" t="s">
        <v>57</v>
      </c>
      <c r="B57" s="4772" t="str">
        <f>'预评函-3'!A6</f>
        <v/>
      </c>
    </row>
    <row r="58" s="4760" customFormat="1" ht="15.7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75" spans="1:2">
      <c r="A69" s="4771" t="s">
        <v>69</v>
      </c>
      <c r="B69" s="4773">
        <f>'预评函-4'!C31</f>
        <v>42551</v>
      </c>
    </row>
    <row r="70" ht="15.75" spans="1:2">
      <c r="A70" s="4774" t="s">
        <v>70</v>
      </c>
      <c r="B70" s="4775">
        <f>'预评函-4'!A4</f>
        <v>0</v>
      </c>
    </row>
    <row r="71" spans="1:2">
      <c r="A71" s="4769" t="s">
        <v>71</v>
      </c>
      <c r="B71" s="4770">
        <f ca="1">'预评函-4'!B4</f>
        <v>0</v>
      </c>
    </row>
    <row r="72" spans="1:2">
      <c r="A72" s="4769" t="s">
        <v>72</v>
      </c>
      <c r="B72" s="4776">
        <f>'预评函-4'!A5</f>
        <v>0</v>
      </c>
    </row>
    <row r="73" s="4759" customFormat="1" ht="15.75" spans="1:2">
      <c r="A73" s="4771" t="s">
        <v>73</v>
      </c>
      <c r="B73" s="4772">
        <f ca="1">'预评函-4'!B5</f>
        <v>0</v>
      </c>
    </row>
    <row r="74" ht="15.7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00" customWidth="1"/>
    <col min="2" max="2" width="23.2545454545455" style="4601" customWidth="1"/>
    <col min="3" max="3" width="13" style="4602" customWidth="1"/>
    <col min="4" max="4" width="5.75454545454545" style="4603" customWidth="1"/>
    <col min="5" max="5" width="7.12727272727273" style="4603" customWidth="1"/>
    <col min="6" max="6" width="10.6272727272727" style="4603" customWidth="1"/>
    <col min="7" max="7" width="7.5" style="4603" customWidth="1"/>
    <col min="8" max="8" width="11.8727272727273" style="4602" customWidth="1"/>
    <col min="9" max="9" width="11.6272727272727" style="4602" customWidth="1"/>
    <col min="10" max="10" width="9" style="4602" customWidth="1"/>
    <col min="11" max="19" width="9" style="4603" customWidth="1"/>
    <col min="20" max="23" width="9" style="4602" customWidth="1"/>
    <col min="24" max="28" width="15.1272727272727" style="4602" customWidth="1"/>
    <col min="29" max="16384" width="9" style="4601"/>
  </cols>
  <sheetData>
    <row r="1" s="4599" customFormat="1" ht="42"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45454545455" defaultRowHeight="14"/>
  <cols>
    <col min="1" max="7" width="15.2545454545455" style="4467"/>
    <col min="8" max="8" width="5.5" style="4467" customWidth="1"/>
    <col min="9" max="13" width="11.5" style="4468" customWidth="1"/>
    <col min="14" max="15" width="11.5" style="4467" customWidth="1"/>
    <col min="16" max="18" width="9.5" style="4467" customWidth="1"/>
    <col min="19" max="16384" width="15.2545454545455" style="4467"/>
  </cols>
  <sheetData>
    <row r="1" spans="1:18">
      <c r="A1" s="4469" t="s">
        <v>379</v>
      </c>
      <c r="B1" s="4470"/>
      <c r="C1" s="4470"/>
      <c r="D1" s="4470"/>
      <c r="E1" s="4470"/>
      <c r="F1" s="4471"/>
      <c r="I1" s="4472" t="s">
        <v>380</v>
      </c>
      <c r="J1" s="4473"/>
      <c r="K1" s="4473"/>
      <c r="L1" s="4473"/>
      <c r="M1" s="4473"/>
      <c r="N1" s="4474"/>
      <c r="O1" s="4474"/>
      <c r="P1" s="4474"/>
      <c r="Q1" s="4474"/>
      <c r="R1" s="4475"/>
    </row>
    <row r="2" spans="1:18">
      <c r="A2" s="4476"/>
      <c r="B2" s="4477"/>
      <c r="C2" s="4477"/>
      <c r="D2" s="4477"/>
      <c r="E2" s="4477"/>
      <c r="F2" s="4478"/>
      <c r="I2" s="4479" t="s">
        <v>381</v>
      </c>
      <c r="J2" s="4480"/>
      <c r="K2" s="4480"/>
      <c r="L2" s="4480"/>
      <c r="M2" s="4480"/>
      <c r="N2" s="4480"/>
      <c r="O2" s="4480"/>
      <c r="P2" s="4480"/>
      <c r="Q2" s="4480"/>
      <c r="R2" s="4481"/>
    </row>
    <row r="3" spans="1:18">
      <c r="A3" s="533" t="s">
        <v>382</v>
      </c>
      <c r="B3" s="4482">
        <f>项目基本情况!D3</f>
        <v>46029</v>
      </c>
      <c r="C3" s="4483"/>
      <c r="D3" s="4483"/>
      <c r="E3" s="4483"/>
      <c r="F3" s="4478"/>
      <c r="I3" s="4484"/>
      <c r="J3" s="4485" t="s">
        <v>383</v>
      </c>
      <c r="K3" s="4485" t="s">
        <v>384</v>
      </c>
      <c r="L3" s="4485" t="s">
        <v>385</v>
      </c>
      <c r="M3" s="4485" t="s">
        <v>386</v>
      </c>
      <c r="N3" s="4486" t="s">
        <v>387</v>
      </c>
      <c r="O3" s="4486" t="s">
        <v>388</v>
      </c>
      <c r="P3" s="4486" t="s">
        <v>389</v>
      </c>
      <c r="Q3" s="4486" t="s">
        <v>390</v>
      </c>
      <c r="R3" s="4487" t="s">
        <v>391</v>
      </c>
    </row>
    <row r="4" spans="1:18">
      <c r="A4" s="533" t="s">
        <v>392</v>
      </c>
      <c r="B4" s="4483" t="s">
        <v>393</v>
      </c>
      <c r="C4" s="4483" t="s">
        <v>394</v>
      </c>
      <c r="D4" s="4483" t="s">
        <v>395</v>
      </c>
      <c r="E4" s="4483" t="s">
        <v>396</v>
      </c>
      <c r="F4" s="4478"/>
      <c r="I4" s="4484" t="s">
        <v>397</v>
      </c>
      <c r="J4" s="4488">
        <v>80</v>
      </c>
      <c r="K4" s="4488">
        <v>70</v>
      </c>
      <c r="L4" s="4488">
        <v>20</v>
      </c>
      <c r="M4" s="4488">
        <v>30</v>
      </c>
      <c r="N4" s="556">
        <v>45</v>
      </c>
      <c r="O4" s="556">
        <v>60</v>
      </c>
      <c r="P4" s="556">
        <v>50</v>
      </c>
      <c r="Q4" s="556">
        <v>20</v>
      </c>
      <c r="R4" s="4489">
        <v>375</v>
      </c>
    </row>
    <row r="5" spans="1:18">
      <c r="A5" s="4490">
        <v>40</v>
      </c>
      <c r="B5" s="4482">
        <v>46375</v>
      </c>
      <c r="C5" s="4491">
        <f>ROUNDDOWN(MIN((B5-B3)/365,A5),2)</f>
        <v>0.94</v>
      </c>
      <c r="D5" s="4492">
        <f>IF(ISERROR(ROUND(POWER(1+E5,A5-C5)*(POWER(1+E5,C5)-1)/(POWER(1+E5,A5)-1),3)),0,ROUND(POWER(1+E5,A5-C5)*(POWER(1+E5,C5)-1)/(POWER(1+E5,A5)-1),4))</f>
        <v>0.0457</v>
      </c>
      <c r="E5" s="4493">
        <v>0.04</v>
      </c>
      <c r="F5" s="4478"/>
      <c r="I5" s="4484" t="s">
        <v>398</v>
      </c>
      <c r="J5" s="4488">
        <v>70</v>
      </c>
      <c r="K5" s="4488">
        <v>60</v>
      </c>
      <c r="L5" s="4488">
        <v>15</v>
      </c>
      <c r="M5" s="4488">
        <v>25</v>
      </c>
      <c r="N5" s="556">
        <v>40</v>
      </c>
      <c r="O5" s="556">
        <v>50</v>
      </c>
      <c r="P5" s="556">
        <v>40</v>
      </c>
      <c r="Q5" s="556">
        <v>15</v>
      </c>
      <c r="R5" s="4489">
        <v>315</v>
      </c>
    </row>
    <row r="6" ht="14.75" spans="1:18">
      <c r="A6" s="4490">
        <v>50</v>
      </c>
      <c r="B6" s="4482">
        <v>50028</v>
      </c>
      <c r="C6" s="4491">
        <f>ROUNDDOWN(MIN((B6-B3)/365,A6),2)</f>
        <v>10.95</v>
      </c>
      <c r="D6" s="4492">
        <f>IF(ISERROR(ROUND(POWER(1+E6,A6-C6)*(POWER(1+E6,C6)-1)/(POWER(1+E6,A6)-1),3)),0,ROUND(POWER(1+E6,A6-C6)*(POWER(1+E6,C6)-1)/(POWER(1+E6,A6)-1),4))</f>
        <v>0.4063</v>
      </c>
      <c r="E6" s="4493">
        <v>0.04</v>
      </c>
      <c r="F6" s="4478"/>
      <c r="I6" s="4494" t="s">
        <v>399</v>
      </c>
      <c r="J6" s="4495">
        <v>60</v>
      </c>
      <c r="K6" s="4495">
        <v>50</v>
      </c>
      <c r="L6" s="4495">
        <v>10</v>
      </c>
      <c r="M6" s="4495">
        <v>20</v>
      </c>
      <c r="N6" s="4496">
        <v>35</v>
      </c>
      <c r="O6" s="4496">
        <v>40</v>
      </c>
      <c r="P6" s="4496">
        <v>30</v>
      </c>
      <c r="Q6" s="4496">
        <v>10</v>
      </c>
      <c r="R6" s="4497">
        <v>255</v>
      </c>
    </row>
    <row r="7" spans="1:18">
      <c r="A7" s="4490">
        <v>70</v>
      </c>
      <c r="B7" s="4482">
        <v>57333</v>
      </c>
      <c r="C7" s="4491">
        <f>ROUNDDOWN(MIN((B7-B3)/365,A7),2)</f>
        <v>30.96</v>
      </c>
      <c r="D7" s="4492">
        <f>IF(ISERROR(ROUND(POWER(1+E7,A7-C7)*(POWER(1+E7,C7)-1)/(POWER(1+E7,A7)-1),3)),0,ROUND(POWER(1+E7,A7-C7)*(POWER(1+E7,C7)-1)/(POWER(1+E7,A7)-1),4))</f>
        <v>0.7513</v>
      </c>
      <c r="E7" s="4493">
        <v>0.04</v>
      </c>
      <c r="F7" s="4478"/>
      <c r="I7" s="4498" t="s">
        <v>400</v>
      </c>
      <c r="J7" s="4499" t="s">
        <v>401</v>
      </c>
      <c r="K7" s="4500">
        <v>3.5</v>
      </c>
      <c r="L7" s="4501" t="s">
        <v>402</v>
      </c>
      <c r="M7" s="4502"/>
      <c r="N7" s="4470"/>
      <c r="O7" s="4470"/>
      <c r="P7" s="4470"/>
      <c r="Q7" s="4470"/>
      <c r="R7" s="4471"/>
    </row>
    <row r="8" spans="1:18">
      <c r="A8" s="4476"/>
      <c r="B8" s="4477"/>
      <c r="C8" s="4477"/>
      <c r="D8" s="4477"/>
      <c r="E8" s="4477"/>
      <c r="F8" s="4478"/>
      <c r="I8" s="4479" t="s">
        <v>403</v>
      </c>
      <c r="J8" s="4480"/>
      <c r="K8" s="4480"/>
      <c r="L8" s="4480"/>
      <c r="M8" s="4480"/>
      <c r="N8" s="4480"/>
      <c r="O8" s="4480"/>
      <c r="P8" s="4480"/>
      <c r="Q8" s="4480"/>
      <c r="R8" s="4481"/>
    </row>
    <row r="9" spans="1:18">
      <c r="A9" s="533" t="s">
        <v>404</v>
      </c>
      <c r="B9" s="4483"/>
      <c r="C9" s="4483"/>
      <c r="D9" s="4483"/>
      <c r="E9" s="4483"/>
      <c r="F9" s="4503"/>
      <c r="I9" s="4484"/>
      <c r="J9" s="4485" t="s">
        <v>383</v>
      </c>
      <c r="K9" s="4485" t="s">
        <v>384</v>
      </c>
      <c r="L9" s="4485" t="s">
        <v>385</v>
      </c>
      <c r="M9" s="4485" t="s">
        <v>386</v>
      </c>
      <c r="N9" s="4486" t="s">
        <v>387</v>
      </c>
      <c r="O9" s="4486" t="s">
        <v>388</v>
      </c>
      <c r="P9" s="4486" t="s">
        <v>389</v>
      </c>
      <c r="Q9" s="4486" t="s">
        <v>390</v>
      </c>
      <c r="R9" s="4487" t="s">
        <v>391</v>
      </c>
    </row>
    <row r="10" spans="1:18">
      <c r="A10" s="533" t="s">
        <v>405</v>
      </c>
      <c r="B10" s="4483"/>
      <c r="C10" s="4483"/>
      <c r="D10" s="4483" t="s">
        <v>396</v>
      </c>
      <c r="E10" s="4483"/>
      <c r="F10" s="4503" t="s">
        <v>395</v>
      </c>
      <c r="I10" s="4484" t="s">
        <v>397</v>
      </c>
      <c r="J10" s="4488">
        <f t="shared" ref="J10:R10" si="0">J4/$K$7</f>
        <v>22.8571428571429</v>
      </c>
      <c r="K10" s="4488">
        <f t="shared" si="0"/>
        <v>20</v>
      </c>
      <c r="L10" s="4488">
        <f t="shared" si="0"/>
        <v>5.71428571428571</v>
      </c>
      <c r="M10" s="4488">
        <f t="shared" si="0"/>
        <v>8.57142857142857</v>
      </c>
      <c r="N10" s="4488">
        <f t="shared" si="0"/>
        <v>12.8571428571429</v>
      </c>
      <c r="O10" s="4488">
        <f t="shared" si="0"/>
        <v>17.1428571428571</v>
      </c>
      <c r="P10" s="4488">
        <f t="shared" si="0"/>
        <v>14.2857142857143</v>
      </c>
      <c r="Q10" s="4488">
        <f t="shared" si="0"/>
        <v>5.71428571428571</v>
      </c>
      <c r="R10" s="4504">
        <f t="shared" si="0"/>
        <v>107.142857142857</v>
      </c>
    </row>
    <row r="11" spans="1:18">
      <c r="A11" s="4505" t="s">
        <v>406</v>
      </c>
      <c r="B11" s="4506">
        <v>70</v>
      </c>
      <c r="C11" s="4507" t="s">
        <v>407</v>
      </c>
      <c r="D11" s="4493">
        <v>0.045</v>
      </c>
      <c r="E11" s="4507" t="s">
        <v>408</v>
      </c>
      <c r="F11" s="4508">
        <f>ROUND(1-(1/(POWER(1+D11,B11))),4)</f>
        <v>0.9541</v>
      </c>
      <c r="I11" s="4484" t="s">
        <v>398</v>
      </c>
      <c r="J11" s="4488">
        <f t="shared" ref="J11:R11" si="1">J5/$K$7</f>
        <v>20</v>
      </c>
      <c r="K11" s="4488">
        <f t="shared" si="1"/>
        <v>17.1428571428571</v>
      </c>
      <c r="L11" s="4488">
        <f t="shared" si="1"/>
        <v>4.28571428571429</v>
      </c>
      <c r="M11" s="4488">
        <f t="shared" si="1"/>
        <v>7.14285714285714</v>
      </c>
      <c r="N11" s="4488">
        <f t="shared" si="1"/>
        <v>11.4285714285714</v>
      </c>
      <c r="O11" s="4488">
        <f t="shared" si="1"/>
        <v>14.2857142857143</v>
      </c>
      <c r="P11" s="4488">
        <f t="shared" si="1"/>
        <v>11.4285714285714</v>
      </c>
      <c r="Q11" s="4488">
        <f t="shared" si="1"/>
        <v>4.28571428571429</v>
      </c>
      <c r="R11" s="4504">
        <f t="shared" si="1"/>
        <v>90</v>
      </c>
    </row>
    <row r="12" ht="14.75" spans="1:18">
      <c r="A12" s="4505" t="s">
        <v>409</v>
      </c>
      <c r="B12" s="4506">
        <v>40</v>
      </c>
      <c r="C12" s="4507" t="s">
        <v>410</v>
      </c>
      <c r="D12" s="4493">
        <v>0.045</v>
      </c>
      <c r="E12" s="4507" t="s">
        <v>411</v>
      </c>
      <c r="F12" s="4508">
        <f>ROUND(1-(1/(POWER(1+D12,B12))),4)</f>
        <v>0.8281</v>
      </c>
      <c r="I12" s="4509" t="s">
        <v>399</v>
      </c>
      <c r="J12" s="4510">
        <f t="shared" ref="J12:R12" si="2">J6/$K$7</f>
        <v>17.1428571428571</v>
      </c>
      <c r="K12" s="4510">
        <f t="shared" si="2"/>
        <v>14.2857142857143</v>
      </c>
      <c r="L12" s="4510">
        <f t="shared" si="2"/>
        <v>2.85714285714286</v>
      </c>
      <c r="M12" s="4510">
        <f t="shared" si="2"/>
        <v>5.71428571428571</v>
      </c>
      <c r="N12" s="4510">
        <f t="shared" si="2"/>
        <v>10</v>
      </c>
      <c r="O12" s="4510">
        <f t="shared" si="2"/>
        <v>11.4285714285714</v>
      </c>
      <c r="P12" s="4510">
        <f t="shared" si="2"/>
        <v>8.57142857142857</v>
      </c>
      <c r="Q12" s="4510">
        <f t="shared" si="2"/>
        <v>2.85714285714286</v>
      </c>
      <c r="R12" s="4511">
        <f t="shared" si="2"/>
        <v>72.8571428571429</v>
      </c>
    </row>
    <row r="13" spans="1:18">
      <c r="A13" s="533" t="s">
        <v>412</v>
      </c>
      <c r="B13" s="4483"/>
      <c r="C13" s="4483"/>
      <c r="D13" s="4477"/>
      <c r="E13" s="4477"/>
      <c r="F13" s="4478"/>
      <c r="I13" s="4512" t="s">
        <v>413</v>
      </c>
      <c r="J13" s="4513">
        <v>2.5</v>
      </c>
      <c r="K13" s="4502" t="s">
        <v>414</v>
      </c>
      <c r="L13" s="4514">
        <v>0.9263</v>
      </c>
      <c r="M13" s="4502"/>
      <c r="N13" s="4470"/>
      <c r="O13" s="4470"/>
      <c r="P13" s="4470"/>
      <c r="Q13" s="4470"/>
      <c r="R13" s="4471"/>
    </row>
    <row r="14" spans="1:18">
      <c r="A14" s="4505" t="s">
        <v>415</v>
      </c>
      <c r="B14" s="4515">
        <v>5000</v>
      </c>
      <c r="C14" s="4516"/>
      <c r="D14" s="4477"/>
      <c r="E14" s="4477"/>
      <c r="F14" s="4478"/>
      <c r="I14" s="4484"/>
      <c r="J14" s="4485" t="s">
        <v>383</v>
      </c>
      <c r="K14" s="4485" t="s">
        <v>384</v>
      </c>
      <c r="L14" s="4485" t="s">
        <v>385</v>
      </c>
      <c r="M14" s="4485" t="s">
        <v>386</v>
      </c>
      <c r="N14" s="4486" t="s">
        <v>387</v>
      </c>
      <c r="O14" s="4486" t="s">
        <v>388</v>
      </c>
      <c r="P14" s="4486" t="s">
        <v>389</v>
      </c>
      <c r="Q14" s="4486" t="s">
        <v>390</v>
      </c>
      <c r="R14" s="4487" t="s">
        <v>391</v>
      </c>
    </row>
    <row r="15" spans="1:18">
      <c r="A15" s="4505" t="s">
        <v>416</v>
      </c>
      <c r="B15" s="4517">
        <f>ROUND(B14*F12/F11,2)</f>
        <v>4339.69</v>
      </c>
      <c r="C15" s="4492">
        <f>ROUND(F12/F11,4)</f>
        <v>0.8679</v>
      </c>
      <c r="D15" s="4477"/>
      <c r="E15" s="4477"/>
      <c r="F15" s="4478"/>
      <c r="I15" s="4484" t="s">
        <v>397</v>
      </c>
      <c r="J15" s="4488">
        <f t="shared" ref="J15:R15" si="3">J10/$L$13</f>
        <v>24.6757452846193</v>
      </c>
      <c r="K15" s="4488">
        <f t="shared" si="3"/>
        <v>21.5912771240419</v>
      </c>
      <c r="L15" s="4488">
        <f t="shared" si="3"/>
        <v>6.16893632115482</v>
      </c>
      <c r="M15" s="4488">
        <f t="shared" si="3"/>
        <v>9.25340448173224</v>
      </c>
      <c r="N15" s="4488">
        <f t="shared" si="3"/>
        <v>13.8801067225984</v>
      </c>
      <c r="O15" s="4488">
        <f t="shared" si="3"/>
        <v>18.5068089634645</v>
      </c>
      <c r="P15" s="4488">
        <f t="shared" si="3"/>
        <v>15.4223408028871</v>
      </c>
      <c r="Q15" s="4488">
        <f t="shared" si="3"/>
        <v>6.16893632115482</v>
      </c>
      <c r="R15" s="4504">
        <f t="shared" si="3"/>
        <v>115.667556021653</v>
      </c>
    </row>
    <row r="16" spans="1:18">
      <c r="A16" s="533" t="s">
        <v>417</v>
      </c>
      <c r="B16" s="4518"/>
      <c r="C16" s="4518"/>
      <c r="D16" s="4477"/>
      <c r="E16" s="4477"/>
      <c r="F16" s="4478"/>
      <c r="I16" s="4484" t="s">
        <v>398</v>
      </c>
      <c r="J16" s="4488">
        <f t="shared" ref="J16:R16" si="4">J11/$L$13</f>
        <v>21.5912771240419</v>
      </c>
      <c r="K16" s="4488">
        <f t="shared" si="4"/>
        <v>18.5068089634645</v>
      </c>
      <c r="L16" s="4488">
        <f t="shared" si="4"/>
        <v>4.62670224086612</v>
      </c>
      <c r="M16" s="4488">
        <f t="shared" si="4"/>
        <v>7.71117040144353</v>
      </c>
      <c r="N16" s="4488">
        <f t="shared" si="4"/>
        <v>12.3378726423096</v>
      </c>
      <c r="O16" s="4488">
        <f t="shared" si="4"/>
        <v>15.4223408028871</v>
      </c>
      <c r="P16" s="4488">
        <f t="shared" si="4"/>
        <v>12.3378726423096</v>
      </c>
      <c r="Q16" s="4488">
        <f t="shared" si="4"/>
        <v>4.62670224086612</v>
      </c>
      <c r="R16" s="4504">
        <f t="shared" si="4"/>
        <v>97.1607470581885</v>
      </c>
    </row>
    <row r="17" ht="14.75" spans="1:18">
      <c r="A17" s="4505" t="s">
        <v>416</v>
      </c>
      <c r="B17" s="4519">
        <v>4810</v>
      </c>
      <c r="C17" s="4516"/>
      <c r="D17" s="4477"/>
      <c r="E17" s="4477"/>
      <c r="F17" s="4478"/>
      <c r="I17" s="4494" t="s">
        <v>399</v>
      </c>
      <c r="J17" s="4495">
        <f t="shared" ref="J17:R17" si="5">J12/$L$13</f>
        <v>18.5068089634645</v>
      </c>
      <c r="K17" s="4495">
        <f t="shared" si="5"/>
        <v>15.4223408028871</v>
      </c>
      <c r="L17" s="4495">
        <f t="shared" si="5"/>
        <v>3.08446816057741</v>
      </c>
      <c r="M17" s="4495">
        <f t="shared" si="5"/>
        <v>6.16893632115482</v>
      </c>
      <c r="N17" s="4495">
        <f t="shared" si="5"/>
        <v>10.7956385620209</v>
      </c>
      <c r="O17" s="4495">
        <f t="shared" si="5"/>
        <v>12.3378726423096</v>
      </c>
      <c r="P17" s="4495">
        <f t="shared" si="5"/>
        <v>9.25340448173224</v>
      </c>
      <c r="Q17" s="4495">
        <f t="shared" si="5"/>
        <v>3.08446816057741</v>
      </c>
      <c r="R17" s="4520">
        <f t="shared" si="5"/>
        <v>78.653938094724</v>
      </c>
    </row>
    <row r="18" ht="14.75" spans="1:18">
      <c r="A18" s="4521" t="s">
        <v>415</v>
      </c>
      <c r="B18" s="4522">
        <f>ROUND(B17*F11/F12,2)</f>
        <v>5541.87</v>
      </c>
      <c r="C18" s="4523">
        <f>ROUND(F11/F12,4)</f>
        <v>1.1522</v>
      </c>
      <c r="D18" s="4524"/>
      <c r="E18" s="4524"/>
      <c r="F18" s="4525"/>
    </row>
    <row r="19" s="4465" customFormat="1" ht="14.75" spans="1:18">
      <c r="I19" s="4526"/>
      <c r="J19" s="4526"/>
      <c r="K19" s="4526"/>
      <c r="L19" s="4526"/>
      <c r="M19" s="4526"/>
    </row>
    <row r="20" s="4466" customFormat="1" spans="1:18">
      <c r="A20" s="4527" t="s">
        <v>418</v>
      </c>
      <c r="B20" s="4528"/>
      <c r="C20" s="4528"/>
      <c r="D20" s="4528"/>
      <c r="E20" s="4528"/>
      <c r="F20" s="4528"/>
      <c r="G20" s="4529"/>
      <c r="I20" s="4530" t="s">
        <v>419</v>
      </c>
      <c r="J20" s="4530" t="s">
        <v>420</v>
      </c>
      <c r="K20" s="4530"/>
      <c r="L20" s="4530"/>
      <c r="M20" s="4530"/>
    </row>
    <row r="21" spans="1:18">
      <c r="A21" s="4531"/>
      <c r="B21" s="4532" t="s">
        <v>421</v>
      </c>
      <c r="C21" s="4532" t="s">
        <v>394</v>
      </c>
      <c r="D21" s="4532" t="s">
        <v>422</v>
      </c>
      <c r="E21" s="4532" t="s">
        <v>395</v>
      </c>
      <c r="F21" s="4532" t="s">
        <v>423</v>
      </c>
      <c r="G21" s="4533" t="s">
        <v>424</v>
      </c>
      <c r="I21" s="4534">
        <v>5</v>
      </c>
      <c r="J21" s="4535">
        <v>54.2</v>
      </c>
      <c r="K21" s="4535"/>
    </row>
    <row r="22" spans="1:18">
      <c r="A22" s="4531"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8">
      <c r="A23" s="4531"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8" t="s">
        <v>427</v>
      </c>
      <c r="N23" s="4541" t="s">
        <v>428</v>
      </c>
    </row>
    <row r="24" spans="1:18">
      <c r="A24" s="4531"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8" t="s">
        <v>430</v>
      </c>
      <c r="N24" s="4542">
        <v>10</v>
      </c>
    </row>
    <row r="25" spans="1:18">
      <c r="A25" s="4531"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8" t="s">
        <v>432</v>
      </c>
      <c r="N25" s="4542">
        <v>8</v>
      </c>
    </row>
    <row r="26" spans="1:18">
      <c r="A26" s="4543"/>
      <c r="B26" s="4544"/>
      <c r="C26" s="4544"/>
      <c r="D26" s="4544"/>
      <c r="E26" s="4544"/>
      <c r="F26" s="4544"/>
      <c r="G26" s="4545"/>
      <c r="I26" s="4534">
        <v>30</v>
      </c>
      <c r="J26" s="4535">
        <v>90.5</v>
      </c>
      <c r="K26" s="4535">
        <f t="shared" si="7"/>
        <v>4.2</v>
      </c>
      <c r="L26" s="4468" t="s">
        <v>433</v>
      </c>
      <c r="N26" s="4542">
        <v>5</v>
      </c>
    </row>
    <row r="27" spans="1:18">
      <c r="A27" s="4543" t="s">
        <v>434</v>
      </c>
      <c r="B27" s="4544"/>
      <c r="C27" s="4544"/>
      <c r="D27" s="4544"/>
      <c r="E27" s="4544"/>
      <c r="F27" s="4544"/>
      <c r="G27" s="4545"/>
      <c r="I27" s="4534">
        <v>35</v>
      </c>
      <c r="J27" s="4535">
        <v>93.8</v>
      </c>
      <c r="K27" s="4535">
        <f t="shared" si="7"/>
        <v>3.3</v>
      </c>
      <c r="L27" s="4468" t="s">
        <v>435</v>
      </c>
      <c r="N27" s="4542">
        <v>3</v>
      </c>
    </row>
    <row r="28" spans="1:18">
      <c r="A28" s="4543" t="s">
        <v>436</v>
      </c>
      <c r="B28" s="4544"/>
      <c r="C28" s="4544"/>
      <c r="D28" s="4544"/>
      <c r="E28" s="4544"/>
      <c r="F28" s="4544"/>
      <c r="G28" s="4545"/>
      <c r="I28" s="4534">
        <v>40</v>
      </c>
      <c r="J28" s="4535">
        <v>96.4</v>
      </c>
      <c r="K28" s="4535">
        <f t="shared" si="7"/>
        <v>2.60000000000001</v>
      </c>
      <c r="L28" s="4468" t="s">
        <v>437</v>
      </c>
      <c r="N28" s="4542">
        <v>2</v>
      </c>
    </row>
    <row r="29" spans="1:18">
      <c r="A29" s="4543" t="s">
        <v>438</v>
      </c>
      <c r="B29" s="4544"/>
      <c r="C29" s="4544"/>
      <c r="D29" s="4544"/>
      <c r="E29" s="4544"/>
      <c r="F29" s="4544"/>
      <c r="G29" s="4545"/>
      <c r="I29" s="4534">
        <v>45</v>
      </c>
      <c r="J29" s="4535">
        <v>98.4</v>
      </c>
      <c r="K29" s="4535">
        <f t="shared" si="7"/>
        <v>2</v>
      </c>
    </row>
    <row r="30" spans="1:18">
      <c r="A30" s="4543" t="s">
        <v>439</v>
      </c>
      <c r="B30" s="4544"/>
      <c r="C30" s="4544"/>
      <c r="D30" s="4544"/>
      <c r="E30" s="4544"/>
      <c r="F30" s="4544"/>
      <c r="G30" s="4545"/>
      <c r="I30" s="4534">
        <v>50</v>
      </c>
      <c r="J30" s="4535">
        <v>100</v>
      </c>
      <c r="K30" s="4535">
        <f t="shared" si="7"/>
        <v>1.59999999999999</v>
      </c>
    </row>
    <row r="31" spans="1:18">
      <c r="A31" s="4543" t="s">
        <v>440</v>
      </c>
      <c r="B31" s="4544"/>
      <c r="C31" s="4544"/>
      <c r="D31" s="4544"/>
      <c r="E31" s="4544"/>
      <c r="F31" s="4544"/>
      <c r="G31" s="4545"/>
      <c r="I31" s="4468" t="s">
        <v>441</v>
      </c>
    </row>
    <row r="32" spans="1:18">
      <c r="A32" s="4543" t="s">
        <v>442</v>
      </c>
      <c r="B32" s="4544"/>
      <c r="C32" s="4544"/>
      <c r="D32" s="4544"/>
      <c r="E32" s="4544"/>
      <c r="F32" s="4544"/>
      <c r="G32" s="4545"/>
    </row>
    <row r="33" spans="1:14">
      <c r="A33" s="4543" t="s">
        <v>443</v>
      </c>
      <c r="B33" s="4544"/>
      <c r="C33" s="4544"/>
      <c r="D33" s="4544"/>
      <c r="E33" s="4544"/>
      <c r="F33" s="4544"/>
      <c r="G33" s="4545"/>
      <c r="I33" s="4468" t="s">
        <v>419</v>
      </c>
      <c r="J33" s="4468" t="s">
        <v>444</v>
      </c>
    </row>
    <row r="34" spans="1:14">
      <c r="A34" s="4543" t="s">
        <v>445</v>
      </c>
      <c r="B34" s="4544"/>
      <c r="C34" s="4544"/>
      <c r="D34" s="4544"/>
      <c r="E34" s="4544"/>
      <c r="F34" s="4544"/>
      <c r="G34" s="4545"/>
      <c r="I34" s="4534">
        <v>5</v>
      </c>
      <c r="J34" s="4535">
        <v>55.1</v>
      </c>
      <c r="K34" s="4535"/>
    </row>
    <row r="35" spans="1:14">
      <c r="A35" s="4543" t="s">
        <v>446</v>
      </c>
      <c r="B35" s="4544"/>
      <c r="C35" s="4544"/>
      <c r="D35" s="4544"/>
      <c r="E35" s="4544"/>
      <c r="F35" s="4544"/>
      <c r="G35" s="4545"/>
      <c r="I35" s="4534">
        <v>10</v>
      </c>
      <c r="J35" s="4535">
        <v>67</v>
      </c>
      <c r="K35" s="4535">
        <f>J35-J34</f>
        <v>11.9</v>
      </c>
    </row>
    <row r="36" spans="1:14">
      <c r="A36" s="4543" t="s">
        <v>447</v>
      </c>
      <c r="B36" s="4544"/>
      <c r="C36" s="4544"/>
      <c r="D36" s="4544"/>
      <c r="E36" s="4544"/>
      <c r="F36" s="4544"/>
      <c r="G36" s="4545"/>
      <c r="I36" s="4534">
        <v>15</v>
      </c>
      <c r="J36" s="4535">
        <v>76.3</v>
      </c>
      <c r="K36" s="4535">
        <f t="shared" ref="K36:K41" si="8">J36-J35</f>
        <v>9.3</v>
      </c>
      <c r="L36" s="4468" t="s">
        <v>427</v>
      </c>
      <c r="N36" s="4541" t="s">
        <v>428</v>
      </c>
    </row>
    <row r="37" spans="1:14">
      <c r="A37" s="4543" t="s">
        <v>448</v>
      </c>
      <c r="B37" s="4544"/>
      <c r="C37" s="4544"/>
      <c r="D37" s="4544"/>
      <c r="E37" s="4544"/>
      <c r="F37" s="4544"/>
      <c r="G37" s="4545"/>
      <c r="I37" s="4534">
        <v>20</v>
      </c>
      <c r="J37" s="4535">
        <v>83.6</v>
      </c>
      <c r="K37" s="4535">
        <f t="shared" si="8"/>
        <v>7.3</v>
      </c>
      <c r="L37" s="4468" t="s">
        <v>430</v>
      </c>
      <c r="N37" s="4542">
        <v>10</v>
      </c>
    </row>
    <row r="38" spans="1:14">
      <c r="A38" s="4543" t="s">
        <v>449</v>
      </c>
      <c r="B38" s="4544"/>
      <c r="C38" s="4544"/>
      <c r="D38" s="4544"/>
      <c r="E38" s="4544"/>
      <c r="F38" s="4544"/>
      <c r="G38" s="4545"/>
      <c r="I38" s="4534">
        <v>25</v>
      </c>
      <c r="J38" s="4535">
        <v>89.3</v>
      </c>
      <c r="K38" s="4535">
        <f t="shared" si="8"/>
        <v>5.7</v>
      </c>
      <c r="L38" s="4468" t="s">
        <v>432</v>
      </c>
      <c r="N38" s="4542">
        <v>8</v>
      </c>
    </row>
    <row r="39" spans="1:14">
      <c r="A39" s="4543"/>
      <c r="B39" s="4544"/>
      <c r="C39" s="4544"/>
      <c r="D39" s="4544"/>
      <c r="E39" s="4544"/>
      <c r="F39" s="4544"/>
      <c r="G39" s="4545"/>
      <c r="I39" s="4534">
        <v>30</v>
      </c>
      <c r="J39" s="4535">
        <v>93.8</v>
      </c>
      <c r="K39" s="4535">
        <f t="shared" si="8"/>
        <v>4.5</v>
      </c>
      <c r="L39" s="4468" t="s">
        <v>433</v>
      </c>
      <c r="N39" s="4542">
        <v>6</v>
      </c>
    </row>
    <row r="40" spans="1:14">
      <c r="A40" s="4546" t="s">
        <v>450</v>
      </c>
      <c r="B40" s="4547"/>
      <c r="C40" s="4547"/>
      <c r="D40" s="4547"/>
      <c r="E40" s="4547"/>
      <c r="F40" s="4547"/>
      <c r="G40" s="4548"/>
      <c r="I40" s="4534">
        <v>35</v>
      </c>
      <c r="J40" s="4535">
        <v>97.2</v>
      </c>
      <c r="K40" s="4535">
        <f t="shared" si="8"/>
        <v>3.40000000000001</v>
      </c>
      <c r="L40" s="4468" t="s">
        <v>435</v>
      </c>
      <c r="N40" s="4542">
        <v>3</v>
      </c>
    </row>
    <row r="41" spans="1:14">
      <c r="A41" s="4549" t="s">
        <v>451</v>
      </c>
      <c r="B41" s="4550" t="s">
        <v>452</v>
      </c>
      <c r="C41" s="4551" t="s">
        <v>453</v>
      </c>
      <c r="D41" s="4551" t="s">
        <v>454</v>
      </c>
      <c r="E41" s="4552"/>
      <c r="F41" s="4553"/>
      <c r="G41" s="4554"/>
      <c r="I41" s="4534">
        <v>40</v>
      </c>
      <c r="J41" s="4535">
        <v>100</v>
      </c>
      <c r="K41" s="4535">
        <f t="shared" si="8"/>
        <v>2.8</v>
      </c>
    </row>
    <row r="42" spans="1:14">
      <c r="A42" s="4549" t="s">
        <v>233</v>
      </c>
      <c r="B42" s="4550" t="s">
        <v>455</v>
      </c>
      <c r="C42" s="4551" t="s">
        <v>455</v>
      </c>
      <c r="D42" s="4555" t="s">
        <v>456</v>
      </c>
      <c r="E42" s="4547" t="s">
        <v>457</v>
      </c>
      <c r="F42" s="4547"/>
      <c r="G42" s="4548"/>
    </row>
    <row r="43" spans="1:14">
      <c r="A43" s="4549" t="s">
        <v>232</v>
      </c>
      <c r="B43" s="4550" t="s">
        <v>458</v>
      </c>
      <c r="C43" s="4551" t="s">
        <v>459</v>
      </c>
      <c r="D43" s="4551" t="s">
        <v>460</v>
      </c>
      <c r="E43" s="4552" t="s">
        <v>461</v>
      </c>
      <c r="F43" s="4553"/>
      <c r="G43" s="4554"/>
      <c r="I43" s="4468" t="s">
        <v>419</v>
      </c>
      <c r="J43" s="4468" t="s">
        <v>462</v>
      </c>
    </row>
    <row r="44" spans="1:14">
      <c r="A44" s="4549" t="s">
        <v>463</v>
      </c>
      <c r="B44" s="4550" t="s">
        <v>464</v>
      </c>
      <c r="C44" s="4551" t="s">
        <v>465</v>
      </c>
      <c r="D44" s="4555">
        <v>0.5</v>
      </c>
      <c r="E44" s="4552" t="s">
        <v>466</v>
      </c>
      <c r="F44" s="4553"/>
      <c r="G44" s="4554"/>
      <c r="I44" s="4534">
        <v>30</v>
      </c>
      <c r="J44" s="4535">
        <v>81.7</v>
      </c>
      <c r="K44" s="4535"/>
    </row>
    <row r="45" ht="14.75" spans="1:14">
      <c r="A45" s="4556" t="s">
        <v>467</v>
      </c>
      <c r="B45" s="4557" t="s">
        <v>455</v>
      </c>
      <c r="C45" s="4558" t="s">
        <v>455</v>
      </c>
      <c r="D45" s="4558" t="s">
        <v>468</v>
      </c>
      <c r="E45" s="4559" t="s">
        <v>469</v>
      </c>
      <c r="F45" s="4559"/>
      <c r="G45" s="4560"/>
      <c r="I45" s="4534">
        <v>40</v>
      </c>
      <c r="J45" s="4535">
        <v>89.2</v>
      </c>
      <c r="K45" s="4535">
        <f>J45-J44</f>
        <v>7.5</v>
      </c>
    </row>
    <row r="46" spans="1:14">
      <c r="I46" s="4534">
        <v>50</v>
      </c>
      <c r="J46" s="4535">
        <v>94.3</v>
      </c>
      <c r="K46" s="4535">
        <f t="shared" ref="K46:K47" si="9">J46-J45</f>
        <v>5.09999999999999</v>
      </c>
    </row>
    <row r="47" spans="1:14">
      <c r="I47" s="4534">
        <v>60</v>
      </c>
      <c r="J47" s="4535">
        <v>97.7</v>
      </c>
      <c r="K47" s="4535">
        <f t="shared" si="9"/>
        <v>3.40000000000001</v>
      </c>
    </row>
    <row r="53" ht="14.75"/>
    <row r="54" ht="14.75" spans="1:15">
      <c r="A54" s="4561" t="s">
        <v>470</v>
      </c>
      <c r="B54" s="4562"/>
      <c r="C54" s="4562"/>
      <c r="D54" s="4562"/>
      <c r="E54" s="4562"/>
      <c r="I54" s="4563" t="s">
        <v>471</v>
      </c>
      <c r="J54" s="4563"/>
      <c r="K54" s="4563"/>
      <c r="L54" s="4563"/>
      <c r="M54" s="4563"/>
    </row>
    <row r="55" spans="1:15">
      <c r="A55" s="4564" t="s">
        <v>472</v>
      </c>
      <c r="B55" s="4565" t="s">
        <v>473</v>
      </c>
      <c r="C55" s="4566" t="s">
        <v>474</v>
      </c>
      <c r="D55" s="4567" t="s">
        <v>475</v>
      </c>
      <c r="E55" s="4568" t="s">
        <v>476</v>
      </c>
      <c r="F55" s="4569" t="s">
        <v>477</v>
      </c>
      <c r="I55" s="4485" t="s">
        <v>478</v>
      </c>
      <c r="J55" s="4485" t="s">
        <v>479</v>
      </c>
      <c r="K55" s="4485" t="s">
        <v>480</v>
      </c>
      <c r="L55" s="4485" t="s">
        <v>481</v>
      </c>
      <c r="M55" s="4485" t="s">
        <v>482</v>
      </c>
      <c r="O55" s="4485" t="s">
        <v>483</v>
      </c>
    </row>
    <row r="56" spans="1:15">
      <c r="A56" s="4570" t="s">
        <v>484</v>
      </c>
      <c r="B56" s="4571">
        <f>B57+B58</f>
        <v>77325.88</v>
      </c>
      <c r="C56" s="4571">
        <f>E56/B56</f>
        <v>2276.33766340583</v>
      </c>
      <c r="D56" s="4572"/>
      <c r="E56" s="3432">
        <f>E57+E58</f>
        <v>176019813</v>
      </c>
      <c r="F56" s="4573">
        <f>E56/$E$63</f>
        <v>0.437910336292325</v>
      </c>
      <c r="I56" s="4485"/>
      <c r="J56" s="4485"/>
      <c r="K56" s="4485"/>
      <c r="L56" s="4485"/>
      <c r="M56" s="4485"/>
      <c r="O56" s="4574"/>
    </row>
    <row r="57" spans="1:15">
      <c r="A57" s="4575" t="s">
        <v>485</v>
      </c>
      <c r="B57" s="4576">
        <v>59134.67</v>
      </c>
      <c r="C57" s="4577"/>
      <c r="D57" s="4578">
        <v>1500</v>
      </c>
      <c r="E57" s="4579">
        <f>D57*B57</f>
        <v>88702005</v>
      </c>
      <c r="F57" s="4573"/>
      <c r="I57" s="3162">
        <f>E57</f>
        <v>88702005</v>
      </c>
      <c r="J57" s="3162">
        <f>E59*B57/B56</f>
        <v>47307736</v>
      </c>
      <c r="K57" s="3162">
        <f>O57*B57</f>
        <v>106442406</v>
      </c>
      <c r="L57" s="3162">
        <f>E61*B57/B56</f>
        <v>22134812.9304186</v>
      </c>
      <c r="M57" s="3162">
        <f>E62*B57/B56</f>
        <v>14637751.5232247</v>
      </c>
      <c r="O57" s="4580">
        <v>1800</v>
      </c>
    </row>
    <row r="58" spans="1:15">
      <c r="A58" s="4575" t="s">
        <v>486</v>
      </c>
      <c r="B58" s="4576">
        <v>18191.21</v>
      </c>
      <c r="C58" s="4577"/>
      <c r="D58" s="4578">
        <v>4800</v>
      </c>
      <c r="E58" s="4579">
        <f>D58*B58</f>
        <v>87317808</v>
      </c>
      <c r="F58" s="4573"/>
      <c r="I58" s="3162">
        <f>E58</f>
        <v>87317808</v>
      </c>
      <c r="J58" s="3162">
        <f>E59-J57</f>
        <v>14552968</v>
      </c>
      <c r="K58" s="3162">
        <f>E60-K57</f>
        <v>9546414</v>
      </c>
      <c r="L58" s="3162">
        <f>E61-L57</f>
        <v>6809187.06958136</v>
      </c>
      <c r="M58" s="3162">
        <f>E62-M57</f>
        <v>4502915.32677531</v>
      </c>
      <c r="O58" s="4491">
        <f>K58/B58</f>
        <v>524.781694015956</v>
      </c>
    </row>
    <row r="59" spans="1:15">
      <c r="A59" s="4581" t="s">
        <v>487</v>
      </c>
      <c r="B59" s="4582">
        <f>B56</f>
        <v>77325.88</v>
      </c>
      <c r="C59" s="4583">
        <v>800</v>
      </c>
      <c r="D59" s="4584"/>
      <c r="E59" s="4585">
        <f>C59*B59</f>
        <v>61860704</v>
      </c>
      <c r="F59" s="4573">
        <f t="shared" ref="F59:F62" si="10">E59/$E$63</f>
        <v>0.153899957227656</v>
      </c>
    </row>
    <row r="60" spans="1:15">
      <c r="A60" s="4581" t="s">
        <v>488</v>
      </c>
      <c r="B60" s="4582">
        <f>B56</f>
        <v>77325.88</v>
      </c>
      <c r="C60" s="4583">
        <v>1500</v>
      </c>
      <c r="D60" s="4584"/>
      <c r="E60" s="4585">
        <f>C60*B60</f>
        <v>115988820</v>
      </c>
      <c r="F60" s="4573">
        <f t="shared" si="10"/>
        <v>0.288562419801855</v>
      </c>
    </row>
    <row r="61" spans="1:15">
      <c r="A61" s="4581" t="s">
        <v>489</v>
      </c>
      <c r="B61" s="4586">
        <v>6030</v>
      </c>
      <c r="C61" s="4582">
        <f>E61/B56</f>
        <v>374.311937995403</v>
      </c>
      <c r="D61" s="4587">
        <f>D58</f>
        <v>4800</v>
      </c>
      <c r="E61" s="4585">
        <f>D61*B61</f>
        <v>28944000</v>
      </c>
      <c r="F61" s="4573">
        <f t="shared" si="10"/>
        <v>0.0720082390591169</v>
      </c>
    </row>
    <row r="62" spans="1:15">
      <c r="A62" s="4581" t="s">
        <v>490</v>
      </c>
      <c r="B62" s="4588"/>
      <c r="C62" s="4582">
        <f>E62/B56</f>
        <v>247.532480070062</v>
      </c>
      <c r="D62" s="4589">
        <v>0.05</v>
      </c>
      <c r="E62" s="4585">
        <f>(E56+E59+E60+E61)*D62</f>
        <v>19140666.85</v>
      </c>
      <c r="F62" s="4573">
        <f t="shared" si="10"/>
        <v>0.0476190476190476</v>
      </c>
      <c r="I62" s="4590" t="s">
        <v>491</v>
      </c>
      <c r="J62" s="4590"/>
      <c r="K62" s="4590"/>
      <c r="L62" s="4590"/>
      <c r="M62" s="4590"/>
    </row>
    <row r="63" ht="14.75" spans="1:15">
      <c r="A63" s="4591" t="s">
        <v>492</v>
      </c>
      <c r="B63" s="4592">
        <f>B56</f>
        <v>77325.88</v>
      </c>
      <c r="C63" s="4593">
        <f>C56+C59+C60+C62+C61</f>
        <v>5198.1820814713</v>
      </c>
      <c r="D63" s="4594">
        <f>E63/B63</f>
        <v>5198.1820814713</v>
      </c>
      <c r="E63" s="4595">
        <f>E56+E59+E60+E62+E61</f>
        <v>401954003.85</v>
      </c>
      <c r="F63" s="4596">
        <f>F56+F59+F60+F61+F62</f>
        <v>1</v>
      </c>
      <c r="I63" s="3162">
        <f>I57+I58</f>
        <v>176019813</v>
      </c>
      <c r="J63" s="3162">
        <f t="shared" ref="J63:M63" si="11">J57+J58</f>
        <v>61860704</v>
      </c>
      <c r="K63" s="3162">
        <f t="shared" si="11"/>
        <v>115988820</v>
      </c>
      <c r="L63" s="3162">
        <f t="shared" si="11"/>
        <v>28944000</v>
      </c>
      <c r="M63" s="3162">
        <f t="shared" si="11"/>
        <v>19140666.85</v>
      </c>
    </row>
    <row r="64" spans="1:15">
      <c r="B64" s="4597"/>
      <c r="C64" s="4597"/>
      <c r="D64" s="4597"/>
      <c r="I64" s="4598">
        <f>I63/$E$63</f>
        <v>0.437910336292325</v>
      </c>
      <c r="J64" s="4598">
        <f t="shared" ref="J64:M64" si="12">J63/$E$63</f>
        <v>0.153899957227656</v>
      </c>
      <c r="K64" s="4598">
        <f t="shared" si="12"/>
        <v>0.288562419801855</v>
      </c>
      <c r="L64" s="4598">
        <f t="shared" si="12"/>
        <v>0.0720082390591169</v>
      </c>
      <c r="M64" s="4598">
        <f t="shared" si="12"/>
        <v>0.0476190476190476</v>
      </c>
    </row>
    <row r="66" spans="2:4">
      <c r="B66" s="4597"/>
      <c r="C66" s="4597"/>
      <c r="D66" s="459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6" sqref="G26"/>
    </sheetView>
  </sheetViews>
  <sheetFormatPr defaultColWidth="10" defaultRowHeight="12.5"/>
  <cols>
    <col min="1" max="1" width="16.8727272727273" style="3904" customWidth="1"/>
    <col min="2" max="2" width="10" style="3904" customWidth="1"/>
    <col min="3" max="3" width="11.5" style="3904" customWidth="1"/>
    <col min="4" max="4" width="10" style="3904" customWidth="1"/>
    <col min="5" max="5" width="12.6272727272727" style="3904" customWidth="1"/>
    <col min="6" max="6" width="10" style="3904" customWidth="1"/>
    <col min="7" max="7" width="10.7545454545455" style="3904" customWidth="1"/>
    <col min="8" max="8" width="10" style="3904" customWidth="1"/>
    <col min="9" max="9" width="11.1272727272727" style="4217" customWidth="1"/>
    <col min="10" max="10" width="10" style="4135" customWidth="1"/>
    <col min="11" max="11" width="10" style="4312" customWidth="1"/>
    <col min="12" max="13" width="10" style="4313" customWidth="1"/>
    <col min="14" max="14" width="10" style="4135" customWidth="1"/>
    <col min="15" max="15" width="10" style="2369" customWidth="1"/>
    <col min="16" max="17" width="10" style="4135"/>
    <col min="18" max="18" width="10" style="4135" customWidth="1"/>
    <col min="19" max="30" width="10" style="4135"/>
    <col min="31" max="16384" width="10" style="3904"/>
  </cols>
  <sheetData>
    <row r="1" ht="13.75" spans="1:30">
      <c r="A1" s="4314" t="s">
        <v>493</v>
      </c>
      <c r="B1" s="4315" t="str">
        <f>IF(B10="北京市","北京市",C10)&amp;F10&amp;IF(结果表!G1="在建","出让国有建设用地使用权及在建建筑物",IF(结果表!G1="土地","出让国有建设用地使用权",))&amp;B9&amp;"预评估"</f>
        <v>北京市房地产市场价值预评估</v>
      </c>
      <c r="C1" s="4316"/>
      <c r="D1" s="4316"/>
      <c r="E1" s="4316"/>
      <c r="F1" s="4316"/>
      <c r="G1" s="4316"/>
      <c r="H1" s="4316"/>
      <c r="I1" s="4317"/>
      <c r="J1" s="3858"/>
      <c r="K1" s="4318"/>
      <c r="L1" s="4319"/>
      <c r="M1" s="4319"/>
      <c r="N1" s="4320"/>
      <c r="O1" s="4226"/>
      <c r="P1" s="4320"/>
      <c r="Q1" s="4320"/>
      <c r="R1" s="4320"/>
      <c r="S1" s="3905" t="str">
        <f>IF(B10="北京市","北京市",C10)&amp;F10&amp;IF(结果表!G1="在建","出让国有建设用地使用权及在建建筑物房地产抵押价值",IF(结果表!G1="土地","出让国有建设用地使用权抵押价值",B9))</f>
        <v>北京市房地产市场价值</v>
      </c>
      <c r="T1" s="3904"/>
      <c r="U1" s="3904"/>
      <c r="V1" s="3904"/>
      <c r="W1" s="3904"/>
      <c r="X1" s="3904"/>
      <c r="Y1" s="3904"/>
      <c r="Z1" s="3904"/>
      <c r="AA1" s="3904"/>
      <c r="AB1" s="3904"/>
    </row>
    <row r="2" ht="13" spans="1:30">
      <c r="A2" s="4321" t="s">
        <v>494</v>
      </c>
      <c r="B2" s="4322"/>
      <c r="C2" s="4323"/>
      <c r="D2" s="4324"/>
      <c r="E2" s="4325"/>
      <c r="F2" s="4325"/>
      <c r="G2" s="4326"/>
      <c r="H2" s="4326"/>
      <c r="I2" s="4326"/>
      <c r="J2" s="3858"/>
      <c r="K2" s="4318"/>
      <c r="L2" s="4319"/>
      <c r="M2" s="4319"/>
      <c r="N2" s="4320"/>
      <c r="O2" s="4226"/>
      <c r="P2" s="4320"/>
      <c r="Q2" s="4320"/>
      <c r="R2" s="4320"/>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ht="13" spans="1:30">
      <c r="A3" s="1313" t="s">
        <v>495</v>
      </c>
      <c r="B3" s="4327"/>
      <c r="C3" s="4328" t="s">
        <v>496</v>
      </c>
      <c r="D3" s="4327">
        <v>46029</v>
      </c>
      <c r="E3" s="4326"/>
      <c r="F3" s="4326"/>
      <c r="G3" s="4326"/>
      <c r="H3" s="4326"/>
      <c r="I3" s="4326"/>
      <c r="J3" s="3858"/>
      <c r="K3" s="4318"/>
      <c r="L3" s="4319"/>
      <c r="M3" s="4319"/>
      <c r="N3" s="4320"/>
      <c r="O3" s="4226"/>
      <c r="P3" s="4320"/>
      <c r="Q3" s="4320"/>
      <c r="R3" s="4320"/>
      <c r="S3" s="3905"/>
      <c r="T3" s="3904"/>
      <c r="U3" s="3904"/>
      <c r="V3" s="3904"/>
      <c r="W3" s="3904"/>
      <c r="X3" s="3904"/>
      <c r="Y3" s="3904"/>
      <c r="Z3" s="3904"/>
      <c r="AA3" s="3904"/>
      <c r="AB3" s="3904"/>
    </row>
    <row r="4" ht="13.75" spans="1:30">
      <c r="A4" s="2851" t="s">
        <v>497</v>
      </c>
      <c r="B4" s="4329"/>
      <c r="C4" s="4330">
        <f ca="1">SUMIF(注册房地产估价师,B4,估价师及机构信息!B3:B24)</f>
        <v>0</v>
      </c>
      <c r="D4" s="4329"/>
      <c r="E4" s="4331">
        <f ca="1">SUMIF(注册房地产估价师,D4,估价师及机构信息!B3:B24)</f>
        <v>0</v>
      </c>
      <c r="F4" s="4329"/>
      <c r="G4" s="4331">
        <f ca="1">SUMIF(注册房地产估价师,F4,估价师及机构信息!B3:B24)</f>
        <v>0</v>
      </c>
      <c r="H4" s="4329"/>
      <c r="I4" s="4331">
        <f ca="1">SUMIF(注册房地产估价师,H4,估价师及机构信息!B3:B24)</f>
        <v>0</v>
      </c>
      <c r="J4" s="3898"/>
      <c r="K4" s="4332" t="str">
        <f ca="1">CONCATENATE(B4,"（注册号：",C4,")、",D4,"（注册号：",E4,")")</f>
        <v>（注册号：0)、（注册号：0)</v>
      </c>
      <c r="L4" s="4319"/>
      <c r="M4" s="4319"/>
      <c r="N4" s="4320"/>
      <c r="O4" s="4226"/>
      <c r="P4" s="4320"/>
      <c r="Q4" s="4320"/>
      <c r="R4" s="4320"/>
      <c r="S4" s="3905"/>
      <c r="T4" s="3904"/>
      <c r="U4" s="3904"/>
      <c r="V4" s="3904"/>
      <c r="W4" s="3904"/>
      <c r="X4" s="3904"/>
      <c r="Y4" s="3904"/>
      <c r="Z4" s="3904"/>
      <c r="AA4" s="3904"/>
      <c r="AB4" s="3904"/>
    </row>
    <row r="5" ht="13.75" spans="1:30">
      <c r="A5" s="4333" t="s">
        <v>498</v>
      </c>
      <c r="B5" s="4334"/>
      <c r="C5" s="4335"/>
      <c r="D5" s="4336"/>
      <c r="E5" s="4132"/>
      <c r="F5" s="4132"/>
      <c r="G5" s="4132"/>
      <c r="H5" s="4132"/>
      <c r="I5" s="4132"/>
      <c r="J5" s="3898"/>
      <c r="K5" s="4332" t="str">
        <f ca="1">IF(F4="——","",IF(H4="——",F4&amp;"（注册号："&amp;G4&amp;")",CONCATENATE(F4,"（注册号：",G4,")、",H4,"（注册号：",I4,")")))</f>
        <v>（注册号：0)、（注册号：0)</v>
      </c>
      <c r="L5" s="4319"/>
      <c r="M5" s="4319"/>
      <c r="N5" s="4320"/>
      <c r="O5" s="4226"/>
      <c r="P5" s="4320"/>
      <c r="Q5" s="4320"/>
      <c r="R5" s="4320"/>
      <c r="S5" s="3904"/>
      <c r="T5" s="3904"/>
      <c r="U5" s="3904"/>
      <c r="V5" s="3904"/>
      <c r="W5" s="3904"/>
      <c r="X5" s="3904"/>
      <c r="Y5" s="3904"/>
      <c r="Z5" s="3904"/>
      <c r="AA5" s="3904"/>
      <c r="AB5" s="3904"/>
    </row>
    <row r="6" ht="13" spans="1:30">
      <c r="A6" s="4337" t="s">
        <v>499</v>
      </c>
      <c r="B6" s="4338"/>
      <c r="C6" s="4339"/>
      <c r="D6" s="4340"/>
      <c r="E6" s="4325"/>
      <c r="F6" s="4132"/>
      <c r="G6" s="4132"/>
      <c r="H6" s="4132"/>
      <c r="I6" s="4132"/>
      <c r="J6" s="3898"/>
      <c r="K6" s="4341" t="str">
        <f>IF(COUNTIF(B6,"*上海银行*"),"上海银行","")</f>
        <v/>
      </c>
      <c r="L6" s="4342"/>
      <c r="M6" s="4342"/>
      <c r="N6" s="3898"/>
      <c r="O6" s="4343"/>
      <c r="P6" s="3898"/>
      <c r="Q6" s="3898"/>
      <c r="R6" s="3898"/>
    </row>
    <row r="7" ht="13" spans="1:30">
      <c r="A7" s="4337" t="s">
        <v>500</v>
      </c>
      <c r="B7" s="4344"/>
      <c r="C7" s="4339"/>
      <c r="D7" s="4340"/>
      <c r="E7" s="4325"/>
      <c r="F7" s="4132"/>
      <c r="G7" s="4132"/>
      <c r="H7" s="4132"/>
      <c r="I7" s="4132"/>
      <c r="J7" s="3898"/>
      <c r="K7" s="4345"/>
      <c r="L7" s="4342"/>
      <c r="M7" s="4342"/>
      <c r="N7" s="3898"/>
      <c r="O7" s="4343"/>
      <c r="P7" s="3898"/>
      <c r="Q7" s="3898"/>
      <c r="R7" s="3898"/>
    </row>
    <row r="8" ht="13" spans="1:30">
      <c r="A8" s="4346" t="s">
        <v>501</v>
      </c>
      <c r="B8" s="4347" t="s">
        <v>502</v>
      </c>
      <c r="C8" s="4348"/>
      <c r="D8" s="4349" t="s">
        <v>503</v>
      </c>
      <c r="E8" s="4350"/>
      <c r="F8" s="4351"/>
      <c r="G8" s="4326"/>
      <c r="H8" s="4326"/>
      <c r="I8" s="4326"/>
      <c r="J8" s="3898"/>
      <c r="K8" s="4352"/>
      <c r="L8" s="4342"/>
      <c r="M8" s="4342"/>
      <c r="N8" s="3898"/>
      <c r="O8" s="4343"/>
      <c r="P8" s="3898"/>
      <c r="Q8" s="3898"/>
      <c r="R8" s="3898"/>
    </row>
    <row r="9" ht="13.75" spans="1:30">
      <c r="A9" s="4353" t="s">
        <v>504</v>
      </c>
      <c r="B9" s="4354" t="s">
        <v>505</v>
      </c>
      <c r="C9" s="4355"/>
      <c r="D9" s="4356"/>
      <c r="E9" s="4354"/>
      <c r="F9" s="4357"/>
      <c r="G9" s="4358"/>
      <c r="H9" s="4358"/>
      <c r="I9" s="4358"/>
      <c r="J9" s="3898"/>
      <c r="K9" s="4345"/>
      <c r="L9" s="4342"/>
      <c r="M9" s="4342"/>
      <c r="N9" s="3898"/>
      <c r="O9" s="4343"/>
      <c r="P9" s="3898"/>
      <c r="Q9" s="3898"/>
      <c r="R9" s="3898"/>
    </row>
    <row r="10" ht="13.75" spans="1:30">
      <c r="A10" s="4359" t="s">
        <v>506</v>
      </c>
      <c r="B10" s="4360" t="s">
        <v>507</v>
      </c>
      <c r="C10" s="4361"/>
      <c r="D10" s="4336"/>
      <c r="E10" s="4362" t="s">
        <v>508</v>
      </c>
      <c r="F10" s="4363"/>
      <c r="G10" s="4364"/>
      <c r="H10" s="4365"/>
      <c r="I10" s="4366"/>
      <c r="J10" s="3898"/>
      <c r="K10" s="4345"/>
      <c r="L10" s="4342"/>
      <c r="M10" s="4342"/>
      <c r="N10" s="3898"/>
      <c r="O10" s="4343"/>
      <c r="P10" s="3898"/>
      <c r="Q10" s="3898"/>
      <c r="R10" s="3898"/>
    </row>
    <row r="11" ht="13" spans="1:30">
      <c r="A11" s="4367" t="s">
        <v>509</v>
      </c>
      <c r="B11" s="4368" t="s">
        <v>510</v>
      </c>
      <c r="C11" s="4369"/>
      <c r="D11" s="4370"/>
      <c r="E11" s="4320"/>
      <c r="F11" s="4320"/>
      <c r="G11" s="4320"/>
      <c r="H11" s="4320"/>
      <c r="I11" s="4320"/>
      <c r="J11" s="4371"/>
      <c r="K11" s="4372"/>
      <c r="L11" s="4342"/>
      <c r="M11" s="4342"/>
      <c r="N11" s="3898"/>
      <c r="O11" s="4343"/>
      <c r="P11" s="3898"/>
      <c r="Q11" s="3898"/>
      <c r="R11" s="3898"/>
    </row>
    <row r="12" ht="13" spans="1:30">
      <c r="A12" s="4373" t="s">
        <v>511</v>
      </c>
      <c r="B12" s="2882" t="s">
        <v>512</v>
      </c>
      <c r="C12" s="4374" t="s">
        <v>513</v>
      </c>
      <c r="D12" s="4374" t="s">
        <v>514</v>
      </c>
      <c r="E12" s="4374" t="s">
        <v>515</v>
      </c>
      <c r="F12" s="4374" t="s">
        <v>516</v>
      </c>
      <c r="G12" s="4374" t="s">
        <v>517</v>
      </c>
      <c r="H12" s="4374" t="s">
        <v>518</v>
      </c>
      <c r="I12" s="4375" t="s">
        <v>231</v>
      </c>
      <c r="J12" s="4376"/>
      <c r="K12" s="4342"/>
      <c r="L12" s="4342"/>
      <c r="M12" s="3898"/>
      <c r="N12" s="4343"/>
      <c r="O12" s="3898"/>
      <c r="P12" s="3898"/>
      <c r="Q12" s="3898"/>
      <c r="AD12" s="3904"/>
    </row>
    <row r="13" ht="13" spans="1:30">
      <c r="A13" s="4368" t="s">
        <v>519</v>
      </c>
      <c r="B13" s="4377" t="s">
        <v>520</v>
      </c>
      <c r="C13" s="4378"/>
      <c r="D13" s="4378"/>
      <c r="E13" s="4378"/>
      <c r="F13" s="4378"/>
      <c r="G13" s="4378">
        <v>57118</v>
      </c>
      <c r="H13" s="4378">
        <f>G13</f>
        <v>57118</v>
      </c>
      <c r="I13" s="4378"/>
      <c r="J13" s="4376"/>
      <c r="K13" s="4342"/>
      <c r="L13" s="4342"/>
      <c r="M13" s="3898"/>
      <c r="N13" s="4343"/>
      <c r="O13" s="3898"/>
      <c r="P13" s="3898"/>
      <c r="Q13" s="3898"/>
      <c r="AD13" s="3904"/>
    </row>
    <row r="14" ht="13" spans="1:30">
      <c r="A14" s="2858"/>
      <c r="B14" s="4377" t="s">
        <v>521</v>
      </c>
      <c r="C14" s="4379"/>
      <c r="D14" s="4379"/>
      <c r="E14" s="4379"/>
      <c r="F14" s="4379"/>
      <c r="G14" s="4379">
        <v>50</v>
      </c>
      <c r="H14" s="4379">
        <v>50</v>
      </c>
      <c r="I14" s="4379"/>
      <c r="J14" s="4380"/>
      <c r="K14" s="4342"/>
      <c r="L14" s="4342"/>
      <c r="M14" s="3898"/>
      <c r="N14" s="4343"/>
      <c r="O14" s="3898"/>
      <c r="P14" s="3898"/>
      <c r="Q14" s="3898"/>
      <c r="AD14" s="3904"/>
    </row>
    <row r="15" ht="13" spans="1:30">
      <c r="A15" s="2868"/>
      <c r="B15" s="4381" t="s">
        <v>522</v>
      </c>
      <c r="C15" s="4382" t="str">
        <f>IF(A13="出让",IF(C13="","",ROUNDDOWN(MIN((C13-$D$3)/365,C14),2)),C14)</f>
        <v/>
      </c>
      <c r="D15" s="4382" t="str">
        <f>IF(A13="出让",IF(D13="","",ROUNDDOWN(MIN((D13-$D$3)/365,D14),2)),D14)</f>
        <v/>
      </c>
      <c r="E15" s="4382" t="str">
        <f>IF(A13="出让",IF(E13="","",ROUNDDOWN(MIN((E13-$D$3)/365,E14),2)),E14)</f>
        <v/>
      </c>
      <c r="F15" s="4382" t="str">
        <f>IF(A13="出让",IF(F13="","",ROUNDDOWN(MIN((F13-$D$3)/365,F14),2)),F14)</f>
        <v/>
      </c>
      <c r="G15" s="4382">
        <f>IF(A13="出让",IF(G13="","",ROUNDDOWN(MIN((G13-$D$3)/365,G14),2)),G14)</f>
        <v>30.38</v>
      </c>
      <c r="H15" s="4382">
        <f>IF(A13="出让",IF(H13="","",ROUNDDOWN(MIN((H13-$D$3)/365,H14),2)),H14)</f>
        <v>30.38</v>
      </c>
      <c r="I15" s="4382" t="str">
        <f>IF(A13="出让",IF(I13="","",ROUNDDOWN(MIN((I13-$D$3)/365,I14),2)),I14)</f>
        <v/>
      </c>
      <c r="J15" s="4383"/>
      <c r="K15" s="4384"/>
      <c r="L15" s="4384"/>
      <c r="M15" s="3899"/>
      <c r="N15" s="4384"/>
      <c r="O15" s="3899"/>
      <c r="P15" s="3898"/>
      <c r="Q15" s="3898"/>
      <c r="AD15" s="3904"/>
    </row>
    <row r="16" ht="13" spans="1:30">
      <c r="A16" s="4362" t="s">
        <v>523</v>
      </c>
      <c r="B16" s="4385"/>
      <c r="C16" s="4386"/>
      <c r="D16" s="4387"/>
      <c r="E16" s="4388" t="s">
        <v>524</v>
      </c>
      <c r="F16" s="4389"/>
      <c r="G16" s="4390"/>
      <c r="H16" s="4390"/>
      <c r="I16" s="4391"/>
      <c r="J16" s="3898"/>
      <c r="K16" s="4392"/>
      <c r="L16" s="4384"/>
      <c r="M16" s="4384"/>
      <c r="N16" s="3899"/>
      <c r="O16" s="4384"/>
      <c r="P16" s="3899"/>
      <c r="Q16" s="3898"/>
      <c r="R16" s="3898"/>
    </row>
    <row r="17" ht="13" spans="1:28">
      <c r="A17" s="2835" t="s">
        <v>525</v>
      </c>
      <c r="B17" s="1313" t="s">
        <v>526</v>
      </c>
      <c r="C17" s="4238">
        <f>'数据-汇总表'!E3</f>
        <v>16724.51</v>
      </c>
      <c r="D17" s="2486" t="s">
        <v>527</v>
      </c>
      <c r="E17" s="4393" t="s">
        <v>528</v>
      </c>
      <c r="F17" s="4394"/>
      <c r="G17" s="4394"/>
      <c r="H17" s="4394"/>
      <c r="I17" s="4395"/>
      <c r="J17" s="3898"/>
      <c r="K17" s="4396"/>
      <c r="L17" s="4384"/>
      <c r="M17" s="4384"/>
      <c r="N17" s="3899"/>
      <c r="O17" s="4384"/>
      <c r="P17" s="3899"/>
      <c r="Q17" s="3898"/>
      <c r="R17" s="3898"/>
      <c r="S17" s="3898"/>
      <c r="T17" s="3898"/>
      <c r="U17" s="3898"/>
      <c r="V17" s="3898"/>
    </row>
    <row r="18" ht="26.75" spans="1:28">
      <c r="A18" s="4397" t="s">
        <v>529</v>
      </c>
      <c r="B18" s="2851" t="s">
        <v>530</v>
      </c>
      <c r="C18" s="4398">
        <f>'数据-汇总表'!D3</f>
        <v>9999.1</v>
      </c>
      <c r="D18" s="2894" t="s">
        <v>527</v>
      </c>
      <c r="E18" s="4399" t="s">
        <v>531</v>
      </c>
      <c r="F18" s="4400"/>
      <c r="G18" s="4400"/>
      <c r="H18" s="4400"/>
      <c r="I18" s="4401"/>
      <c r="J18" s="3898"/>
      <c r="K18" s="4396"/>
      <c r="L18" s="4384"/>
      <c r="M18" s="4384"/>
      <c r="N18" s="3899"/>
      <c r="O18" s="4384"/>
      <c r="P18" s="3899"/>
      <c r="Q18" s="3898"/>
      <c r="R18" s="3898"/>
      <c r="S18" s="3898"/>
      <c r="T18" s="3898"/>
      <c r="U18" s="3898"/>
      <c r="V18" s="3898"/>
    </row>
    <row r="19" ht="40.5" spans="1:28">
      <c r="A19" s="2889" t="s">
        <v>532</v>
      </c>
      <c r="B19" s="2829" t="s">
        <v>533</v>
      </c>
      <c r="C19" s="4402"/>
      <c r="D19" s="4403" t="s">
        <v>534</v>
      </c>
      <c r="E19" s="4404"/>
      <c r="F19" s="4405" t="str">
        <f>IF(AND(C19="是",E19="否"),"是否提供他项权证或相关说明","")</f>
        <v/>
      </c>
      <c r="G19" s="4406"/>
      <c r="H19" s="4132"/>
      <c r="I19" s="4132"/>
      <c r="J19" s="3898"/>
      <c r="K19" s="4345"/>
      <c r="L19" s="4342"/>
      <c r="M19" s="4342"/>
      <c r="N19" s="3899"/>
      <c r="O19" s="4384"/>
      <c r="P19" s="3899"/>
      <c r="Q19" s="3898"/>
      <c r="R19" s="3898"/>
      <c r="S19" s="3898"/>
      <c r="T19" s="3898"/>
      <c r="U19" s="3898"/>
      <c r="V19" s="3898"/>
    </row>
    <row r="20" ht="13" spans="1:28">
      <c r="A20" s="4407" t="s">
        <v>535</v>
      </c>
      <c r="B20" s="4408" t="s">
        <v>536</v>
      </c>
      <c r="C20" s="3160"/>
      <c r="D20" s="4409" t="s">
        <v>537</v>
      </c>
      <c r="E20" s="4410"/>
      <c r="F20" s="4411" t="s">
        <v>538</v>
      </c>
      <c r="G20" s="4132"/>
      <c r="H20" s="4132"/>
      <c r="I20" s="4132"/>
      <c r="J20" s="3898"/>
      <c r="K20" s="4248" t="s">
        <v>539</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412"/>
      <c r="O20" s="4413"/>
      <c r="P20" s="4412"/>
      <c r="Q20" s="4320"/>
      <c r="R20" s="4320"/>
      <c r="S20" s="4320"/>
      <c r="T20" s="4320"/>
      <c r="U20" s="4320"/>
      <c r="V20" s="4320"/>
      <c r="W20" s="3904"/>
      <c r="X20" s="3904"/>
      <c r="Y20" s="3904"/>
      <c r="Z20" s="3904"/>
      <c r="AA20" s="3904"/>
      <c r="AB20" s="3904"/>
    </row>
    <row r="21" ht="26.75" spans="1:28">
      <c r="A21" s="4407"/>
      <c r="B21" s="4414" t="s">
        <v>540</v>
      </c>
      <c r="C21" s="4415" t="s">
        <v>541</v>
      </c>
      <c r="D21" s="4416" t="s">
        <v>542</v>
      </c>
      <c r="E21" s="4417" t="s">
        <v>541</v>
      </c>
      <c r="F21" s="4418"/>
      <c r="G21" s="4132"/>
      <c r="H21" s="4132"/>
      <c r="I21" s="4132"/>
      <c r="J21" s="3898"/>
      <c r="K21" s="4248"/>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412"/>
      <c r="O21" s="4413"/>
      <c r="P21" s="4412"/>
      <c r="Q21" s="4320"/>
      <c r="R21" s="4320"/>
      <c r="S21" s="4320"/>
      <c r="T21" s="4320"/>
      <c r="U21" s="4320"/>
      <c r="V21" s="4320"/>
      <c r="W21" s="3904"/>
      <c r="X21" s="3904"/>
      <c r="Y21" s="3904"/>
      <c r="Z21" s="3904"/>
      <c r="AA21" s="3904"/>
      <c r="AB21" s="3904"/>
    </row>
    <row r="22" ht="26.75" spans="1:28">
      <c r="A22" s="4407"/>
      <c r="B22" s="4419" t="s">
        <v>543</v>
      </c>
      <c r="C22" s="4415" t="s">
        <v>544</v>
      </c>
      <c r="D22" s="4326"/>
      <c r="E22" s="4326">
        <f>934-(15.32*9%+(4.03+4.68)*6%)</f>
        <v>932.0986</v>
      </c>
      <c r="F22" s="4326">
        <f>E22*0.06</f>
        <v>55.925916</v>
      </c>
      <c r="G22" s="4132">
        <f>15.32*0.09</f>
        <v>1.3788</v>
      </c>
      <c r="H22" s="4132"/>
      <c r="I22" s="4132"/>
      <c r="J22" s="3898"/>
      <c r="K22" s="4248"/>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412"/>
      <c r="O22" s="4413"/>
      <c r="P22" s="4412"/>
      <c r="Q22" s="4320"/>
      <c r="R22" s="4320"/>
      <c r="S22" s="4320"/>
      <c r="T22" s="4320"/>
      <c r="U22" s="4320"/>
      <c r="V22" s="4320"/>
      <c r="W22" s="3904"/>
      <c r="X22" s="3904"/>
      <c r="Y22" s="3904"/>
      <c r="Z22" s="3904"/>
      <c r="AA22" s="3904"/>
      <c r="AB22" s="3904"/>
    </row>
    <row r="23" ht="13" spans="1:28">
      <c r="A23" s="4420" t="s">
        <v>545</v>
      </c>
      <c r="B23" s="3889" t="s">
        <v>546</v>
      </c>
      <c r="C23" s="4421"/>
      <c r="D23" s="4422" t="s">
        <v>546</v>
      </c>
      <c r="E23" s="4423"/>
      <c r="F23" s="4326"/>
      <c r="G23" s="4132">
        <f>4.03+4.68</f>
        <v>8.71</v>
      </c>
      <c r="H23" s="4132"/>
      <c r="I23" s="4132"/>
      <c r="J23" s="3898"/>
      <c r="K23" s="4424"/>
      <c r="L23" s="2913"/>
      <c r="M23" s="4342"/>
      <c r="N23" s="3899"/>
      <c r="O23" s="4384"/>
      <c r="P23" s="3899"/>
      <c r="Q23" s="3898"/>
      <c r="R23" s="3898"/>
      <c r="S23" s="3898"/>
      <c r="T23" s="3898"/>
      <c r="U23" s="3898"/>
      <c r="V23" s="3898"/>
    </row>
    <row r="24" ht="13" spans="1:28">
      <c r="A24" s="4420"/>
      <c r="B24" s="3889" t="s">
        <v>547</v>
      </c>
      <c r="C24" s="4425"/>
      <c r="D24" s="4420" t="s">
        <v>547</v>
      </c>
      <c r="E24" s="4426"/>
      <c r="F24" s="4326"/>
      <c r="G24" s="4132">
        <f>G23*0.06</f>
        <v>0.5226</v>
      </c>
      <c r="H24" s="4132"/>
      <c r="I24" s="4132"/>
      <c r="J24" s="3898"/>
      <c r="K24" s="4424"/>
      <c r="L24" s="2913"/>
      <c r="M24" s="4342"/>
      <c r="N24" s="3899"/>
      <c r="O24" s="4384"/>
      <c r="P24" s="3899"/>
      <c r="Q24" s="3898"/>
      <c r="R24" s="3898"/>
      <c r="S24" s="3898"/>
      <c r="T24" s="3898"/>
      <c r="U24" s="3898"/>
      <c r="V24" s="3898"/>
    </row>
    <row r="25" ht="13" spans="1:28">
      <c r="A25" s="4420"/>
      <c r="B25" s="3889" t="s">
        <v>548</v>
      </c>
      <c r="C25" s="4425"/>
      <c r="D25" s="4420" t="s">
        <v>548</v>
      </c>
      <c r="E25" s="4426"/>
      <c r="F25" s="4326"/>
      <c r="G25" s="4132"/>
      <c r="H25" s="4132"/>
      <c r="I25" s="4132"/>
      <c r="J25" s="3898"/>
      <c r="K25" s="4345"/>
      <c r="L25" s="4342"/>
      <c r="M25" s="4342"/>
      <c r="N25" s="3899"/>
      <c r="O25" s="4384"/>
      <c r="P25" s="3899"/>
      <c r="Q25" s="3898"/>
      <c r="R25" s="3898"/>
      <c r="S25" s="3898"/>
      <c r="T25" s="3898"/>
      <c r="U25" s="3898"/>
      <c r="V25" s="3898"/>
    </row>
    <row r="26" ht="13.75" spans="1:28">
      <c r="A26" s="4427"/>
      <c r="B26" s="4428" t="s">
        <v>549</v>
      </c>
      <c r="C26" s="4429"/>
      <c r="D26" s="4427" t="s">
        <v>549</v>
      </c>
      <c r="E26" s="4430"/>
      <c r="F26" s="4358"/>
      <c r="G26" s="4358"/>
      <c r="H26" s="4358"/>
      <c r="I26" s="4358"/>
      <c r="J26" s="3898"/>
      <c r="K26" s="4345"/>
      <c r="L26" s="4342"/>
      <c r="M26" s="4342"/>
      <c r="N26" s="3899"/>
      <c r="O26" s="4384"/>
      <c r="P26" s="3899"/>
      <c r="Q26" s="3898"/>
      <c r="R26" s="3898"/>
      <c r="S26" s="3898"/>
      <c r="T26" s="3898"/>
      <c r="U26" s="3898"/>
      <c r="V26" s="3898"/>
    </row>
    <row r="27" ht="13.75" spans="1:28">
      <c r="A27" s="2858" t="s">
        <v>550</v>
      </c>
      <c r="B27" s="2868" t="s">
        <v>551</v>
      </c>
      <c r="C27" s="4431"/>
      <c r="D27" s="4432"/>
      <c r="E27" s="4132"/>
      <c r="F27" s="4132"/>
      <c r="G27" s="4132"/>
      <c r="H27" s="4132"/>
      <c r="I27" s="4132"/>
      <c r="J27" s="3898"/>
      <c r="K27" s="4392"/>
      <c r="L27" s="4384"/>
      <c r="M27" s="4384"/>
      <c r="N27" s="3899"/>
      <c r="O27" s="4384"/>
      <c r="P27" s="3899"/>
      <c r="Q27" s="3898"/>
      <c r="R27" s="3898"/>
      <c r="S27" s="3898"/>
      <c r="T27" s="3898"/>
      <c r="U27" s="3898"/>
      <c r="V27" s="3898"/>
    </row>
    <row r="28" ht="13" spans="1:28">
      <c r="A28" s="2858"/>
      <c r="B28" s="1313" t="s">
        <v>552</v>
      </c>
      <c r="C28" s="4433"/>
      <c r="D28" s="4434"/>
      <c r="E28" s="4132"/>
      <c r="F28" s="4132"/>
      <c r="G28" s="4132"/>
      <c r="H28" s="4132"/>
      <c r="I28" s="4132"/>
      <c r="J28" s="3898"/>
      <c r="K28" s="4345"/>
      <c r="L28" s="4342"/>
      <c r="M28" s="4342"/>
      <c r="N28" s="3898"/>
      <c r="O28" s="4343"/>
      <c r="P28" s="3898"/>
      <c r="Q28" s="3898"/>
      <c r="R28" s="3898"/>
      <c r="S28" s="3898"/>
      <c r="T28" s="3898"/>
      <c r="U28" s="3898"/>
      <c r="V28" s="3898"/>
    </row>
    <row r="29" ht="13" spans="1:28">
      <c r="A29" s="2858"/>
      <c r="B29" s="1313" t="s">
        <v>553</v>
      </c>
      <c r="C29" s="4435"/>
      <c r="D29" s="4436"/>
      <c r="E29" s="4132"/>
      <c r="F29" s="4132"/>
      <c r="G29" s="4132"/>
      <c r="H29" s="4132"/>
      <c r="I29" s="4132"/>
      <c r="J29" s="3898"/>
      <c r="K29" s="4345"/>
      <c r="L29" s="4342"/>
      <c r="M29" s="4342"/>
      <c r="N29" s="3898"/>
      <c r="O29" s="4343"/>
      <c r="P29" s="3898"/>
      <c r="Q29" s="3898"/>
      <c r="R29" s="3898"/>
      <c r="S29" s="3898"/>
      <c r="T29" s="3898"/>
      <c r="U29" s="3898"/>
      <c r="V29" s="3898"/>
    </row>
    <row r="30" ht="13" spans="1:28">
      <c r="A30" s="2868"/>
      <c r="B30" s="1313" t="s">
        <v>554</v>
      </c>
      <c r="C30" s="4437"/>
      <c r="D30" s="4438"/>
      <c r="E30" s="4132"/>
      <c r="F30" s="4132"/>
      <c r="G30" s="4132"/>
      <c r="H30" s="4132"/>
      <c r="I30" s="4132"/>
      <c r="J30" s="3898"/>
      <c r="K30" s="4345"/>
      <c r="L30" s="4342"/>
      <c r="M30" s="4342"/>
      <c r="N30" s="3898"/>
      <c r="O30" s="4343"/>
      <c r="P30" s="3898"/>
      <c r="Q30" s="3898"/>
      <c r="R30" s="3898"/>
      <c r="S30" s="3898"/>
      <c r="T30" s="3898"/>
      <c r="U30" s="3898"/>
      <c r="V30" s="3898"/>
    </row>
    <row r="31" spans="1:28">
      <c r="A31" s="4439" t="s">
        <v>555</v>
      </c>
      <c r="B31" s="4440"/>
      <c r="C31" s="739" t="str">
        <f>IF(B31="现房","成新及维护状况正常否",IF(B31="在建","工程状态是否正常",IF(B31="土地","是否闲置","-")))</f>
        <v>-</v>
      </c>
      <c r="D31" s="3206"/>
      <c r="E31" s="4441"/>
      <c r="F31" s="4132"/>
      <c r="G31" s="4132"/>
      <c r="H31" s="4132"/>
      <c r="I31" s="4132"/>
      <c r="J31" s="3898"/>
      <c r="K31" s="4341"/>
      <c r="L31" s="4342"/>
      <c r="M31" s="4342"/>
      <c r="N31" s="3898"/>
      <c r="O31" s="4343"/>
      <c r="P31" s="3898"/>
      <c r="Q31" s="3898"/>
      <c r="R31" s="3898"/>
      <c r="S31" s="3898"/>
      <c r="T31" s="3898"/>
      <c r="U31" s="3898"/>
      <c r="V31" s="3898"/>
    </row>
    <row r="32" spans="1:28">
      <c r="A32" s="3548"/>
      <c r="B32" s="4440"/>
      <c r="C32" s="739" t="str">
        <f>IF(B32="现房","成新及维护状况是否正常",IF(B32="在建","工程状态是否正常",IF(B32="土地","是否闲置","-")))</f>
        <v>-</v>
      </c>
      <c r="D32" s="3206"/>
      <c r="E32" s="4441"/>
      <c r="F32" s="4132"/>
      <c r="G32" s="4132"/>
      <c r="H32" s="4132"/>
      <c r="I32" s="4132"/>
      <c r="J32" s="3898"/>
      <c r="K32" s="4345"/>
      <c r="L32" s="4342"/>
      <c r="M32" s="4342"/>
      <c r="N32" s="3898"/>
      <c r="O32" s="4343"/>
      <c r="P32" s="3898"/>
      <c r="Q32" s="3898"/>
      <c r="R32" s="3898"/>
      <c r="S32" s="3898"/>
      <c r="T32" s="3898"/>
      <c r="U32" s="3898"/>
      <c r="V32" s="3898"/>
    </row>
    <row r="33" spans="1:30">
      <c r="A33" s="3548"/>
      <c r="B33" s="4442"/>
      <c r="C33" s="4249" t="str">
        <f>IF(B33="现房","成新及维护状况是否正常",IF(B33="在建","工程状态是否正常",IF(B33="土地","是否闲置","-")))</f>
        <v>-</v>
      </c>
      <c r="D33" s="2837"/>
      <c r="E33" s="4443"/>
      <c r="F33" s="4132"/>
      <c r="G33" s="4132"/>
      <c r="H33" s="4132"/>
      <c r="I33" s="4132"/>
      <c r="J33" s="3898"/>
      <c r="K33" s="4345"/>
      <c r="L33" s="4342"/>
      <c r="M33" s="4342"/>
      <c r="N33" s="3898"/>
      <c r="O33" s="4343"/>
      <c r="P33" s="3898"/>
      <c r="Q33" s="3898"/>
      <c r="R33" s="3898"/>
      <c r="S33" s="3898"/>
      <c r="T33" s="3898"/>
      <c r="U33" s="3898"/>
      <c r="V33" s="3898"/>
    </row>
    <row r="34" ht="13" spans="1:30">
      <c r="A34" s="1313" t="s">
        <v>556</v>
      </c>
      <c r="B34" s="906"/>
      <c r="C34" s="906"/>
      <c r="D34" s="906"/>
      <c r="E34" s="906"/>
      <c r="F34" s="906"/>
      <c r="G34" s="906"/>
      <c r="H34" s="906"/>
      <c r="I34" s="4132"/>
      <c r="J34" s="3898"/>
      <c r="K34" s="2484">
        <f>COUNTIF(B34:H34,"——")</f>
        <v>0</v>
      </c>
      <c r="L34" s="2882" t="s">
        <v>557</v>
      </c>
      <c r="M34" s="2882" t="s">
        <v>558</v>
      </c>
      <c r="N34" s="2882" t="s">
        <v>559</v>
      </c>
      <c r="O34" s="2882" t="s">
        <v>560</v>
      </c>
      <c r="P34" s="2882" t="s">
        <v>561</v>
      </c>
      <c r="Q34" s="2882" t="s">
        <v>562</v>
      </c>
      <c r="R34" s="2882" t="s">
        <v>563</v>
      </c>
      <c r="S34" s="2484" t="s">
        <v>564</v>
      </c>
      <c r="T34" s="2882" t="str">
        <f>NUMBERSTRING(7-K34,1)&amp;"通"</f>
        <v>七通</v>
      </c>
      <c r="U34" s="3898"/>
      <c r="V34" s="3898"/>
    </row>
    <row r="35" spans="1:30">
      <c r="A35" s="4444"/>
      <c r="B35" s="2487" t="s">
        <v>565</v>
      </c>
      <c r="C35" s="2487"/>
      <c r="D35" s="2487"/>
      <c r="E35" s="2487"/>
      <c r="F35" s="2487">
        <f>C10</f>
        <v>0</v>
      </c>
      <c r="G35" s="4132"/>
      <c r="H35" s="4132"/>
      <c r="I35" s="4132"/>
      <c r="J35" s="3898"/>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8"/>
      <c r="V35" s="3898"/>
    </row>
    <row r="36" ht="13" spans="1:30">
      <c r="A36" s="4445"/>
      <c r="B36" s="2487" t="s">
        <v>514</v>
      </c>
      <c r="C36" s="2487" t="s">
        <v>515</v>
      </c>
      <c r="D36" s="2487" t="s">
        <v>513</v>
      </c>
      <c r="E36" s="2487" t="s">
        <v>518</v>
      </c>
      <c r="F36" s="4446" t="s">
        <v>231</v>
      </c>
      <c r="G36" s="4132"/>
      <c r="H36" s="4132"/>
      <c r="I36" s="4132"/>
      <c r="J36" s="3898"/>
      <c r="K36" s="4345"/>
      <c r="L36" s="4342"/>
      <c r="M36" s="4342"/>
      <c r="N36" s="3898"/>
      <c r="O36" s="4343"/>
      <c r="P36" s="3898"/>
      <c r="Q36" s="3898"/>
      <c r="R36" s="3898"/>
      <c r="S36" s="3898"/>
      <c r="T36" s="3898"/>
      <c r="U36" s="3898"/>
      <c r="V36" s="3898"/>
    </row>
    <row r="37" ht="13" spans="1:30">
      <c r="A37" s="4447" t="s">
        <v>566</v>
      </c>
      <c r="B37" s="4448"/>
      <c r="C37" s="4448"/>
      <c r="D37" s="4448"/>
      <c r="E37" s="4448" t="s">
        <v>303</v>
      </c>
      <c r="F37" s="4448"/>
      <c r="G37" s="4132"/>
      <c r="H37" s="4132"/>
      <c r="I37" s="4132"/>
      <c r="J37" s="3898"/>
      <c r="K37" s="4345"/>
      <c r="L37" s="4342"/>
      <c r="M37" s="4342"/>
      <c r="N37" s="3898"/>
      <c r="O37" s="4343"/>
      <c r="P37" s="3898"/>
      <c r="Q37" s="3898"/>
      <c r="R37" s="3898"/>
      <c r="S37" s="3898"/>
      <c r="T37" s="3898"/>
      <c r="U37" s="3898"/>
      <c r="V37" s="3898"/>
    </row>
    <row r="38" ht="13.75" spans="1:30">
      <c r="A38" s="4449" t="s">
        <v>567</v>
      </c>
      <c r="B38" s="4450"/>
      <c r="C38" s="4450"/>
      <c r="D38" s="4450"/>
      <c r="E38" s="4450" t="s">
        <v>568</v>
      </c>
      <c r="F38" s="4450"/>
      <c r="G38" s="4358"/>
      <c r="H38" s="4358"/>
      <c r="I38" s="4358"/>
      <c r="J38" s="3898"/>
      <c r="K38" s="4345"/>
      <c r="L38" s="4342"/>
      <c r="M38" s="4342"/>
      <c r="N38" s="3898"/>
      <c r="O38" s="4343"/>
      <c r="P38" s="3898"/>
      <c r="Q38" s="3898"/>
      <c r="R38" s="3898"/>
      <c r="S38" s="3898"/>
      <c r="T38" s="3898"/>
      <c r="U38" s="3898"/>
      <c r="V38" s="3898"/>
    </row>
    <row r="39" s="4311" customFormat="1" ht="14.5" spans="1:30">
      <c r="A39" s="4451" t="s">
        <v>569</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0"/>
      <c r="B40" s="4320"/>
      <c r="C40" s="4320"/>
      <c r="D40" s="4320"/>
      <c r="E40" s="4320"/>
      <c r="F40" s="4320"/>
      <c r="G40" s="4320"/>
      <c r="H40" s="4320"/>
      <c r="I40" s="3600"/>
      <c r="J40" s="3899"/>
      <c r="K40" s="4341"/>
      <c r="L40" s="4384"/>
      <c r="M40" s="4384"/>
      <c r="N40" s="3899"/>
      <c r="O40" s="4384"/>
      <c r="P40" s="3898"/>
      <c r="Q40" s="3898"/>
      <c r="R40" s="3898"/>
      <c r="S40" s="3898"/>
      <c r="T40" s="3898"/>
      <c r="U40" s="3898"/>
      <c r="V40" s="3898"/>
    </row>
    <row r="41" ht="13" spans="1:30">
      <c r="A41" s="4457" t="s">
        <v>570</v>
      </c>
      <c r="B41" s="3412"/>
      <c r="C41" s="3206"/>
      <c r="D41" s="4320"/>
      <c r="E41" s="4320"/>
      <c r="F41" s="4320"/>
      <c r="G41" s="4320"/>
      <c r="H41" s="4320"/>
      <c r="I41" s="4226"/>
      <c r="J41" s="3898"/>
      <c r="K41" s="4345"/>
      <c r="L41" s="4342"/>
      <c r="M41" s="4342"/>
      <c r="N41" s="3898"/>
      <c r="O41" s="4343"/>
      <c r="P41" s="3898"/>
      <c r="Q41" s="3898"/>
      <c r="R41" s="3898"/>
      <c r="S41" s="3898"/>
      <c r="T41" s="3898"/>
      <c r="U41" s="3898"/>
      <c r="V41" s="3898"/>
    </row>
    <row r="42" ht="26" spans="1:30">
      <c r="A42" s="2882" t="s">
        <v>571</v>
      </c>
      <c r="B42" s="2484" t="s">
        <v>572</v>
      </c>
      <c r="C42" s="2484" t="s">
        <v>573</v>
      </c>
      <c r="D42" s="2484" t="s">
        <v>574</v>
      </c>
      <c r="E42" s="2484" t="s">
        <v>575</v>
      </c>
      <c r="F42" s="2484" t="s">
        <v>576</v>
      </c>
      <c r="G42" s="2484" t="s">
        <v>577</v>
      </c>
      <c r="H42" s="2484" t="s">
        <v>578</v>
      </c>
      <c r="I42" s="2484" t="s">
        <v>579</v>
      </c>
      <c r="J42" s="4458" t="s">
        <v>580</v>
      </c>
      <c r="K42" s="4459" t="s">
        <v>581</v>
      </c>
      <c r="L42" s="4459" t="s">
        <v>582</v>
      </c>
      <c r="M42" s="4459" t="s">
        <v>583</v>
      </c>
      <c r="N42" s="4460" t="s">
        <v>584</v>
      </c>
      <c r="O42" s="4460" t="s">
        <v>585</v>
      </c>
      <c r="P42" s="4460" t="s">
        <v>586</v>
      </c>
      <c r="Q42" s="4461" t="s">
        <v>587</v>
      </c>
      <c r="R42" s="4461" t="s">
        <v>588</v>
      </c>
      <c r="S42" s="3898"/>
      <c r="T42" s="3898"/>
      <c r="U42" s="3898"/>
      <c r="V42" s="3898"/>
    </row>
    <row r="43" s="4135" customFormat="1" spans="1:30">
      <c r="A43" s="4292"/>
      <c r="B43" s="4233"/>
      <c r="C43" s="4233"/>
      <c r="D43" s="4233"/>
      <c r="E43" s="4233"/>
      <c r="F43" s="4233"/>
      <c r="G43" s="4233"/>
      <c r="H43" s="4233"/>
      <c r="I43" s="4233"/>
      <c r="J43" s="4462"/>
      <c r="K43" s="4463"/>
      <c r="L43" s="4463"/>
      <c r="M43" s="4233"/>
      <c r="N43" s="4233"/>
      <c r="O43" s="4233"/>
      <c r="P43" s="4233"/>
      <c r="Q43" s="4233"/>
      <c r="R43" s="4233"/>
      <c r="S43" s="3898"/>
      <c r="T43" s="3898"/>
      <c r="U43" s="3898"/>
      <c r="V43" s="3898"/>
    </row>
    <row r="44" s="4135" customFormat="1" spans="1:30">
      <c r="A44" s="4292"/>
      <c r="B44" s="4292"/>
      <c r="C44" s="4233"/>
      <c r="D44" s="4233"/>
      <c r="E44" s="4233"/>
      <c r="F44" s="4233"/>
      <c r="G44" s="4233"/>
      <c r="H44" s="4233"/>
      <c r="I44" s="4233"/>
      <c r="J44" s="4462"/>
      <c r="K44" s="4463"/>
      <c r="L44" s="4463"/>
      <c r="M44" s="4233"/>
      <c r="N44" s="4233"/>
      <c r="O44" s="4233"/>
      <c r="P44" s="4233"/>
      <c r="Q44" s="4233"/>
      <c r="R44" s="4233"/>
      <c r="S44" s="3898"/>
      <c r="T44" s="3898"/>
      <c r="U44" s="3898"/>
      <c r="V44" s="3898"/>
    </row>
    <row r="45" s="4135" customFormat="1" spans="1:30">
      <c r="A45" s="4292"/>
      <c r="B45" s="4292"/>
      <c r="C45" s="4233"/>
      <c r="D45" s="4233"/>
      <c r="E45" s="4233"/>
      <c r="F45" s="4233"/>
      <c r="G45" s="4233"/>
      <c r="H45" s="4233"/>
      <c r="I45" s="4233"/>
      <c r="J45" s="4462"/>
      <c r="K45" s="4463"/>
      <c r="L45" s="4463"/>
      <c r="M45" s="4233"/>
      <c r="N45" s="4233"/>
      <c r="O45" s="4233"/>
      <c r="P45" s="4233"/>
      <c r="Q45" s="4233"/>
      <c r="R45" s="4233"/>
      <c r="S45" s="3898"/>
      <c r="T45" s="3898"/>
      <c r="U45" s="3898"/>
      <c r="V45" s="3898"/>
    </row>
    <row r="46" s="4135" customFormat="1" spans="1:30">
      <c r="A46" s="4292"/>
      <c r="B46" s="4292"/>
      <c r="C46" s="4233"/>
      <c r="D46" s="4233"/>
      <c r="E46" s="4233"/>
      <c r="F46" s="4233"/>
      <c r="G46" s="4233"/>
      <c r="H46" s="4233"/>
      <c r="I46" s="4233"/>
      <c r="J46" s="4462"/>
      <c r="K46" s="4463"/>
      <c r="L46" s="4463"/>
      <c r="M46" s="4233"/>
      <c r="N46" s="4233"/>
      <c r="O46" s="4233"/>
      <c r="P46" s="4233"/>
      <c r="Q46" s="4233"/>
      <c r="R46" s="4233"/>
      <c r="S46" s="3898"/>
      <c r="T46" s="3898"/>
      <c r="U46" s="3898"/>
      <c r="V46" s="3898"/>
    </row>
    <row r="47" s="4135" customFormat="1" spans="1:30">
      <c r="A47" s="4292"/>
      <c r="B47" s="4292"/>
      <c r="C47" s="4233"/>
      <c r="D47" s="4233"/>
      <c r="E47" s="4233"/>
      <c r="F47" s="4233"/>
      <c r="G47" s="4233"/>
      <c r="H47" s="4233"/>
      <c r="I47" s="4233"/>
      <c r="J47" s="4462"/>
      <c r="K47" s="4463"/>
      <c r="L47" s="4463"/>
      <c r="M47" s="4233"/>
      <c r="N47" s="4233"/>
      <c r="O47" s="4233"/>
      <c r="P47" s="4233"/>
      <c r="Q47" s="4233"/>
      <c r="R47" s="4233"/>
      <c r="S47" s="3898"/>
      <c r="T47" s="3898"/>
      <c r="U47" s="3898"/>
      <c r="V47" s="3898"/>
    </row>
    <row r="48" s="4135" customFormat="1" spans="1:30">
      <c r="A48" s="4292"/>
      <c r="B48" s="4292"/>
      <c r="C48" s="4233"/>
      <c r="D48" s="4233"/>
      <c r="E48" s="4233"/>
      <c r="F48" s="4233"/>
      <c r="G48" s="4233"/>
      <c r="H48" s="4233"/>
      <c r="I48" s="4233"/>
      <c r="J48" s="4462"/>
      <c r="K48" s="4463"/>
      <c r="L48" s="4463"/>
      <c r="M48" s="4233"/>
      <c r="N48" s="4233"/>
      <c r="O48" s="4233"/>
      <c r="P48" s="4233"/>
      <c r="Q48" s="4233"/>
      <c r="R48" s="4233"/>
      <c r="S48" s="3898"/>
      <c r="T48" s="3898"/>
      <c r="U48" s="3898"/>
      <c r="V48" s="3898"/>
    </row>
    <row r="49" s="4135" customFormat="1" spans="1:22">
      <c r="A49" s="4292"/>
      <c r="B49" s="4292"/>
      <c r="C49" s="4233"/>
      <c r="D49" s="4233"/>
      <c r="E49" s="4233"/>
      <c r="F49" s="4233"/>
      <c r="G49" s="4233"/>
      <c r="H49" s="4233"/>
      <c r="I49" s="4233"/>
      <c r="J49" s="4462"/>
      <c r="K49" s="4463"/>
      <c r="L49" s="4463"/>
      <c r="M49" s="4233"/>
      <c r="N49" s="4233"/>
      <c r="O49" s="4233"/>
      <c r="P49" s="4233"/>
      <c r="Q49" s="4233"/>
      <c r="R49" s="4233"/>
      <c r="S49" s="3898"/>
      <c r="T49" s="3898"/>
      <c r="U49" s="3898"/>
      <c r="V49" s="3898"/>
    </row>
    <row r="50" s="4135" customFormat="1" spans="1:22">
      <c r="A50" s="4292"/>
      <c r="B50" s="4292"/>
      <c r="C50" s="4233"/>
      <c r="D50" s="4233"/>
      <c r="E50" s="4233"/>
      <c r="F50" s="4233"/>
      <c r="G50" s="4233"/>
      <c r="H50" s="4233"/>
      <c r="I50" s="4233"/>
      <c r="J50" s="4462"/>
      <c r="K50" s="4463"/>
      <c r="L50" s="4463"/>
      <c r="M50" s="4233"/>
      <c r="N50" s="4233"/>
      <c r="O50" s="4233"/>
      <c r="P50" s="4233"/>
      <c r="Q50" s="4233"/>
      <c r="R50" s="4233"/>
      <c r="S50" s="3898"/>
      <c r="T50" s="3898"/>
      <c r="U50" s="3898"/>
      <c r="V50" s="3898"/>
    </row>
    <row r="51" s="4135" customFormat="1" spans="1:22">
      <c r="A51" s="4292"/>
      <c r="B51" s="4292"/>
      <c r="C51" s="4233"/>
      <c r="D51" s="4233"/>
      <c r="E51" s="4233"/>
      <c r="F51" s="4233"/>
      <c r="G51" s="4233"/>
      <c r="H51" s="4233"/>
      <c r="I51" s="4233"/>
      <c r="J51" s="4462"/>
      <c r="K51" s="4463"/>
      <c r="L51" s="4463"/>
      <c r="M51" s="4233"/>
      <c r="N51" s="4233"/>
      <c r="O51" s="4233"/>
      <c r="P51" s="4233"/>
      <c r="Q51" s="4233"/>
      <c r="R51" s="4233"/>
    </row>
    <row r="52" s="4135" customFormat="1" spans="1:22">
      <c r="A52" s="4292"/>
      <c r="B52" s="4292"/>
      <c r="C52" s="4292"/>
      <c r="D52" s="4292"/>
      <c r="E52" s="4292"/>
      <c r="F52" s="4233"/>
      <c r="G52" s="4292"/>
      <c r="H52" s="4292"/>
      <c r="I52" s="4292"/>
      <c r="J52" s="4464"/>
      <c r="K52" s="4463"/>
      <c r="L52" s="4463"/>
      <c r="M52" s="4463"/>
      <c r="N52" s="4292"/>
      <c r="O52" s="4292"/>
      <c r="P52" s="4292"/>
      <c r="Q52" s="4292"/>
      <c r="R52" s="4292"/>
    </row>
    <row r="53" s="4135" customFormat="1" spans="1:22">
      <c r="A53" s="4292"/>
      <c r="B53" s="4292"/>
      <c r="C53" s="4292"/>
      <c r="D53" s="4292"/>
      <c r="E53" s="4292"/>
      <c r="F53" s="4233"/>
      <c r="G53" s="4292"/>
      <c r="H53" s="4292"/>
      <c r="I53" s="4292"/>
      <c r="J53" s="4464"/>
      <c r="K53" s="4463"/>
      <c r="L53" s="4463"/>
      <c r="M53" s="4463"/>
      <c r="N53" s="4292"/>
      <c r="O53" s="4292"/>
      <c r="P53" s="4292"/>
      <c r="Q53" s="4292"/>
      <c r="R53" s="4292"/>
    </row>
    <row r="54" s="4135" customFormat="1" spans="1:22">
      <c r="A54" s="4292"/>
      <c r="B54" s="4292"/>
      <c r="C54" s="4292"/>
      <c r="D54" s="4292"/>
      <c r="E54" s="4292"/>
      <c r="F54" s="4233"/>
      <c r="G54" s="4292"/>
      <c r="H54" s="4292"/>
      <c r="I54" s="4292"/>
      <c r="J54" s="4464"/>
      <c r="K54" s="4463"/>
      <c r="L54" s="4463"/>
      <c r="M54" s="4463"/>
      <c r="N54" s="4292"/>
      <c r="O54" s="4292"/>
      <c r="P54" s="4292"/>
      <c r="Q54" s="4292"/>
      <c r="R54" s="4292"/>
    </row>
    <row r="55" s="4135" customFormat="1" spans="1:22">
      <c r="A55" s="4292"/>
      <c r="B55" s="4292"/>
      <c r="C55" s="4292"/>
      <c r="D55" s="4292"/>
      <c r="E55" s="4292"/>
      <c r="F55" s="4233"/>
      <c r="G55" s="4292"/>
      <c r="H55" s="4292"/>
      <c r="I55" s="4292"/>
      <c r="J55" s="4464"/>
      <c r="K55" s="4463"/>
      <c r="L55" s="4463"/>
      <c r="M55" s="4463"/>
      <c r="N55" s="4292"/>
      <c r="O55" s="4292"/>
      <c r="P55" s="4292"/>
      <c r="Q55" s="4292"/>
      <c r="R55" s="4292"/>
    </row>
    <row r="56" s="4135" customFormat="1" spans="1:22">
      <c r="A56" s="4292"/>
      <c r="B56" s="4292"/>
      <c r="C56" s="4292"/>
      <c r="D56" s="4292"/>
      <c r="E56" s="4292"/>
      <c r="F56" s="4233"/>
      <c r="G56" s="4292"/>
      <c r="H56" s="4292"/>
      <c r="I56" s="4292"/>
      <c r="J56" s="4464"/>
      <c r="K56" s="4463"/>
      <c r="L56" s="4463"/>
      <c r="M56" s="4463"/>
      <c r="N56" s="4292"/>
      <c r="O56" s="4292"/>
      <c r="P56" s="4292"/>
      <c r="Q56" s="4292"/>
      <c r="R56" s="4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222" customWidth="1"/>
    <col min="2" max="2" width="11" style="4222" customWidth="1"/>
    <col min="3" max="3" width="10.3727272727273" style="4222" customWidth="1"/>
    <col min="4" max="4" width="9.12727272727273" style="4222" customWidth="1"/>
    <col min="5" max="6" width="10" style="4220" customWidth="1"/>
    <col min="7" max="8" width="10" style="4222" customWidth="1"/>
    <col min="9" max="9" width="10.6272727272727" style="4222" customWidth="1"/>
    <col min="10" max="10" width="9.5" style="4222" customWidth="1"/>
    <col min="11" max="11" width="11" style="4222" customWidth="1"/>
    <col min="12" max="14" width="9.5" style="4222" customWidth="1"/>
    <col min="15" max="15" width="9.87272727272727" style="4222" customWidth="1"/>
    <col min="16" max="16" width="9.75454545454545" style="4222" customWidth="1"/>
    <col min="17" max="17" width="9.37272727272727" style="4222" customWidth="1"/>
    <col min="18" max="18" width="9.25454545454545" style="4222" customWidth="1"/>
    <col min="19" max="19" width="10.8727272727273" style="4222" customWidth="1"/>
    <col min="20" max="21" width="10.7545454545455" style="4222" customWidth="1"/>
    <col min="22" max="22" width="10.8727272727273" style="4222" customWidth="1"/>
    <col min="23" max="27" width="10.7545454545455" style="4222" customWidth="1"/>
    <col min="28" max="28" width="10.8727272727273" style="4222" customWidth="1"/>
    <col min="29" max="29" width="11" style="4222" customWidth="1"/>
    <col min="30" max="30" width="10" style="4222" customWidth="1"/>
    <col min="31" max="31" width="9.75454545454545" style="4222" customWidth="1"/>
    <col min="32" max="46" width="9.5" style="4222" customWidth="1"/>
    <col min="47" max="47" width="18.1272727272727" style="4222" customWidth="1"/>
    <col min="48" max="50" width="9.75454545454545" style="4222" customWidth="1"/>
    <col min="51" max="55" width="10.5" style="4222" customWidth="1"/>
    <col min="56" max="56" width="9.5" style="4222" customWidth="1"/>
    <col min="57" max="63" width="9.12727272727273" style="4222" customWidth="1"/>
    <col min="64" max="64" width="9.5" style="4222" customWidth="1"/>
    <col min="65" max="65" width="9.12727272727273" style="4222" customWidth="1"/>
    <col min="66" max="66" width="9.5" style="4222" customWidth="1"/>
    <col min="67" max="69" width="9.12727272727273" style="4222" customWidth="1"/>
    <col min="70" max="70" width="9.5" style="4222" customWidth="1"/>
    <col min="71" max="71" width="9" style="4222" customWidth="1"/>
    <col min="72" max="72" width="9.12727272727273" style="4222" customWidth="1"/>
    <col min="73" max="16384" width="8.87272727272727" style="4222"/>
  </cols>
  <sheetData>
    <row r="1" ht="21" spans="1:72">
      <c r="A1" s="4223" t="s">
        <v>589</v>
      </c>
      <c r="B1" s="4224"/>
      <c r="C1" s="4224"/>
      <c r="D1" s="4224"/>
      <c r="E1" s="4224"/>
      <c r="F1" s="4224"/>
      <c r="G1" s="4224"/>
      <c r="H1" s="4224"/>
      <c r="I1" s="4224"/>
      <c r="J1" s="4224"/>
      <c r="K1" s="4224"/>
      <c r="L1" s="4224"/>
      <c r="M1" s="4224"/>
      <c r="N1" s="4224"/>
      <c r="O1" s="4224"/>
      <c r="P1" s="4224"/>
      <c r="Q1" s="4224"/>
      <c r="R1" s="4224"/>
      <c r="S1" s="4224"/>
      <c r="T1" s="4224"/>
      <c r="U1" s="4224"/>
      <c r="V1" s="4224"/>
      <c r="W1" s="4224"/>
      <c r="X1" s="4224"/>
      <c r="Y1" s="4224"/>
      <c r="Z1" s="4224"/>
      <c r="AA1" s="4224"/>
      <c r="AB1" s="4224"/>
      <c r="AC1" s="4224"/>
      <c r="AD1" s="4224"/>
      <c r="AE1" s="4224"/>
      <c r="AF1" s="4224"/>
      <c r="AG1" s="4224"/>
      <c r="AH1" s="4224"/>
      <c r="AI1" s="4224"/>
      <c r="AJ1" s="4224"/>
      <c r="AK1" s="4224"/>
      <c r="AL1" s="4224"/>
      <c r="AM1" s="4224"/>
      <c r="AN1" s="4224"/>
      <c r="AO1" s="4224"/>
      <c r="AP1" s="4224"/>
      <c r="AQ1" s="4224"/>
      <c r="AR1" s="4224"/>
      <c r="AS1" s="4224"/>
      <c r="AT1" s="4224"/>
      <c r="AU1" s="4224"/>
      <c r="AV1" s="4225" t="s">
        <v>590</v>
      </c>
      <c r="AW1" s="4224"/>
      <c r="AX1" s="4224"/>
      <c r="AY1" s="4224"/>
      <c r="AZ1" s="4224"/>
      <c r="BA1" s="4224"/>
      <c r="BB1" s="4224"/>
      <c r="BC1" s="4224"/>
      <c r="BD1" s="4224"/>
      <c r="BE1" s="4224"/>
      <c r="BF1" s="4224"/>
      <c r="BG1" s="4224"/>
      <c r="BH1" s="4224"/>
      <c r="BI1" s="4224"/>
      <c r="BJ1" s="4224"/>
      <c r="BK1" s="4224"/>
      <c r="BL1" s="4224"/>
      <c r="BM1" s="4224"/>
      <c r="BN1" s="4224"/>
      <c r="BO1" s="4224"/>
      <c r="BP1" s="4224"/>
      <c r="BQ1" s="4224"/>
      <c r="BR1" s="4224"/>
      <c r="BS1" s="4224"/>
      <c r="BT1" s="4224"/>
    </row>
    <row r="2" s="4217" customFormat="1" ht="26" spans="1:72">
      <c r="A2" s="2484" t="s">
        <v>530</v>
      </c>
      <c r="B2" s="2484" t="s">
        <v>526</v>
      </c>
      <c r="C2" s="2484" t="s">
        <v>591</v>
      </c>
      <c r="D2" s="4226"/>
      <c r="E2" s="3509"/>
      <c r="F2" s="3600"/>
      <c r="G2" s="4226"/>
      <c r="H2" s="4226"/>
      <c r="I2" s="4226"/>
      <c r="J2" s="4226"/>
      <c r="K2" s="4226"/>
      <c r="L2" s="4226"/>
      <c r="M2" s="4226"/>
      <c r="N2" s="4226"/>
      <c r="O2" s="4226"/>
      <c r="P2" s="4226"/>
      <c r="Q2" s="4226"/>
      <c r="R2" s="4226"/>
      <c r="S2" s="4226"/>
      <c r="T2" s="4226"/>
      <c r="U2" s="4226"/>
      <c r="V2" s="4226"/>
      <c r="W2" s="4226"/>
      <c r="X2" s="4226"/>
      <c r="Y2" s="4226"/>
      <c r="Z2" s="4226"/>
      <c r="AA2" s="4226"/>
      <c r="AB2" s="4226"/>
      <c r="AC2" s="4226"/>
      <c r="AD2" s="4226"/>
      <c r="AE2" s="4226"/>
      <c r="AF2" s="4226"/>
      <c r="AG2" s="4226"/>
      <c r="AH2" s="4226"/>
      <c r="AI2" s="4226"/>
      <c r="AJ2" s="4226"/>
      <c r="AK2" s="4226"/>
      <c r="AL2" s="4226"/>
      <c r="AM2" s="4226"/>
      <c r="AN2" s="4226"/>
      <c r="AO2" s="4226"/>
      <c r="AP2" s="4226"/>
      <c r="AQ2" s="4226"/>
      <c r="AR2" s="4226"/>
      <c r="AS2" s="4226"/>
      <c r="AT2" s="4226"/>
      <c r="AU2" s="4226"/>
      <c r="AV2" s="4226"/>
      <c r="AW2" s="4226"/>
      <c r="AX2" s="4226"/>
      <c r="AY2" s="4227" t="s">
        <v>592</v>
      </c>
      <c r="AZ2" s="4228" t="s">
        <v>593</v>
      </c>
      <c r="BA2" s="2484" t="s">
        <v>594</v>
      </c>
      <c r="BB2" s="4226"/>
      <c r="BC2" s="4226"/>
      <c r="BD2" s="4226"/>
      <c r="BE2" s="4226"/>
      <c r="BF2" s="4226"/>
      <c r="BG2" s="4226"/>
      <c r="BH2" s="4226"/>
      <c r="BI2" s="4226"/>
      <c r="BJ2" s="4226"/>
      <c r="BK2" s="4226"/>
      <c r="BL2" s="4226"/>
      <c r="BM2" s="4226"/>
      <c r="BN2" s="4226"/>
      <c r="BO2" s="4226"/>
      <c r="BP2" s="4226"/>
      <c r="BQ2" s="4226"/>
      <c r="BR2" s="4226"/>
      <c r="BS2" s="4226"/>
      <c r="BT2" s="4226"/>
    </row>
    <row r="3" s="4217" customFormat="1" ht="12.5" spans="1:72">
      <c r="A3" s="4229">
        <v>9999.1</v>
      </c>
      <c r="B3" s="4230">
        <f>IF(C3="否",G5-AT5,G5)</f>
        <v>16724.51</v>
      </c>
      <c r="C3" s="4231"/>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c r="AN3" s="4226"/>
      <c r="AO3" s="4226"/>
      <c r="AP3" s="4226"/>
      <c r="AQ3" s="4226"/>
      <c r="AR3" s="4226"/>
      <c r="AS3" s="4226"/>
      <c r="AT3" s="4226"/>
      <c r="AU3" s="4226"/>
      <c r="AV3" s="4226"/>
      <c r="AW3" s="4226"/>
      <c r="AX3" s="4226"/>
      <c r="AY3" s="4232"/>
      <c r="AZ3" s="4233"/>
      <c r="BA3" s="2390"/>
      <c r="BB3" s="4226"/>
      <c r="BC3" s="4226"/>
      <c r="BD3" s="4226"/>
      <c r="BE3" s="4226"/>
      <c r="BF3" s="4226"/>
      <c r="BG3" s="4226"/>
      <c r="BH3" s="4226"/>
      <c r="BI3" s="4226"/>
      <c r="BJ3" s="4226"/>
      <c r="BK3" s="4226"/>
      <c r="BL3" s="4226"/>
      <c r="BM3" s="4226"/>
      <c r="BN3" s="4226"/>
      <c r="BO3" s="4226"/>
      <c r="BP3" s="4226"/>
      <c r="BQ3" s="4226"/>
      <c r="BR3" s="4226"/>
      <c r="BS3" s="4226"/>
      <c r="BT3" s="4226"/>
    </row>
    <row r="4" s="4218" customFormat="1" ht="13.25" spans="1:72">
      <c r="A4" s="4234"/>
      <c r="B4" s="4235"/>
      <c r="C4" s="423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c r="AN4" s="4226"/>
      <c r="AO4" s="4226"/>
      <c r="AP4" s="4226"/>
      <c r="AQ4" s="4226"/>
      <c r="AR4" s="4226"/>
      <c r="AS4" s="4226"/>
      <c r="AT4" s="4226"/>
      <c r="AU4" s="4226"/>
      <c r="AV4" s="4226"/>
      <c r="AW4" s="4226"/>
      <c r="AX4" s="4226"/>
      <c r="AY4" s="4226"/>
      <c r="AZ4" s="4226"/>
      <c r="BA4" s="4237"/>
      <c r="BB4" s="4226"/>
      <c r="BC4" s="4226"/>
      <c r="BD4" s="4226"/>
      <c r="BE4" s="4226"/>
      <c r="BF4" s="4226"/>
      <c r="BG4" s="4226"/>
      <c r="BH4" s="4226"/>
      <c r="BI4" s="4226"/>
      <c r="BJ4" s="4226"/>
      <c r="BK4" s="4226"/>
      <c r="BL4" s="4226"/>
      <c r="BM4" s="4226"/>
      <c r="BN4" s="4226"/>
      <c r="BO4" s="4226"/>
      <c r="BP4" s="4226"/>
      <c r="BQ4" s="4226"/>
      <c r="BR4" s="4226"/>
      <c r="BS4" s="4226"/>
      <c r="BT4" s="4226"/>
    </row>
    <row r="5" s="4217" customFormat="1" ht="13" spans="1:72">
      <c r="A5" s="739" t="s">
        <v>595</v>
      </c>
      <c r="B5" s="3407"/>
      <c r="C5" s="3407"/>
      <c r="D5" s="3408"/>
      <c r="E5" s="4238" t="s">
        <v>124</v>
      </c>
      <c r="F5" s="4238">
        <f>SUM(F13:F587)</f>
        <v>0</v>
      </c>
      <c r="G5" s="4238">
        <f>SUM(G13:G587)</f>
        <v>16724.51</v>
      </c>
      <c r="H5" s="4238">
        <f t="shared" ref="H5:AT5" si="0">SUM(H13:H656)</f>
        <v>16724.51</v>
      </c>
      <c r="I5" s="4238">
        <f t="shared" si="0"/>
        <v>16162.07</v>
      </c>
      <c r="J5" s="4238">
        <f t="shared" si="0"/>
        <v>0</v>
      </c>
      <c r="K5" s="4238">
        <f t="shared" si="0"/>
        <v>562.44</v>
      </c>
      <c r="L5" s="4238">
        <f t="shared" si="0"/>
        <v>0</v>
      </c>
      <c r="M5" s="4238">
        <f t="shared" si="0"/>
        <v>0</v>
      </c>
      <c r="N5" s="4238">
        <f t="shared" si="0"/>
        <v>0</v>
      </c>
      <c r="O5" s="4238">
        <f t="shared" si="0"/>
        <v>0</v>
      </c>
      <c r="P5" s="4238">
        <f t="shared" si="0"/>
        <v>0</v>
      </c>
      <c r="Q5" s="4238">
        <f t="shared" si="0"/>
        <v>0</v>
      </c>
      <c r="R5" s="4238">
        <f t="shared" si="0"/>
        <v>0</v>
      </c>
      <c r="S5" s="4238">
        <f t="shared" si="0"/>
        <v>0</v>
      </c>
      <c r="T5" s="4238">
        <f t="shared" si="0"/>
        <v>0</v>
      </c>
      <c r="U5" s="4238">
        <f t="shared" si="0"/>
        <v>0</v>
      </c>
      <c r="V5" s="4238">
        <f t="shared" si="0"/>
        <v>0</v>
      </c>
      <c r="W5" s="4238">
        <f t="shared" si="0"/>
        <v>0</v>
      </c>
      <c r="X5" s="4238">
        <f t="shared" si="0"/>
        <v>0</v>
      </c>
      <c r="Y5" s="4238">
        <f t="shared" si="0"/>
        <v>0</v>
      </c>
      <c r="Z5" s="4238">
        <f t="shared" si="0"/>
        <v>0</v>
      </c>
      <c r="AA5" s="4238">
        <f t="shared" si="0"/>
        <v>0</v>
      </c>
      <c r="AB5" s="4238">
        <f t="shared" si="0"/>
        <v>0</v>
      </c>
      <c r="AC5" s="4238">
        <f t="shared" si="0"/>
        <v>0</v>
      </c>
      <c r="AD5" s="4238">
        <f t="shared" si="0"/>
        <v>0</v>
      </c>
      <c r="AE5" s="4238">
        <f t="shared" si="0"/>
        <v>0</v>
      </c>
      <c r="AF5" s="4238">
        <f t="shared" si="0"/>
        <v>0</v>
      </c>
      <c r="AG5" s="4238">
        <f t="shared" si="0"/>
        <v>0</v>
      </c>
      <c r="AH5" s="4238">
        <f t="shared" si="0"/>
        <v>0</v>
      </c>
      <c r="AI5" s="4238">
        <f t="shared" si="0"/>
        <v>0</v>
      </c>
      <c r="AJ5" s="4238">
        <f t="shared" si="0"/>
        <v>0</v>
      </c>
      <c r="AK5" s="4238">
        <f t="shared" si="0"/>
        <v>0</v>
      </c>
      <c r="AL5" s="4238">
        <f t="shared" si="0"/>
        <v>0</v>
      </c>
      <c r="AM5" s="4238">
        <f t="shared" si="0"/>
        <v>0</v>
      </c>
      <c r="AN5" s="4238">
        <f t="shared" si="0"/>
        <v>0</v>
      </c>
      <c r="AO5" s="4238">
        <f t="shared" si="0"/>
        <v>0</v>
      </c>
      <c r="AP5" s="4238">
        <f t="shared" si="0"/>
        <v>0</v>
      </c>
      <c r="AQ5" s="4238">
        <f t="shared" si="0"/>
        <v>0</v>
      </c>
      <c r="AR5" s="4238">
        <f t="shared" si="0"/>
        <v>0</v>
      </c>
      <c r="AS5" s="4238">
        <f t="shared" si="0"/>
        <v>0</v>
      </c>
      <c r="AT5" s="4238">
        <f t="shared" si="0"/>
        <v>0</v>
      </c>
      <c r="AU5" s="3406"/>
      <c r="AV5" s="739" t="s">
        <v>595</v>
      </c>
      <c r="AW5" s="3407"/>
      <c r="AX5" s="3407"/>
      <c r="AY5" s="4239" t="s">
        <v>124</v>
      </c>
      <c r="AZ5" s="4240">
        <f t="shared" ref="AZ5:BT5" si="1">SUM(AZ13:AZ656)</f>
        <v>16724.51</v>
      </c>
      <c r="BA5" s="4240">
        <f t="shared" si="1"/>
        <v>16724.51</v>
      </c>
      <c r="BB5" s="4240">
        <f t="shared" si="1"/>
        <v>16162.07</v>
      </c>
      <c r="BC5" s="4240">
        <f t="shared" si="1"/>
        <v>562.44</v>
      </c>
      <c r="BD5" s="4240">
        <f t="shared" si="1"/>
        <v>0</v>
      </c>
      <c r="BE5" s="4240">
        <f t="shared" si="1"/>
        <v>0</v>
      </c>
      <c r="BF5" s="4240">
        <f t="shared" si="1"/>
        <v>0</v>
      </c>
      <c r="BG5" s="4240">
        <f t="shared" si="1"/>
        <v>0</v>
      </c>
      <c r="BH5" s="4240">
        <f t="shared" si="1"/>
        <v>0</v>
      </c>
      <c r="BI5" s="4240">
        <f t="shared" si="1"/>
        <v>0</v>
      </c>
      <c r="BJ5" s="4240">
        <f t="shared" si="1"/>
        <v>0</v>
      </c>
      <c r="BK5" s="4240">
        <f t="shared" si="1"/>
        <v>0</v>
      </c>
      <c r="BL5" s="4240">
        <f t="shared" si="1"/>
        <v>0</v>
      </c>
      <c r="BM5" s="4240">
        <f t="shared" si="1"/>
        <v>0</v>
      </c>
      <c r="BN5" s="4240">
        <f t="shared" si="1"/>
        <v>0</v>
      </c>
      <c r="BO5" s="4240">
        <f t="shared" si="1"/>
        <v>0</v>
      </c>
      <c r="BP5" s="4240">
        <f t="shared" si="1"/>
        <v>0</v>
      </c>
      <c r="BQ5" s="4240">
        <f t="shared" si="1"/>
        <v>0</v>
      </c>
      <c r="BR5" s="4240">
        <f t="shared" si="1"/>
        <v>0</v>
      </c>
      <c r="BS5" s="4240">
        <f t="shared" si="1"/>
        <v>0</v>
      </c>
      <c r="BT5" s="4241">
        <f t="shared" si="1"/>
        <v>0</v>
      </c>
    </row>
    <row r="6" s="4219" customFormat="1" ht="13" spans="1:72">
      <c r="A6" s="739" t="s">
        <v>596</v>
      </c>
      <c r="B6" s="4242"/>
      <c r="C6" s="4242"/>
      <c r="D6" s="4243"/>
      <c r="E6" s="4238">
        <f>H6+AC6+AT6</f>
        <v>9999.1</v>
      </c>
      <c r="F6" s="4238" t="s">
        <v>124</v>
      </c>
      <c r="G6" s="4238" t="s">
        <v>124</v>
      </c>
      <c r="H6" s="4244">
        <f>SUMIF(I$12:AB$12,"总值",I6:AB6)</f>
        <v>9999.1</v>
      </c>
      <c r="I6" s="4238">
        <f t="shared" ref="I6:AB6" si="2">ROUND($A$3*I5/$B$3,2)</f>
        <v>9662.83</v>
      </c>
      <c r="J6" s="4238">
        <f t="shared" si="2"/>
        <v>0</v>
      </c>
      <c r="K6" s="4238">
        <f t="shared" si="2"/>
        <v>336.27</v>
      </c>
      <c r="L6" s="4238">
        <f t="shared" si="2"/>
        <v>0</v>
      </c>
      <c r="M6" s="4238">
        <f t="shared" si="2"/>
        <v>0</v>
      </c>
      <c r="N6" s="4238">
        <f t="shared" si="2"/>
        <v>0</v>
      </c>
      <c r="O6" s="4238">
        <f t="shared" si="2"/>
        <v>0</v>
      </c>
      <c r="P6" s="4238">
        <f t="shared" si="2"/>
        <v>0</v>
      </c>
      <c r="Q6" s="4238">
        <f t="shared" si="2"/>
        <v>0</v>
      </c>
      <c r="R6" s="4238">
        <f t="shared" si="2"/>
        <v>0</v>
      </c>
      <c r="S6" s="4238">
        <f t="shared" si="2"/>
        <v>0</v>
      </c>
      <c r="T6" s="4238">
        <f t="shared" si="2"/>
        <v>0</v>
      </c>
      <c r="U6" s="4238">
        <f t="shared" si="2"/>
        <v>0</v>
      </c>
      <c r="V6" s="4238">
        <f t="shared" si="2"/>
        <v>0</v>
      </c>
      <c r="W6" s="4238">
        <f t="shared" si="2"/>
        <v>0</v>
      </c>
      <c r="X6" s="4238">
        <f t="shared" si="2"/>
        <v>0</v>
      </c>
      <c r="Y6" s="4238">
        <f t="shared" si="2"/>
        <v>0</v>
      </c>
      <c r="Z6" s="4238">
        <f t="shared" si="2"/>
        <v>0</v>
      </c>
      <c r="AA6" s="4238">
        <f t="shared" si="2"/>
        <v>0</v>
      </c>
      <c r="AB6" s="4238">
        <f t="shared" si="2"/>
        <v>0</v>
      </c>
      <c r="AC6" s="4244">
        <f>SUMIF(AD$12:AS$12,"总值",AD6:AS6)</f>
        <v>0</v>
      </c>
      <c r="AD6" s="4238">
        <f t="shared" ref="AD6:AS6" si="3">ROUND($A$3*AD5/$B$3,2)</f>
        <v>0</v>
      </c>
      <c r="AE6" s="4238">
        <f t="shared" si="3"/>
        <v>0</v>
      </c>
      <c r="AF6" s="4238">
        <f t="shared" si="3"/>
        <v>0</v>
      </c>
      <c r="AG6" s="4238">
        <f t="shared" si="3"/>
        <v>0</v>
      </c>
      <c r="AH6" s="4238">
        <f t="shared" si="3"/>
        <v>0</v>
      </c>
      <c r="AI6" s="4238">
        <f t="shared" si="3"/>
        <v>0</v>
      </c>
      <c r="AJ6" s="4238">
        <f t="shared" si="3"/>
        <v>0</v>
      </c>
      <c r="AK6" s="4238">
        <f t="shared" si="3"/>
        <v>0</v>
      </c>
      <c r="AL6" s="4238">
        <f t="shared" si="3"/>
        <v>0</v>
      </c>
      <c r="AM6" s="4238">
        <f t="shared" si="3"/>
        <v>0</v>
      </c>
      <c r="AN6" s="4238">
        <f t="shared" si="3"/>
        <v>0</v>
      </c>
      <c r="AO6" s="4238">
        <f t="shared" si="3"/>
        <v>0</v>
      </c>
      <c r="AP6" s="4238">
        <f t="shared" si="3"/>
        <v>0</v>
      </c>
      <c r="AQ6" s="4238">
        <f t="shared" si="3"/>
        <v>0</v>
      </c>
      <c r="AR6" s="4238">
        <f t="shared" si="3"/>
        <v>0</v>
      </c>
      <c r="AS6" s="4238">
        <f t="shared" si="3"/>
        <v>0</v>
      </c>
      <c r="AT6" s="4244">
        <f>IF(C3="是",ROUND($A$3*AT5/$B$3,2),0)</f>
        <v>0</v>
      </c>
      <c r="AU6" s="4245"/>
      <c r="AV6" s="739" t="s">
        <v>596</v>
      </c>
      <c r="AW6" s="4242"/>
      <c r="AX6" s="4242"/>
      <c r="AY6" s="4246">
        <f>IF(AY3&gt;0,AY3,ROUND($A$3*AZ5/$B$3,2))</f>
        <v>9999.1</v>
      </c>
      <c r="AZ6" s="4238" t="s">
        <v>124</v>
      </c>
      <c r="BA6" s="4238">
        <f>ROUND($AY$6*BA5/$AZ$5,2)</f>
        <v>9999.1</v>
      </c>
      <c r="BB6" s="4238">
        <f>ROUND($AY$6*BB5/$AZ$5,2)</f>
        <v>9662.83</v>
      </c>
      <c r="BC6" s="4238">
        <f t="shared" ref="BC6:BH6" si="4">ROUND($AY$6*BC5/$AZ$5,2)</f>
        <v>336.27</v>
      </c>
      <c r="BD6" s="4238">
        <f t="shared" si="4"/>
        <v>0</v>
      </c>
      <c r="BE6" s="4238">
        <f t="shared" si="4"/>
        <v>0</v>
      </c>
      <c r="BF6" s="4238">
        <f t="shared" si="4"/>
        <v>0</v>
      </c>
      <c r="BG6" s="4238">
        <f t="shared" si="4"/>
        <v>0</v>
      </c>
      <c r="BH6" s="4238">
        <f t="shared" si="4"/>
        <v>0</v>
      </c>
      <c r="BI6" s="4238">
        <f t="shared" ref="BI6:BT6" si="5">ROUND($AY$6*BI5/$AZ$5,2)</f>
        <v>0</v>
      </c>
      <c r="BJ6" s="4238">
        <f t="shared" si="5"/>
        <v>0</v>
      </c>
      <c r="BK6" s="4238">
        <f t="shared" si="5"/>
        <v>0</v>
      </c>
      <c r="BL6" s="4238">
        <f t="shared" si="5"/>
        <v>0</v>
      </c>
      <c r="BM6" s="4238">
        <f t="shared" si="5"/>
        <v>0</v>
      </c>
      <c r="BN6" s="4238">
        <f t="shared" si="5"/>
        <v>0</v>
      </c>
      <c r="BO6" s="4238">
        <f t="shared" si="5"/>
        <v>0</v>
      </c>
      <c r="BP6" s="4238">
        <f t="shared" si="5"/>
        <v>0</v>
      </c>
      <c r="BQ6" s="4238">
        <f t="shared" si="5"/>
        <v>0</v>
      </c>
      <c r="BR6" s="4238">
        <f t="shared" si="5"/>
        <v>0</v>
      </c>
      <c r="BS6" s="4238">
        <f t="shared" si="5"/>
        <v>0</v>
      </c>
      <c r="BT6" s="4247">
        <f t="shared" si="5"/>
        <v>0</v>
      </c>
    </row>
    <row r="7" s="4217" customFormat="1" ht="26" spans="1:72">
      <c r="A7" s="4248" t="s">
        <v>597</v>
      </c>
      <c r="B7" s="4248" t="s">
        <v>598</v>
      </c>
      <c r="C7" s="4248" t="s">
        <v>572</v>
      </c>
      <c r="D7" s="4248" t="s">
        <v>599</v>
      </c>
      <c r="E7" s="4248" t="s">
        <v>596</v>
      </c>
      <c r="F7" s="4248" t="s">
        <v>600</v>
      </c>
      <c r="G7" s="4249" t="s">
        <v>601</v>
      </c>
      <c r="H7" s="4250"/>
      <c r="I7" s="4250"/>
      <c r="J7" s="4250"/>
      <c r="K7" s="4250"/>
      <c r="L7" s="4250"/>
      <c r="M7" s="4250"/>
      <c r="N7" s="4250"/>
      <c r="O7" s="4250"/>
      <c r="P7" s="4250"/>
      <c r="Q7" s="4250"/>
      <c r="R7" s="4250"/>
      <c r="S7" s="4250"/>
      <c r="T7" s="4250"/>
      <c r="U7" s="4250"/>
      <c r="V7" s="4250"/>
      <c r="W7" s="4250"/>
      <c r="X7" s="4250"/>
      <c r="Y7" s="4250"/>
      <c r="Z7" s="4250"/>
      <c r="AA7" s="4250"/>
      <c r="AB7" s="4250"/>
      <c r="AC7" s="4250"/>
      <c r="AD7" s="4250"/>
      <c r="AE7" s="4250"/>
      <c r="AF7" s="4250"/>
      <c r="AG7" s="4250"/>
      <c r="AH7" s="4250"/>
      <c r="AI7" s="4250"/>
      <c r="AJ7" s="4250"/>
      <c r="AK7" s="4250"/>
      <c r="AL7" s="4250"/>
      <c r="AM7" s="4250"/>
      <c r="AN7" s="4250"/>
      <c r="AO7" s="4250"/>
      <c r="AP7" s="4250"/>
      <c r="AQ7" s="4250"/>
      <c r="AR7" s="4250"/>
      <c r="AS7" s="4250"/>
      <c r="AT7" s="3408"/>
      <c r="AU7" s="4250" t="s">
        <v>602</v>
      </c>
      <c r="AV7" s="4251" t="s">
        <v>597</v>
      </c>
      <c r="AW7" s="3600" t="s">
        <v>598</v>
      </c>
      <c r="AX7" s="4251" t="s">
        <v>572</v>
      </c>
      <c r="AY7" s="3407" t="s">
        <v>603</v>
      </c>
      <c r="AZ7" s="4252"/>
      <c r="BA7" s="4250"/>
      <c r="BB7" s="4250"/>
      <c r="BC7" s="4250"/>
      <c r="BD7" s="4250"/>
      <c r="BE7" s="4250"/>
      <c r="BF7" s="4250"/>
      <c r="BG7" s="4250"/>
      <c r="BH7" s="4250"/>
      <c r="BI7" s="4250"/>
      <c r="BJ7" s="4250"/>
      <c r="BK7" s="4250"/>
      <c r="BL7" s="4250"/>
      <c r="BM7" s="4250"/>
      <c r="BN7" s="4250"/>
      <c r="BO7" s="4250"/>
      <c r="BP7" s="4250"/>
      <c r="BQ7" s="4250"/>
      <c r="BR7" s="4250"/>
      <c r="BS7" s="4250"/>
      <c r="BT7" s="4253"/>
    </row>
    <row r="8" s="3907" customFormat="1" ht="26" spans="1:72">
      <c r="A8" s="4254"/>
      <c r="B8" s="4254"/>
      <c r="C8" s="4254"/>
      <c r="D8" s="4254"/>
      <c r="E8" s="4254"/>
      <c r="F8" s="4254"/>
      <c r="G8" s="4255" t="s">
        <v>604</v>
      </c>
      <c r="H8" s="4256" t="s">
        <v>605</v>
      </c>
      <c r="I8" s="4257"/>
      <c r="J8" s="2482"/>
      <c r="K8" s="2482"/>
      <c r="L8" s="2482"/>
      <c r="M8" s="2482"/>
      <c r="N8" s="2482"/>
      <c r="O8" s="2482"/>
      <c r="P8" s="2482"/>
      <c r="Q8" s="2482"/>
      <c r="R8" s="2482"/>
      <c r="S8" s="2482"/>
      <c r="T8" s="2482"/>
      <c r="U8" s="2482"/>
      <c r="V8" s="4258"/>
      <c r="W8" s="2482"/>
      <c r="X8" s="2482"/>
      <c r="Y8" s="2482"/>
      <c r="Z8" s="2482"/>
      <c r="AA8" s="4258"/>
      <c r="AB8" s="4259"/>
      <c r="AC8" s="796" t="s">
        <v>606</v>
      </c>
      <c r="AD8" s="4260"/>
      <c r="AE8" s="4252"/>
      <c r="AF8" s="2482"/>
      <c r="AG8" s="2482"/>
      <c r="AH8" s="2482"/>
      <c r="AI8" s="2482"/>
      <c r="AJ8" s="2482"/>
      <c r="AK8" s="2482"/>
      <c r="AL8" s="2482"/>
      <c r="AM8" s="2482"/>
      <c r="AN8" s="2482"/>
      <c r="AO8" s="2482"/>
      <c r="AP8" s="2482"/>
      <c r="AQ8" s="2482"/>
      <c r="AR8" s="2482"/>
      <c r="AS8" s="2482"/>
      <c r="AT8" s="2815" t="s">
        <v>607</v>
      </c>
      <c r="AU8" s="4254" t="s">
        <v>608</v>
      </c>
      <c r="AV8" s="2815"/>
      <c r="AW8" s="3509"/>
      <c r="AX8" s="2815"/>
      <c r="AY8" s="3600" t="s">
        <v>596</v>
      </c>
      <c r="AZ8" s="2481" t="s">
        <v>526</v>
      </c>
      <c r="BA8" s="2482"/>
      <c r="BB8" s="2482"/>
      <c r="BC8" s="2482"/>
      <c r="BD8" s="2482"/>
      <c r="BE8" s="2482"/>
      <c r="BF8" s="2482"/>
      <c r="BG8" s="2482"/>
      <c r="BH8" s="2482"/>
      <c r="BI8" s="2482"/>
      <c r="BJ8" s="2482"/>
      <c r="BK8" s="2482"/>
      <c r="BL8" s="2482"/>
      <c r="BM8" s="2482"/>
      <c r="BN8" s="2482"/>
      <c r="BO8" s="2482"/>
      <c r="BP8" s="2482"/>
      <c r="BQ8" s="2482"/>
      <c r="BR8" s="2482"/>
      <c r="BS8" s="2482"/>
      <c r="BT8" s="2877"/>
    </row>
    <row r="9" s="3907" customFormat="1" ht="13" spans="1:72">
      <c r="A9" s="4254"/>
      <c r="B9" s="4254"/>
      <c r="C9" s="4254"/>
      <c r="D9" s="4254"/>
      <c r="E9" s="4254"/>
      <c r="F9" s="4254"/>
      <c r="G9" s="2815"/>
      <c r="H9" s="4261" t="s">
        <v>609</v>
      </c>
      <c r="I9" s="4262" t="s">
        <v>610</v>
      </c>
      <c r="J9" s="796"/>
      <c r="K9" s="4262" t="s">
        <v>611</v>
      </c>
      <c r="L9" s="796"/>
      <c r="M9" s="4262"/>
      <c r="N9" s="796"/>
      <c r="O9" s="4262"/>
      <c r="P9" s="796"/>
      <c r="Q9" s="4262"/>
      <c r="R9" s="796"/>
      <c r="S9" s="4262"/>
      <c r="T9" s="796"/>
      <c r="U9" s="4262"/>
      <c r="V9" s="796"/>
      <c r="W9" s="4262"/>
      <c r="X9" s="4263"/>
      <c r="Y9" s="4262"/>
      <c r="Z9" s="796"/>
      <c r="AA9" s="4262"/>
      <c r="AB9" s="796"/>
      <c r="AC9" s="4255" t="s">
        <v>609</v>
      </c>
      <c r="AD9" s="739" t="s">
        <v>612</v>
      </c>
      <c r="AE9" s="2830"/>
      <c r="AF9" s="739" t="s">
        <v>613</v>
      </c>
      <c r="AG9" s="2830"/>
      <c r="AH9" s="739" t="s">
        <v>612</v>
      </c>
      <c r="AI9" s="2830"/>
      <c r="AJ9" s="739" t="s">
        <v>613</v>
      </c>
      <c r="AK9" s="2830"/>
      <c r="AL9" s="739" t="s">
        <v>612</v>
      </c>
      <c r="AM9" s="2830"/>
      <c r="AN9" s="739" t="s">
        <v>613</v>
      </c>
      <c r="AO9" s="2830"/>
      <c r="AP9" s="739" t="s">
        <v>612</v>
      </c>
      <c r="AQ9" s="2830"/>
      <c r="AR9" s="739" t="s">
        <v>613</v>
      </c>
      <c r="AS9" s="4264"/>
      <c r="AT9" s="4254"/>
      <c r="AU9" s="4254" t="s">
        <v>614</v>
      </c>
      <c r="AV9" s="2815"/>
      <c r="AW9" s="3509"/>
      <c r="AX9" s="2815"/>
      <c r="AY9" s="4265"/>
      <c r="AZ9" s="4265" t="s">
        <v>604</v>
      </c>
      <c r="BA9" s="4266" t="s">
        <v>615</v>
      </c>
      <c r="BB9" s="4267"/>
      <c r="BC9" s="2876"/>
      <c r="BD9" s="2876"/>
      <c r="BE9" s="2876"/>
      <c r="BF9" s="2876"/>
      <c r="BG9" s="2876"/>
      <c r="BH9" s="2876"/>
      <c r="BI9" s="2876"/>
      <c r="BJ9" s="2876"/>
      <c r="BK9" s="4268"/>
      <c r="BL9" s="739" t="s">
        <v>616</v>
      </c>
      <c r="BM9" s="2482"/>
      <c r="BN9" s="4257"/>
      <c r="BO9" s="2482"/>
      <c r="BP9" s="2482"/>
      <c r="BQ9" s="2482"/>
      <c r="BR9" s="2482"/>
      <c r="BS9" s="2482"/>
      <c r="BT9" s="2877"/>
    </row>
    <row r="10" s="3907" customFormat="1" ht="13" spans="1:72">
      <c r="A10" s="4254"/>
      <c r="B10" s="4254"/>
      <c r="C10" s="4254"/>
      <c r="D10" s="4254"/>
      <c r="E10" s="4254"/>
      <c r="F10" s="4254"/>
      <c r="G10" s="2815"/>
      <c r="H10" s="4265"/>
      <c r="I10" s="4262" t="s">
        <v>617</v>
      </c>
      <c r="J10" s="796"/>
      <c r="K10" s="4269" t="s">
        <v>617</v>
      </c>
      <c r="L10" s="796"/>
      <c r="M10" s="4269"/>
      <c r="N10" s="796"/>
      <c r="O10" s="4269"/>
      <c r="P10" s="796"/>
      <c r="Q10" s="4269"/>
      <c r="R10" s="796"/>
      <c r="S10" s="4269"/>
      <c r="T10" s="796"/>
      <c r="U10" s="4269"/>
      <c r="V10" s="796"/>
      <c r="W10" s="4269"/>
      <c r="X10" s="796"/>
      <c r="Y10" s="4269"/>
      <c r="Z10" s="796"/>
      <c r="AA10" s="4269"/>
      <c r="AB10" s="796"/>
      <c r="AC10" s="2815"/>
      <c r="AD10" s="739" t="s">
        <v>618</v>
      </c>
      <c r="AE10" s="4270"/>
      <c r="AF10" s="739" t="s">
        <v>618</v>
      </c>
      <c r="AG10" s="4270"/>
      <c r="AH10" s="739" t="s">
        <v>619</v>
      </c>
      <c r="AI10" s="4270"/>
      <c r="AJ10" s="739" t="s">
        <v>619</v>
      </c>
      <c r="AK10" s="4270"/>
      <c r="AL10" s="739" t="s">
        <v>620</v>
      </c>
      <c r="AM10" s="2830"/>
      <c r="AN10" s="739" t="s">
        <v>620</v>
      </c>
      <c r="AO10" s="2830"/>
      <c r="AP10" s="739" t="s">
        <v>621</v>
      </c>
      <c r="AQ10" s="2830"/>
      <c r="AR10" s="739" t="s">
        <v>621</v>
      </c>
      <c r="AS10" s="2830"/>
      <c r="AT10" s="4254"/>
      <c r="AU10" s="4254"/>
      <c r="AV10" s="2815"/>
      <c r="AW10" s="3509"/>
      <c r="AX10" s="2815"/>
      <c r="AY10" s="4265"/>
      <c r="AZ10" s="4265"/>
      <c r="BA10" s="4271" t="s">
        <v>609</v>
      </c>
      <c r="BB10" s="4272" t="str">
        <f>I9</f>
        <v>地上</v>
      </c>
      <c r="BC10" s="2888" t="str">
        <f>K9</f>
        <v>地下</v>
      </c>
      <c r="BD10" s="2888">
        <f>M9</f>
        <v>0</v>
      </c>
      <c r="BE10" s="2888">
        <f>O9</f>
        <v>0</v>
      </c>
      <c r="BF10" s="2888">
        <f>Q9</f>
        <v>0</v>
      </c>
      <c r="BG10" s="2888">
        <f>S9</f>
        <v>0</v>
      </c>
      <c r="BH10" s="2888">
        <f>U9</f>
        <v>0</v>
      </c>
      <c r="BI10" s="2888">
        <f>W9</f>
        <v>0</v>
      </c>
      <c r="BJ10" s="2888">
        <f>Y9</f>
        <v>0</v>
      </c>
      <c r="BK10" s="2888">
        <f>AA9</f>
        <v>0</v>
      </c>
      <c r="BL10" s="2883" t="s">
        <v>609</v>
      </c>
      <c r="BM10" s="2481" t="str">
        <f>AD9</f>
        <v>地上</v>
      </c>
      <c r="BN10" s="2888" t="str">
        <f>AF9</f>
        <v>地下</v>
      </c>
      <c r="BO10" s="2481" t="str">
        <f>AH9</f>
        <v>地上</v>
      </c>
      <c r="BP10" s="2888" t="str">
        <f>AJ9</f>
        <v>地下</v>
      </c>
      <c r="BQ10" s="2481" t="str">
        <f>AL9</f>
        <v>地上</v>
      </c>
      <c r="BR10" s="2888" t="str">
        <f>AN9</f>
        <v>地下</v>
      </c>
      <c r="BS10" s="2481" t="str">
        <f>AP9</f>
        <v>地上</v>
      </c>
      <c r="BT10" s="4273" t="str">
        <f>AR9</f>
        <v>地下</v>
      </c>
    </row>
    <row r="11" s="3907" customFormat="1" ht="13" spans="1:72">
      <c r="A11" s="4254"/>
      <c r="B11" s="4254"/>
      <c r="C11" s="4254"/>
      <c r="D11" s="4254"/>
      <c r="E11" s="4254"/>
      <c r="F11" s="4254"/>
      <c r="G11" s="2815"/>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815"/>
      <c r="AD11" s="4276" t="s">
        <v>622</v>
      </c>
      <c r="AE11" s="2483"/>
      <c r="AF11" s="4276" t="s">
        <v>622</v>
      </c>
      <c r="AG11" s="2483"/>
      <c r="AH11" s="4276" t="s">
        <v>623</v>
      </c>
      <c r="AI11" s="4277"/>
      <c r="AJ11" s="4276" t="s">
        <v>623</v>
      </c>
      <c r="AK11" s="2483"/>
      <c r="AL11" s="2481"/>
      <c r="AM11" s="2483"/>
      <c r="AN11" s="2481"/>
      <c r="AO11" s="2483"/>
      <c r="AP11" s="2481"/>
      <c r="AQ11" s="2483"/>
      <c r="AR11" s="2481"/>
      <c r="AS11" s="2483"/>
      <c r="AT11" s="3509"/>
      <c r="AU11" s="4254"/>
      <c r="AV11" s="2815"/>
      <c r="AW11" s="3509"/>
      <c r="AX11" s="2815"/>
      <c r="AY11" s="4265"/>
      <c r="AZ11" s="4265"/>
      <c r="BA11" s="4265"/>
      <c r="BB11" s="4259" t="str">
        <f>I10</f>
        <v>仓储</v>
      </c>
      <c r="BC11" s="4259" t="str">
        <f>K10</f>
        <v>仓储</v>
      </c>
      <c r="BD11" s="4259">
        <f>M10</f>
        <v>0</v>
      </c>
      <c r="BE11" s="4259">
        <f>O10</f>
        <v>0</v>
      </c>
      <c r="BF11" s="4259">
        <f>Q10</f>
        <v>0</v>
      </c>
      <c r="BG11" s="4259">
        <f>S10</f>
        <v>0</v>
      </c>
      <c r="BH11" s="4259">
        <f>U10</f>
        <v>0</v>
      </c>
      <c r="BI11" s="4259">
        <f>W10</f>
        <v>0</v>
      </c>
      <c r="BJ11" s="4259">
        <f>Y10</f>
        <v>0</v>
      </c>
      <c r="BK11" s="4259">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78" t="str">
        <f>AR10</f>
        <v>未注明</v>
      </c>
    </row>
    <row r="12" s="4217" customFormat="1" ht="13" spans="1:72">
      <c r="A12" s="4279"/>
      <c r="B12" s="4279"/>
      <c r="C12" s="4279"/>
      <c r="D12" s="4279"/>
      <c r="E12" s="4279"/>
      <c r="F12" s="4279"/>
      <c r="G12" s="953"/>
      <c r="H12" s="4280"/>
      <c r="I12" s="3408" t="s">
        <v>624</v>
      </c>
      <c r="J12" s="2484" t="s">
        <v>625</v>
      </c>
      <c r="K12" s="2484" t="s">
        <v>624</v>
      </c>
      <c r="L12" s="2484" t="s">
        <v>625</v>
      </c>
      <c r="M12" s="2484" t="s">
        <v>624</v>
      </c>
      <c r="N12" s="2484" t="s">
        <v>625</v>
      </c>
      <c r="O12" s="2484" t="s">
        <v>624</v>
      </c>
      <c r="P12" s="2484" t="s">
        <v>625</v>
      </c>
      <c r="Q12" s="2484" t="s">
        <v>624</v>
      </c>
      <c r="R12" s="2484" t="s">
        <v>625</v>
      </c>
      <c r="S12" s="2484" t="s">
        <v>624</v>
      </c>
      <c r="T12" s="2484" t="s">
        <v>625</v>
      </c>
      <c r="U12" s="2484" t="s">
        <v>624</v>
      </c>
      <c r="V12" s="3406" t="s">
        <v>625</v>
      </c>
      <c r="W12" s="2484" t="s">
        <v>624</v>
      </c>
      <c r="X12" s="2484" t="s">
        <v>625</v>
      </c>
      <c r="Y12" s="2484" t="s">
        <v>624</v>
      </c>
      <c r="Z12" s="2484" t="s">
        <v>625</v>
      </c>
      <c r="AA12" s="2484" t="s">
        <v>624</v>
      </c>
      <c r="AB12" s="2484" t="s">
        <v>625</v>
      </c>
      <c r="AC12" s="4281"/>
      <c r="AD12" s="3408" t="s">
        <v>624</v>
      </c>
      <c r="AE12" s="2484" t="s">
        <v>625</v>
      </c>
      <c r="AF12" s="2484" t="s">
        <v>624</v>
      </c>
      <c r="AG12" s="2484" t="s">
        <v>625</v>
      </c>
      <c r="AH12" s="2484" t="s">
        <v>624</v>
      </c>
      <c r="AI12" s="2484" t="s">
        <v>625</v>
      </c>
      <c r="AJ12" s="2484" t="s">
        <v>624</v>
      </c>
      <c r="AK12" s="2484" t="s">
        <v>625</v>
      </c>
      <c r="AL12" s="2484" t="s">
        <v>624</v>
      </c>
      <c r="AM12" s="2484" t="s">
        <v>625</v>
      </c>
      <c r="AN12" s="2484" t="s">
        <v>624</v>
      </c>
      <c r="AO12" s="2484" t="s">
        <v>625</v>
      </c>
      <c r="AP12" s="2484" t="s">
        <v>624</v>
      </c>
      <c r="AQ12" s="2484" t="s">
        <v>625</v>
      </c>
      <c r="AR12" s="953" t="s">
        <v>624</v>
      </c>
      <c r="AS12" s="4279" t="s">
        <v>625</v>
      </c>
      <c r="AT12" s="4282"/>
      <c r="AU12" s="4279"/>
      <c r="AV12" s="4283"/>
      <c r="AW12" s="3600"/>
      <c r="AX12" s="4283"/>
      <c r="AY12" s="4284"/>
      <c r="AZ12" s="4265"/>
      <c r="BA12" s="4271"/>
      <c r="BB12" s="1303">
        <f>I11</f>
        <v>0</v>
      </c>
      <c r="BC12" s="4285">
        <f>K11</f>
        <v>0</v>
      </c>
      <c r="BD12" s="4285">
        <f>M11</f>
        <v>0</v>
      </c>
      <c r="BE12" s="4259">
        <f>O11</f>
        <v>0</v>
      </c>
      <c r="BF12" s="4259">
        <f>Q11</f>
        <v>0</v>
      </c>
      <c r="BG12" s="4259">
        <f>S11</f>
        <v>0</v>
      </c>
      <c r="BH12" s="4259">
        <f>U11</f>
        <v>0</v>
      </c>
      <c r="BI12" s="4259">
        <f>W11</f>
        <v>0</v>
      </c>
      <c r="BJ12" s="4259">
        <f>Y11</f>
        <v>0</v>
      </c>
      <c r="BK12" s="4259">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78">
        <f>AR11</f>
        <v>0</v>
      </c>
    </row>
    <row r="13" s="4217" customFormat="1" ht="13" spans="1:72">
      <c r="A13" s="4233"/>
      <c r="B13" s="4233"/>
      <c r="C13" s="4233"/>
      <c r="D13" s="4286" t="s">
        <v>626</v>
      </c>
      <c r="E13" s="4238">
        <f>IF($C$3="是",ROUND($A$3*G13/$B$3,2),ROUND($A$3*(G13-AT13)/$B$3,2))</f>
        <v>9999.1</v>
      </c>
      <c r="F13" s="4287"/>
      <c r="G13" s="4288">
        <f>H13+AC13+AT13</f>
        <v>16724.51</v>
      </c>
      <c r="H13" s="4244">
        <f>SUMIF(I$12:AB$12,"总值",I13:AB13)</f>
        <v>16724.51</v>
      </c>
      <c r="I13" s="4289">
        <v>16162.07</v>
      </c>
      <c r="J13" s="4289"/>
      <c r="K13" s="4289">
        <v>562.44</v>
      </c>
      <c r="L13" s="4289"/>
      <c r="M13" s="4289"/>
      <c r="N13" s="4289"/>
      <c r="O13" s="4289"/>
      <c r="P13" s="4289"/>
      <c r="Q13" s="4289"/>
      <c r="R13" s="4289"/>
      <c r="S13" s="4289"/>
      <c r="T13" s="4289"/>
      <c r="U13" s="4289"/>
      <c r="V13" s="4289"/>
      <c r="W13" s="4289"/>
      <c r="X13" s="4289"/>
      <c r="Y13" s="4289"/>
      <c r="Z13" s="4289"/>
      <c r="AA13" s="4289"/>
      <c r="AB13" s="4289"/>
      <c r="AC13" s="4238">
        <f>SUMIF(AD$12:AS$12,"总值",AD13:AS13)</f>
        <v>0</v>
      </c>
      <c r="AD13" s="4229"/>
      <c r="AE13" s="4229"/>
      <c r="AF13" s="4229"/>
      <c r="AG13" s="4229"/>
      <c r="AH13" s="4229"/>
      <c r="AI13" s="4229"/>
      <c r="AJ13" s="4229"/>
      <c r="AK13" s="4229"/>
      <c r="AL13" s="4229"/>
      <c r="AM13" s="4229"/>
      <c r="AN13" s="4229"/>
      <c r="AO13" s="4229"/>
      <c r="AP13" s="4229"/>
      <c r="AQ13" s="4229"/>
      <c r="AR13" s="4229"/>
      <c r="AS13" s="4229"/>
      <c r="AT13" s="4290"/>
      <c r="AU13" s="4291"/>
      <c r="AV13" s="2484">
        <f t="shared" ref="AV13:AX17" si="6">A13</f>
        <v>0</v>
      </c>
      <c r="AW13" s="2484">
        <f t="shared" si="6"/>
        <v>0</v>
      </c>
      <c r="AX13" s="2484">
        <f t="shared" si="6"/>
        <v>0</v>
      </c>
      <c r="AY13" s="3408">
        <f>ROUND($AY$6*AZ13/$AZ$5,2)</f>
        <v>9999.1</v>
      </c>
      <c r="AZ13" s="4238">
        <f>BA13+BL13</f>
        <v>16724.51</v>
      </c>
      <c r="BA13" s="4238">
        <f>SUM(BB13:BK13)</f>
        <v>16724.51</v>
      </c>
      <c r="BB13" s="4238">
        <f>IF($D13="是",I13-J13,0)</f>
        <v>16162.07</v>
      </c>
      <c r="BC13" s="4238">
        <f>IF($D13="是",K13-L13,0)</f>
        <v>562.44</v>
      </c>
      <c r="BD13" s="4238">
        <f>IF($D13="是",M13-N13,0)</f>
        <v>0</v>
      </c>
      <c r="BE13" s="4238">
        <f>IF($D13="是",O13-P13,0)</f>
        <v>0</v>
      </c>
      <c r="BF13" s="4238">
        <f>IF($D13="是",Q13-R13,0)</f>
        <v>0</v>
      </c>
      <c r="BG13" s="4238">
        <f>IF($D13="是",S13-T13,0)</f>
        <v>0</v>
      </c>
      <c r="BH13" s="4238">
        <f>IF($D13="是",U13-V13,0)</f>
        <v>0</v>
      </c>
      <c r="BI13" s="4238">
        <f>IF($D13="是",W13-X13,0)</f>
        <v>0</v>
      </c>
      <c r="BJ13" s="4238">
        <f>IF($D13="是",Y13-Z13,0)</f>
        <v>0</v>
      </c>
      <c r="BK13" s="4238">
        <f>IF($D13="是",AA13-AB13,0)</f>
        <v>0</v>
      </c>
      <c r="BL13" s="4238">
        <f>SUM(BM13:BT13)</f>
        <v>0</v>
      </c>
      <c r="BM13" s="4238">
        <f>IF($D13="是",AD13-AE13,0)</f>
        <v>0</v>
      </c>
      <c r="BN13" s="4238">
        <f>IF($D13="是",AF13-AG13,0)</f>
        <v>0</v>
      </c>
      <c r="BO13" s="4238">
        <f>IF($D13="是",AH13-AI13,0)</f>
        <v>0</v>
      </c>
      <c r="BP13" s="4238">
        <f>IF($D13="是",AJ13-AK13,0)</f>
        <v>0</v>
      </c>
      <c r="BQ13" s="4238">
        <f>IF($D13="是",AL13-AM13,0)</f>
        <v>0</v>
      </c>
      <c r="BR13" s="4238">
        <f>IF($D13="是",AN13-AO13,0)</f>
        <v>0</v>
      </c>
      <c r="BS13" s="4238">
        <f>IF($D13="是",AP13-AQ13,0)</f>
        <v>0</v>
      </c>
      <c r="BT13" s="4247">
        <f>IF($D13="是",AR13-AS13,0)</f>
        <v>0</v>
      </c>
    </row>
    <row r="14" s="4217" customFormat="1" ht="12.5" spans="1:72">
      <c r="A14" s="4233"/>
      <c r="B14" s="4233"/>
      <c r="C14" s="4292"/>
      <c r="D14" s="4286"/>
      <c r="E14" s="4238">
        <f>IF($C$3="是",ROUND($A$3*G14/$B$3,2),ROUND($A$3*(G14-AT14)/$B$3,2))</f>
        <v>0</v>
      </c>
      <c r="F14" s="4287"/>
      <c r="G14" s="4288">
        <f>H14+AC14+AT14</f>
        <v>0</v>
      </c>
      <c r="H14" s="4244">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4238">
        <f>SUMIF(AD$12:AS$12,"总值",AD14:AS14)</f>
        <v>0</v>
      </c>
      <c r="AD14" s="4229"/>
      <c r="AE14" s="4229"/>
      <c r="AF14" s="4229"/>
      <c r="AG14" s="4229"/>
      <c r="AH14" s="4229"/>
      <c r="AI14" s="4229"/>
      <c r="AJ14" s="4229"/>
      <c r="AK14" s="4229"/>
      <c r="AL14" s="4229"/>
      <c r="AM14" s="4229"/>
      <c r="AN14" s="4229"/>
      <c r="AO14" s="4229"/>
      <c r="AP14" s="4229"/>
      <c r="AQ14" s="4229"/>
      <c r="AR14" s="4229"/>
      <c r="AS14" s="4229"/>
      <c r="AT14" s="4290"/>
      <c r="AU14" s="4291"/>
      <c r="AV14" s="2484">
        <f t="shared" si="6"/>
        <v>0</v>
      </c>
      <c r="AW14" s="2484">
        <f t="shared" si="6"/>
        <v>0</v>
      </c>
      <c r="AX14" s="2484">
        <f t="shared" si="6"/>
        <v>0</v>
      </c>
      <c r="AY14" s="3408">
        <f>ROUND($AY$6*AZ14/$AZ$5,2)</f>
        <v>0</v>
      </c>
      <c r="AZ14" s="4238">
        <f>BA14+BL14</f>
        <v>0</v>
      </c>
      <c r="BA14" s="4238">
        <f>SUM(BB14:BK14)</f>
        <v>0</v>
      </c>
      <c r="BB14" s="4238">
        <f>IF($D14="是",I14-J14,0)</f>
        <v>0</v>
      </c>
      <c r="BC14" s="4238">
        <f>IF($D14="是",K14-L14,0)</f>
        <v>0</v>
      </c>
      <c r="BD14" s="4238">
        <f>IF($D14="是",M14-N14,0)</f>
        <v>0</v>
      </c>
      <c r="BE14" s="4238">
        <f>IF($D14="是",O14-P14,0)</f>
        <v>0</v>
      </c>
      <c r="BF14" s="4238">
        <f>IF($D14="是",Q14-R14,0)</f>
        <v>0</v>
      </c>
      <c r="BG14" s="4238">
        <f>IF($D14="是",S14-T14,0)</f>
        <v>0</v>
      </c>
      <c r="BH14" s="4238">
        <f>IF($D14="是",U14-V14,0)</f>
        <v>0</v>
      </c>
      <c r="BI14" s="4238">
        <f>IF($D14="是",W14-X14,0)</f>
        <v>0</v>
      </c>
      <c r="BJ14" s="4238">
        <f>IF($D14="是",Y14-Z14,0)</f>
        <v>0</v>
      </c>
      <c r="BK14" s="4238">
        <f>IF($D14="是",AA14-AB14,0)</f>
        <v>0</v>
      </c>
      <c r="BL14" s="4238">
        <f>SUM(BM14:BT14)</f>
        <v>0</v>
      </c>
      <c r="BM14" s="4238">
        <f>IF($D14="是",AD14-AE14,0)</f>
        <v>0</v>
      </c>
      <c r="BN14" s="4238">
        <f>IF($D14="是",AF14-AG14,0)</f>
        <v>0</v>
      </c>
      <c r="BO14" s="4238">
        <f>IF($D14="是",AH14-AI14,0)</f>
        <v>0</v>
      </c>
      <c r="BP14" s="4238">
        <f>IF($D14="是",AJ14-AK14,0)</f>
        <v>0</v>
      </c>
      <c r="BQ14" s="4238">
        <f>IF($D14="是",AL14-AM14,0)</f>
        <v>0</v>
      </c>
      <c r="BR14" s="4238">
        <f>IF($D14="是",AN14-AO14,0)</f>
        <v>0</v>
      </c>
      <c r="BS14" s="4238">
        <f>IF($D14="是",AP14-AQ14,0)</f>
        <v>0</v>
      </c>
      <c r="BT14" s="4247">
        <f>IF($D14="是",AR14-AS14,0)</f>
        <v>0</v>
      </c>
    </row>
    <row r="15" s="4217" customFormat="1" ht="12.5" spans="1:72">
      <c r="A15" s="4233"/>
      <c r="B15" s="4233"/>
      <c r="C15" s="4292"/>
      <c r="D15" s="4286"/>
      <c r="E15" s="4238">
        <f>IF($C$3="是",ROUND($A$3*G15/$B$3,2),ROUND($A$3*(G15-AT15)/$B$3,2))</f>
        <v>0</v>
      </c>
      <c r="F15" s="4287"/>
      <c r="G15" s="4288">
        <f>H15+AC15+AT15</f>
        <v>0</v>
      </c>
      <c r="H15" s="4244">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4238">
        <f>SUMIF(AD$12:AS$12,"总值",AD15:AS15)</f>
        <v>0</v>
      </c>
      <c r="AD15" s="4229"/>
      <c r="AE15" s="4229"/>
      <c r="AF15" s="4229"/>
      <c r="AG15" s="4229"/>
      <c r="AH15" s="4229"/>
      <c r="AI15" s="4229"/>
      <c r="AJ15" s="4229"/>
      <c r="AK15" s="4229"/>
      <c r="AL15" s="4229"/>
      <c r="AM15" s="4229"/>
      <c r="AN15" s="4229"/>
      <c r="AO15" s="4229"/>
      <c r="AP15" s="4229"/>
      <c r="AQ15" s="4229"/>
      <c r="AR15" s="4229"/>
      <c r="AS15" s="4229"/>
      <c r="AT15" s="4290"/>
      <c r="AU15" s="4291"/>
      <c r="AV15" s="2484">
        <f t="shared" si="6"/>
        <v>0</v>
      </c>
      <c r="AW15" s="2484">
        <f t="shared" si="6"/>
        <v>0</v>
      </c>
      <c r="AX15" s="2484">
        <f t="shared" si="6"/>
        <v>0</v>
      </c>
      <c r="AY15" s="3408">
        <f>ROUND($AY$6*AZ15/$AZ$5,2)</f>
        <v>0</v>
      </c>
      <c r="AZ15" s="4238">
        <f>BA15+BL15</f>
        <v>0</v>
      </c>
      <c r="BA15" s="4238">
        <f>SUM(BB15:BK15)</f>
        <v>0</v>
      </c>
      <c r="BB15" s="4238">
        <f>IF($D15="是",I15-J15,0)</f>
        <v>0</v>
      </c>
      <c r="BC15" s="4238">
        <f>IF($D15="是",K15-L15,0)</f>
        <v>0</v>
      </c>
      <c r="BD15" s="4238">
        <f>IF($D15="是",M15-N15,0)</f>
        <v>0</v>
      </c>
      <c r="BE15" s="4238">
        <f>IF($D15="是",O15-P15,0)</f>
        <v>0</v>
      </c>
      <c r="BF15" s="4238">
        <f>IF($D15="是",Q15-R15,0)</f>
        <v>0</v>
      </c>
      <c r="BG15" s="4238">
        <f>IF($D15="是",S15-T15,0)</f>
        <v>0</v>
      </c>
      <c r="BH15" s="4238">
        <f>IF($D15="是",U15-V15,0)</f>
        <v>0</v>
      </c>
      <c r="BI15" s="4238">
        <f>IF($D15="是",W15-X15,0)</f>
        <v>0</v>
      </c>
      <c r="BJ15" s="4238">
        <f>IF($D15="是",Y15-Z15,0)</f>
        <v>0</v>
      </c>
      <c r="BK15" s="4238">
        <f>IF($D15="是",AA15-AB15,0)</f>
        <v>0</v>
      </c>
      <c r="BL15" s="4238">
        <f>SUM(BM15:BT15)</f>
        <v>0</v>
      </c>
      <c r="BM15" s="4238">
        <f>IF($D15="是",AD15-AE15,0)</f>
        <v>0</v>
      </c>
      <c r="BN15" s="4238">
        <f>IF($D15="是",AF15-AG15,0)</f>
        <v>0</v>
      </c>
      <c r="BO15" s="4238">
        <f>IF($D15="是",AH15-AI15,0)</f>
        <v>0</v>
      </c>
      <c r="BP15" s="4238">
        <f>IF($D15="是",AJ15-AK15,0)</f>
        <v>0</v>
      </c>
      <c r="BQ15" s="4238">
        <f>IF($D15="是",AL15-AM15,0)</f>
        <v>0</v>
      </c>
      <c r="BR15" s="4238">
        <f>IF($D15="是",AN15-AO15,0)</f>
        <v>0</v>
      </c>
      <c r="BS15" s="4238">
        <f>IF($D15="是",AP15-AQ15,0)</f>
        <v>0</v>
      </c>
      <c r="BT15" s="4247">
        <f>IF($D15="是",AR15-AS15,0)</f>
        <v>0</v>
      </c>
    </row>
    <row r="16" s="4217" customFormat="1" ht="12.5" spans="1:72">
      <c r="A16" s="4233"/>
      <c r="B16" s="4233"/>
      <c r="C16" s="4292"/>
      <c r="D16" s="4286"/>
      <c r="E16" s="4238">
        <f>IF($C$3="是",ROUND($A$3*G16/$B$3,2),ROUND($A$3*(G16-AT16)/$B$3,2))</f>
        <v>0</v>
      </c>
      <c r="F16" s="4287"/>
      <c r="G16" s="4288">
        <f>H16+AC16+AT16</f>
        <v>0</v>
      </c>
      <c r="H16" s="4244">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4238">
        <f>SUMIF(AD$12:AS$12,"总值",AD16:AS16)</f>
        <v>0</v>
      </c>
      <c r="AD16" s="4229"/>
      <c r="AE16" s="4229"/>
      <c r="AF16" s="4229"/>
      <c r="AG16" s="4229"/>
      <c r="AH16" s="4229"/>
      <c r="AI16" s="4229"/>
      <c r="AJ16" s="4229"/>
      <c r="AK16" s="4229"/>
      <c r="AL16" s="4229"/>
      <c r="AM16" s="4229"/>
      <c r="AN16" s="4229"/>
      <c r="AO16" s="4229"/>
      <c r="AP16" s="4229"/>
      <c r="AQ16" s="4229"/>
      <c r="AR16" s="4229"/>
      <c r="AS16" s="4229"/>
      <c r="AT16" s="4290"/>
      <c r="AU16" s="4291"/>
      <c r="AV16" s="2484">
        <f t="shared" si="6"/>
        <v>0</v>
      </c>
      <c r="AW16" s="2484">
        <f t="shared" si="6"/>
        <v>0</v>
      </c>
      <c r="AX16" s="2484">
        <f t="shared" si="6"/>
        <v>0</v>
      </c>
      <c r="AY16" s="3408">
        <f>ROUND($AY$6*AZ16/$AZ$5,2)</f>
        <v>0</v>
      </c>
      <c r="AZ16" s="4238">
        <f>BA16+BL16</f>
        <v>0</v>
      </c>
      <c r="BA16" s="4238">
        <f>SUM(BB16:BK16)</f>
        <v>0</v>
      </c>
      <c r="BB16" s="4238">
        <f>IF($D16="是",I16-J16,0)</f>
        <v>0</v>
      </c>
      <c r="BC16" s="4238">
        <f>IF($D16="是",K16-L16,0)</f>
        <v>0</v>
      </c>
      <c r="BD16" s="4238">
        <f>IF($D16="是",M16-N16,0)</f>
        <v>0</v>
      </c>
      <c r="BE16" s="4238">
        <f>IF($D16="是",O16-P16,0)</f>
        <v>0</v>
      </c>
      <c r="BF16" s="4238">
        <f>IF($D16="是",Q16-R16,0)</f>
        <v>0</v>
      </c>
      <c r="BG16" s="4238">
        <f>IF($D16="是",S16-T16,0)</f>
        <v>0</v>
      </c>
      <c r="BH16" s="4238">
        <f>IF($D16="是",U16-V16,0)</f>
        <v>0</v>
      </c>
      <c r="BI16" s="4238">
        <f>IF($D16="是",W16-X16,0)</f>
        <v>0</v>
      </c>
      <c r="BJ16" s="4238">
        <f>IF($D16="是",Y16-Z16,0)</f>
        <v>0</v>
      </c>
      <c r="BK16" s="4238">
        <f>IF($D16="是",AA16-AB16,0)</f>
        <v>0</v>
      </c>
      <c r="BL16" s="4238">
        <f>SUM(BM16:BT16)</f>
        <v>0</v>
      </c>
      <c r="BM16" s="4238">
        <f>IF($D16="是",AD16-AE16,0)</f>
        <v>0</v>
      </c>
      <c r="BN16" s="4238">
        <f>IF($D16="是",AF16-AG16,0)</f>
        <v>0</v>
      </c>
      <c r="BO16" s="4238">
        <f>IF($D16="是",AH16-AI16,0)</f>
        <v>0</v>
      </c>
      <c r="BP16" s="4238">
        <f>IF($D16="是",AJ16-AK16,0)</f>
        <v>0</v>
      </c>
      <c r="BQ16" s="4238">
        <f>IF($D16="是",AL16-AM16,0)</f>
        <v>0</v>
      </c>
      <c r="BR16" s="4238">
        <f>IF($D16="是",AN16-AO16,0)</f>
        <v>0</v>
      </c>
      <c r="BS16" s="4238">
        <f>IF($D16="是",AP16-AQ16,0)</f>
        <v>0</v>
      </c>
      <c r="BT16" s="4247">
        <f>IF($D16="是",AR16-AS16,0)</f>
        <v>0</v>
      </c>
    </row>
    <row r="17" s="4217" customFormat="1" ht="12.5" spans="1:72">
      <c r="A17" s="4233"/>
      <c r="B17" s="4233"/>
      <c r="C17" s="4292"/>
      <c r="D17" s="4286"/>
      <c r="E17" s="4238">
        <f>IF($C$3="是",ROUND($A$3*G17/$B$3,2),ROUND($A$3*(G17-AT17)/$B$3,2))</f>
        <v>0</v>
      </c>
      <c r="F17" s="4287"/>
      <c r="G17" s="4288">
        <f>H17+AC17+AT17</f>
        <v>0</v>
      </c>
      <c r="H17" s="4244">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4238">
        <f>SUMIF(AD$12:AS$12,"总值",AD17:AS17)</f>
        <v>0</v>
      </c>
      <c r="AD17" s="4229"/>
      <c r="AE17" s="4229"/>
      <c r="AF17" s="4229"/>
      <c r="AG17" s="4229"/>
      <c r="AH17" s="4229"/>
      <c r="AI17" s="4229"/>
      <c r="AJ17" s="4229"/>
      <c r="AK17" s="4229"/>
      <c r="AL17" s="4229"/>
      <c r="AM17" s="4229"/>
      <c r="AN17" s="4229"/>
      <c r="AO17" s="4229"/>
      <c r="AP17" s="4229"/>
      <c r="AQ17" s="4229"/>
      <c r="AR17" s="4229"/>
      <c r="AS17" s="4229"/>
      <c r="AT17" s="4290"/>
      <c r="AU17" s="4291"/>
      <c r="AV17" s="2484">
        <f t="shared" si="6"/>
        <v>0</v>
      </c>
      <c r="AW17" s="2484">
        <f t="shared" si="6"/>
        <v>0</v>
      </c>
      <c r="AX17" s="2484">
        <f t="shared" si="6"/>
        <v>0</v>
      </c>
      <c r="AY17" s="3408">
        <f>ROUND($AY$6*AZ17/$AZ$5,2)</f>
        <v>0</v>
      </c>
      <c r="AZ17" s="4238">
        <f>BA17+BL17</f>
        <v>0</v>
      </c>
      <c r="BA17" s="4238">
        <f>SUM(BB17:BK17)</f>
        <v>0</v>
      </c>
      <c r="BB17" s="4238">
        <f>IF($D17="是",I17-J17,0)</f>
        <v>0</v>
      </c>
      <c r="BC17" s="4238">
        <f>IF($D17="是",K17-L17,0)</f>
        <v>0</v>
      </c>
      <c r="BD17" s="4238">
        <f>IF($D17="是",M17-N17,0)</f>
        <v>0</v>
      </c>
      <c r="BE17" s="4238">
        <f>IF($D17="是",O17-P17,0)</f>
        <v>0</v>
      </c>
      <c r="BF17" s="4238">
        <f>IF($D17="是",Q17-R17,0)</f>
        <v>0</v>
      </c>
      <c r="BG17" s="4238">
        <f>IF($D17="是",S17-T17,0)</f>
        <v>0</v>
      </c>
      <c r="BH17" s="4238">
        <f>IF($D17="是",U17-V17,0)</f>
        <v>0</v>
      </c>
      <c r="BI17" s="4238">
        <f>IF($D17="是",W17-X17,0)</f>
        <v>0</v>
      </c>
      <c r="BJ17" s="4238">
        <f>IF($D17="是",Y17-Z17,0)</f>
        <v>0</v>
      </c>
      <c r="BK17" s="4238">
        <f>IF($D17="是",AA17-AB17,0)</f>
        <v>0</v>
      </c>
      <c r="BL17" s="4238">
        <f>SUM(BM17:BT17)</f>
        <v>0</v>
      </c>
      <c r="BM17" s="4238">
        <f>IF($D17="是",AD17-AE17,0)</f>
        <v>0</v>
      </c>
      <c r="BN17" s="4238">
        <f>IF($D17="是",AF17-AG17,0)</f>
        <v>0</v>
      </c>
      <c r="BO17" s="4238">
        <f>IF($D17="是",AH17-AI17,0)</f>
        <v>0</v>
      </c>
      <c r="BP17" s="4238">
        <f>IF($D17="是",AJ17-AK17,0)</f>
        <v>0</v>
      </c>
      <c r="BQ17" s="4238">
        <f>IF($D17="是",AL17-AM17,0)</f>
        <v>0</v>
      </c>
      <c r="BR17" s="4238">
        <f>IF($D17="是",AN17-AO17,0)</f>
        <v>0</v>
      </c>
      <c r="BS17" s="4238">
        <f>IF($D17="是",AP17-AQ17,0)</f>
        <v>0</v>
      </c>
      <c r="BT17" s="4247">
        <f>IF($D17="是",AR17-AS17,0)</f>
        <v>0</v>
      </c>
    </row>
    <row r="18" spans="1:72">
      <c r="A18" s="4293"/>
      <c r="B18" s="4294"/>
      <c r="C18" s="4294"/>
      <c r="D18" s="4295"/>
      <c r="E18" s="4296">
        <f t="shared" ref="E18:E112" si="7">IF($C$3="是",ROUND($A$3*G18/$B$3,2),ROUND($A$3*(G18-AT18)/$B$3,2))</f>
        <v>0</v>
      </c>
      <c r="F18" s="4297"/>
      <c r="G18" s="4298">
        <f t="shared" ref="G18:G109" si="8">H18+AC18+AT18</f>
        <v>0</v>
      </c>
      <c r="H18" s="4299">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4296">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3"/>
      <c r="AV18" s="1463">
        <f t="shared" ref="AV18:AV112" si="11">A18</f>
        <v>0</v>
      </c>
      <c r="AW18" s="1463">
        <f t="shared" ref="AW18:AW112" si="12">B18</f>
        <v>0</v>
      </c>
      <c r="AX18" s="1463">
        <f t="shared" ref="AX18:AX112" si="13">C18</f>
        <v>0</v>
      </c>
      <c r="AY18" s="4304">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305">
        <f t="shared" ref="BT18:BT109" si="35">IF($D18="是",AR18-AS18,0)</f>
        <v>0</v>
      </c>
    </row>
    <row r="19" spans="1:72">
      <c r="A19" s="4293"/>
      <c r="B19" s="4294"/>
      <c r="C19" s="4294"/>
      <c r="D19" s="4295"/>
      <c r="E19" s="4296">
        <f t="shared" si="7"/>
        <v>0</v>
      </c>
      <c r="F19" s="4297"/>
      <c r="G19" s="4298">
        <f t="shared" si="8"/>
        <v>0</v>
      </c>
      <c r="H19" s="4299">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4296">
        <f t="shared" si="10"/>
        <v>0</v>
      </c>
      <c r="AD19" s="4301"/>
      <c r="AE19" s="4301"/>
      <c r="AF19" s="4301"/>
      <c r="AG19" s="4301"/>
      <c r="AH19" s="4301"/>
      <c r="AI19" s="4301"/>
      <c r="AJ19" s="4301"/>
      <c r="AK19" s="4301"/>
      <c r="AL19" s="4301"/>
      <c r="AM19" s="4301"/>
      <c r="AN19" s="4301"/>
      <c r="AO19" s="4301"/>
      <c r="AP19" s="4301"/>
      <c r="AQ19" s="4301"/>
      <c r="AR19" s="4301"/>
      <c r="AS19" s="4301"/>
      <c r="AT19" s="4302"/>
      <c r="AU19" s="4303"/>
      <c r="AV19" s="1463">
        <f t="shared" si="11"/>
        <v>0</v>
      </c>
      <c r="AW19" s="1463">
        <f t="shared" si="12"/>
        <v>0</v>
      </c>
      <c r="AX19" s="1463">
        <f t="shared" si="13"/>
        <v>0</v>
      </c>
      <c r="AY19" s="4304">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305">
        <f t="shared" si="35"/>
        <v>0</v>
      </c>
    </row>
    <row r="20" spans="1:72">
      <c r="A20" s="4293"/>
      <c r="B20" s="4294"/>
      <c r="C20" s="4294"/>
      <c r="D20" s="4295"/>
      <c r="E20" s="4296">
        <f t="shared" si="7"/>
        <v>0</v>
      </c>
      <c r="F20" s="4297"/>
      <c r="G20" s="4298">
        <f t="shared" si="8"/>
        <v>0</v>
      </c>
      <c r="H20" s="4299">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4296">
        <f t="shared" si="10"/>
        <v>0</v>
      </c>
      <c r="AD20" s="4301"/>
      <c r="AE20" s="4301"/>
      <c r="AF20" s="4301"/>
      <c r="AG20" s="4301"/>
      <c r="AH20" s="4301"/>
      <c r="AI20" s="4301"/>
      <c r="AJ20" s="4301"/>
      <c r="AK20" s="4301"/>
      <c r="AL20" s="4301"/>
      <c r="AM20" s="4301"/>
      <c r="AN20" s="4301"/>
      <c r="AO20" s="4301"/>
      <c r="AP20" s="4301"/>
      <c r="AQ20" s="4301"/>
      <c r="AR20" s="4301"/>
      <c r="AS20" s="4301"/>
      <c r="AT20" s="4302"/>
      <c r="AU20" s="4303"/>
      <c r="AV20" s="1463">
        <f t="shared" si="11"/>
        <v>0</v>
      </c>
      <c r="AW20" s="1463">
        <f t="shared" si="12"/>
        <v>0</v>
      </c>
      <c r="AX20" s="1463">
        <f t="shared" si="13"/>
        <v>0</v>
      </c>
      <c r="AY20" s="4304">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305">
        <f t="shared" si="35"/>
        <v>0</v>
      </c>
    </row>
    <row r="21" spans="1:72">
      <c r="A21" s="4293"/>
      <c r="B21" s="4294"/>
      <c r="C21" s="4294"/>
      <c r="D21" s="4295"/>
      <c r="E21" s="4296">
        <f t="shared" si="7"/>
        <v>0</v>
      </c>
      <c r="F21" s="4297"/>
      <c r="G21" s="4298">
        <f t="shared" si="8"/>
        <v>0</v>
      </c>
      <c r="H21" s="4299">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4296">
        <f t="shared" si="10"/>
        <v>0</v>
      </c>
      <c r="AD21" s="4301"/>
      <c r="AE21" s="4301"/>
      <c r="AF21" s="4301"/>
      <c r="AG21" s="4301"/>
      <c r="AH21" s="4301"/>
      <c r="AI21" s="4301"/>
      <c r="AJ21" s="4301"/>
      <c r="AK21" s="4301"/>
      <c r="AL21" s="4301"/>
      <c r="AM21" s="4301"/>
      <c r="AN21" s="4301"/>
      <c r="AO21" s="4301"/>
      <c r="AP21" s="4301"/>
      <c r="AQ21" s="4301"/>
      <c r="AR21" s="4301"/>
      <c r="AS21" s="4301"/>
      <c r="AT21" s="4302"/>
      <c r="AU21" s="4303"/>
      <c r="AV21" s="1463">
        <f t="shared" si="11"/>
        <v>0</v>
      </c>
      <c r="AW21" s="1463">
        <f t="shared" si="12"/>
        <v>0</v>
      </c>
      <c r="AX21" s="1463">
        <f t="shared" si="13"/>
        <v>0</v>
      </c>
      <c r="AY21" s="4304">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305">
        <f t="shared" si="35"/>
        <v>0</v>
      </c>
    </row>
    <row r="22" spans="1:72">
      <c r="A22" s="4293"/>
      <c r="B22" s="4294"/>
      <c r="C22" s="4294"/>
      <c r="D22" s="4295"/>
      <c r="E22" s="4296">
        <f t="shared" si="7"/>
        <v>0</v>
      </c>
      <c r="F22" s="4297"/>
      <c r="G22" s="4298">
        <f t="shared" si="8"/>
        <v>0</v>
      </c>
      <c r="H22" s="4299">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4296">
        <f t="shared" si="10"/>
        <v>0</v>
      </c>
      <c r="AD22" s="4301"/>
      <c r="AE22" s="4301"/>
      <c r="AF22" s="4301"/>
      <c r="AG22" s="4301"/>
      <c r="AH22" s="4301"/>
      <c r="AI22" s="4301"/>
      <c r="AJ22" s="4301"/>
      <c r="AK22" s="4301"/>
      <c r="AL22" s="4301"/>
      <c r="AM22" s="4301"/>
      <c r="AN22" s="4301"/>
      <c r="AO22" s="4301"/>
      <c r="AP22" s="4301"/>
      <c r="AQ22" s="4301"/>
      <c r="AR22" s="4301"/>
      <c r="AS22" s="4301"/>
      <c r="AT22" s="4302"/>
      <c r="AU22" s="4303"/>
      <c r="AV22" s="1463">
        <f t="shared" si="11"/>
        <v>0</v>
      </c>
      <c r="AW22" s="1463">
        <f t="shared" si="12"/>
        <v>0</v>
      </c>
      <c r="AX22" s="1463">
        <f t="shared" si="13"/>
        <v>0</v>
      </c>
      <c r="AY22" s="4304">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305">
        <f t="shared" si="35"/>
        <v>0</v>
      </c>
    </row>
    <row r="23" spans="1:72">
      <c r="A23" s="4293"/>
      <c r="B23" s="4294"/>
      <c r="C23" s="4294"/>
      <c r="D23" s="4295"/>
      <c r="E23" s="4296">
        <f t="shared" si="7"/>
        <v>0</v>
      </c>
      <c r="F23" s="4297"/>
      <c r="G23" s="4298">
        <f t="shared" si="8"/>
        <v>0</v>
      </c>
      <c r="H23" s="4299">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4296">
        <f t="shared" si="10"/>
        <v>0</v>
      </c>
      <c r="AD23" s="4301"/>
      <c r="AE23" s="4301"/>
      <c r="AF23" s="4301"/>
      <c r="AG23" s="4301"/>
      <c r="AH23" s="4301"/>
      <c r="AI23" s="4301"/>
      <c r="AJ23" s="4301"/>
      <c r="AK23" s="4301"/>
      <c r="AL23" s="4301"/>
      <c r="AM23" s="4301"/>
      <c r="AN23" s="4301"/>
      <c r="AO23" s="4301"/>
      <c r="AP23" s="4301"/>
      <c r="AQ23" s="4301"/>
      <c r="AR23" s="4301"/>
      <c r="AS23" s="4301"/>
      <c r="AT23" s="4302"/>
      <c r="AU23" s="4303"/>
      <c r="AV23" s="1463">
        <f t="shared" si="11"/>
        <v>0</v>
      </c>
      <c r="AW23" s="1463">
        <f t="shared" si="12"/>
        <v>0</v>
      </c>
      <c r="AX23" s="1463">
        <f t="shared" si="13"/>
        <v>0</v>
      </c>
      <c r="AY23" s="4304">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305">
        <f t="shared" si="35"/>
        <v>0</v>
      </c>
    </row>
    <row r="24" spans="1:72">
      <c r="A24" s="4293"/>
      <c r="B24" s="4294"/>
      <c r="C24" s="4294"/>
      <c r="D24" s="4295"/>
      <c r="E24" s="4296">
        <f t="shared" si="7"/>
        <v>0</v>
      </c>
      <c r="F24" s="4297"/>
      <c r="G24" s="4298">
        <f t="shared" si="8"/>
        <v>0</v>
      </c>
      <c r="H24" s="4299">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4296">
        <f t="shared" si="10"/>
        <v>0</v>
      </c>
      <c r="AD24" s="4301"/>
      <c r="AE24" s="4301"/>
      <c r="AF24" s="4301"/>
      <c r="AG24" s="4301"/>
      <c r="AH24" s="4301"/>
      <c r="AI24" s="4301"/>
      <c r="AJ24" s="4301"/>
      <c r="AK24" s="4301"/>
      <c r="AL24" s="4301"/>
      <c r="AM24" s="4301"/>
      <c r="AN24" s="4301"/>
      <c r="AO24" s="4301"/>
      <c r="AP24" s="4301"/>
      <c r="AQ24" s="4301"/>
      <c r="AR24" s="4301"/>
      <c r="AS24" s="4301"/>
      <c r="AT24" s="4302"/>
      <c r="AU24" s="4303"/>
      <c r="AV24" s="1463">
        <f t="shared" si="11"/>
        <v>0</v>
      </c>
      <c r="AW24" s="1463">
        <f t="shared" si="12"/>
        <v>0</v>
      </c>
      <c r="AX24" s="1463">
        <f t="shared" si="13"/>
        <v>0</v>
      </c>
      <c r="AY24" s="4304">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305">
        <f t="shared" si="35"/>
        <v>0</v>
      </c>
    </row>
    <row r="25" spans="1:72">
      <c r="A25" s="4293"/>
      <c r="B25" s="4294"/>
      <c r="C25" s="4294"/>
      <c r="D25" s="4295"/>
      <c r="E25" s="4296">
        <f t="shared" si="7"/>
        <v>0</v>
      </c>
      <c r="F25" s="4297"/>
      <c r="G25" s="4298">
        <f t="shared" si="8"/>
        <v>0</v>
      </c>
      <c r="H25" s="4299">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4296">
        <f t="shared" si="10"/>
        <v>0</v>
      </c>
      <c r="AD25" s="4301"/>
      <c r="AE25" s="4301"/>
      <c r="AF25" s="4301"/>
      <c r="AG25" s="4301"/>
      <c r="AH25" s="4301"/>
      <c r="AI25" s="4301"/>
      <c r="AJ25" s="4301"/>
      <c r="AK25" s="4301"/>
      <c r="AL25" s="4301"/>
      <c r="AM25" s="4301"/>
      <c r="AN25" s="4301"/>
      <c r="AO25" s="4301"/>
      <c r="AP25" s="4301"/>
      <c r="AQ25" s="4301"/>
      <c r="AR25" s="4301"/>
      <c r="AS25" s="4301"/>
      <c r="AT25" s="4302"/>
      <c r="AU25" s="4303"/>
      <c r="AV25" s="1463">
        <f t="shared" si="11"/>
        <v>0</v>
      </c>
      <c r="AW25" s="1463">
        <f t="shared" si="12"/>
        <v>0</v>
      </c>
      <c r="AX25" s="1463">
        <f t="shared" si="13"/>
        <v>0</v>
      </c>
      <c r="AY25" s="4304">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305">
        <f t="shared" si="35"/>
        <v>0</v>
      </c>
    </row>
    <row r="26" spans="1:72">
      <c r="A26" s="4293"/>
      <c r="B26" s="4294"/>
      <c r="C26" s="4294"/>
      <c r="D26" s="4295"/>
      <c r="E26" s="4296">
        <f t="shared" si="7"/>
        <v>0</v>
      </c>
      <c r="F26" s="4297"/>
      <c r="G26" s="4298">
        <f t="shared" si="8"/>
        <v>0</v>
      </c>
      <c r="H26" s="4299">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4296">
        <f t="shared" si="10"/>
        <v>0</v>
      </c>
      <c r="AD26" s="4301"/>
      <c r="AE26" s="4301"/>
      <c r="AF26" s="4301"/>
      <c r="AG26" s="4301"/>
      <c r="AH26" s="4301"/>
      <c r="AI26" s="4301"/>
      <c r="AJ26" s="4301"/>
      <c r="AK26" s="4301"/>
      <c r="AL26" s="4301"/>
      <c r="AM26" s="4301"/>
      <c r="AN26" s="4301"/>
      <c r="AO26" s="4301"/>
      <c r="AP26" s="4301"/>
      <c r="AQ26" s="4301"/>
      <c r="AR26" s="4301"/>
      <c r="AS26" s="4301"/>
      <c r="AT26" s="4302"/>
      <c r="AU26" s="4303"/>
      <c r="AV26" s="1463">
        <f t="shared" si="11"/>
        <v>0</v>
      </c>
      <c r="AW26" s="1463">
        <f t="shared" si="12"/>
        <v>0</v>
      </c>
      <c r="AX26" s="1463">
        <f t="shared" si="13"/>
        <v>0</v>
      </c>
      <c r="AY26" s="4304">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305">
        <f t="shared" si="35"/>
        <v>0</v>
      </c>
    </row>
    <row r="27" spans="1:72">
      <c r="A27" s="4293"/>
      <c r="B27" s="4294"/>
      <c r="C27" s="4294"/>
      <c r="D27" s="4295"/>
      <c r="E27" s="4296">
        <f t="shared" si="7"/>
        <v>0</v>
      </c>
      <c r="F27" s="4297"/>
      <c r="G27" s="4298">
        <f t="shared" si="8"/>
        <v>0</v>
      </c>
      <c r="H27" s="4299">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4296">
        <f t="shared" si="10"/>
        <v>0</v>
      </c>
      <c r="AD27" s="4301"/>
      <c r="AE27" s="4301"/>
      <c r="AF27" s="4301"/>
      <c r="AG27" s="4301"/>
      <c r="AH27" s="4301"/>
      <c r="AI27" s="4301"/>
      <c r="AJ27" s="4301"/>
      <c r="AK27" s="4301"/>
      <c r="AL27" s="4301"/>
      <c r="AM27" s="4301"/>
      <c r="AN27" s="4301"/>
      <c r="AO27" s="4301"/>
      <c r="AP27" s="4301"/>
      <c r="AQ27" s="4301"/>
      <c r="AR27" s="4301"/>
      <c r="AS27" s="4301"/>
      <c r="AT27" s="4302"/>
      <c r="AU27" s="4303"/>
      <c r="AV27" s="1463">
        <f t="shared" si="11"/>
        <v>0</v>
      </c>
      <c r="AW27" s="1463">
        <f t="shared" si="12"/>
        <v>0</v>
      </c>
      <c r="AX27" s="1463">
        <f t="shared" si="13"/>
        <v>0</v>
      </c>
      <c r="AY27" s="4304">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305">
        <f t="shared" si="35"/>
        <v>0</v>
      </c>
    </row>
    <row r="28" spans="1:72">
      <c r="A28" s="4293"/>
      <c r="B28" s="4294"/>
      <c r="C28" s="4294"/>
      <c r="D28" s="4295"/>
      <c r="E28" s="4296">
        <f t="shared" si="7"/>
        <v>0</v>
      </c>
      <c r="F28" s="4297"/>
      <c r="G28" s="4298">
        <f t="shared" si="8"/>
        <v>0</v>
      </c>
      <c r="H28" s="4299">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4296">
        <f t="shared" si="10"/>
        <v>0</v>
      </c>
      <c r="AD28" s="4301"/>
      <c r="AE28" s="4301"/>
      <c r="AF28" s="4301"/>
      <c r="AG28" s="4301"/>
      <c r="AH28" s="4301"/>
      <c r="AI28" s="4301"/>
      <c r="AJ28" s="4301"/>
      <c r="AK28" s="4301"/>
      <c r="AL28" s="4301"/>
      <c r="AM28" s="4301"/>
      <c r="AN28" s="4301"/>
      <c r="AO28" s="4301"/>
      <c r="AP28" s="4301"/>
      <c r="AQ28" s="4301"/>
      <c r="AR28" s="4301"/>
      <c r="AS28" s="4301"/>
      <c r="AT28" s="4302"/>
      <c r="AU28" s="4303"/>
      <c r="AV28" s="1463">
        <f t="shared" si="11"/>
        <v>0</v>
      </c>
      <c r="AW28" s="1463">
        <f t="shared" si="12"/>
        <v>0</v>
      </c>
      <c r="AX28" s="1463">
        <f t="shared" si="13"/>
        <v>0</v>
      </c>
      <c r="AY28" s="4304">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305">
        <f t="shared" si="35"/>
        <v>0</v>
      </c>
    </row>
    <row r="29" spans="1:72">
      <c r="A29" s="4293"/>
      <c r="B29" s="4294"/>
      <c r="C29" s="4294"/>
      <c r="D29" s="4295"/>
      <c r="E29" s="4296">
        <f t="shared" si="7"/>
        <v>0</v>
      </c>
      <c r="F29" s="4297"/>
      <c r="G29" s="4298">
        <f t="shared" si="8"/>
        <v>0</v>
      </c>
      <c r="H29" s="4299">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4296">
        <f t="shared" si="10"/>
        <v>0</v>
      </c>
      <c r="AD29" s="4301"/>
      <c r="AE29" s="4301"/>
      <c r="AF29" s="4301"/>
      <c r="AG29" s="4301"/>
      <c r="AH29" s="4301"/>
      <c r="AI29" s="4301"/>
      <c r="AJ29" s="4301"/>
      <c r="AK29" s="4301"/>
      <c r="AL29" s="4301"/>
      <c r="AM29" s="4301"/>
      <c r="AN29" s="4301"/>
      <c r="AO29" s="4301"/>
      <c r="AP29" s="4301"/>
      <c r="AQ29" s="4301"/>
      <c r="AR29" s="4301"/>
      <c r="AS29" s="4301"/>
      <c r="AT29" s="4302"/>
      <c r="AU29" s="4303"/>
      <c r="AV29" s="1463">
        <f t="shared" si="11"/>
        <v>0</v>
      </c>
      <c r="AW29" s="1463">
        <f t="shared" si="12"/>
        <v>0</v>
      </c>
      <c r="AX29" s="1463">
        <f t="shared" si="13"/>
        <v>0</v>
      </c>
      <c r="AY29" s="4304">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305">
        <f t="shared" si="35"/>
        <v>0</v>
      </c>
    </row>
    <row r="30" spans="1:72">
      <c r="A30" s="4293"/>
      <c r="B30" s="4294"/>
      <c r="C30" s="4294"/>
      <c r="D30" s="4295"/>
      <c r="E30" s="4296">
        <f t="shared" si="7"/>
        <v>0</v>
      </c>
      <c r="F30" s="4297"/>
      <c r="G30" s="4298">
        <f t="shared" si="8"/>
        <v>0</v>
      </c>
      <c r="H30" s="4299">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4296">
        <f t="shared" si="10"/>
        <v>0</v>
      </c>
      <c r="AD30" s="4301"/>
      <c r="AE30" s="4301"/>
      <c r="AF30" s="4301"/>
      <c r="AG30" s="4301"/>
      <c r="AH30" s="4301"/>
      <c r="AI30" s="4301"/>
      <c r="AJ30" s="4301"/>
      <c r="AK30" s="4301"/>
      <c r="AL30" s="4301"/>
      <c r="AM30" s="4301"/>
      <c r="AN30" s="4301"/>
      <c r="AO30" s="4301"/>
      <c r="AP30" s="4301"/>
      <c r="AQ30" s="4301"/>
      <c r="AR30" s="4301"/>
      <c r="AS30" s="4301"/>
      <c r="AT30" s="4302"/>
      <c r="AU30" s="4303"/>
      <c r="AV30" s="1463">
        <f t="shared" si="11"/>
        <v>0</v>
      </c>
      <c r="AW30" s="1463">
        <f t="shared" si="12"/>
        <v>0</v>
      </c>
      <c r="AX30" s="1463">
        <f t="shared" si="13"/>
        <v>0</v>
      </c>
      <c r="AY30" s="4304">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305">
        <f t="shared" si="35"/>
        <v>0</v>
      </c>
    </row>
    <row r="31" spans="1:72">
      <c r="A31" s="4293"/>
      <c r="B31" s="4294"/>
      <c r="C31" s="4294"/>
      <c r="D31" s="4295"/>
      <c r="E31" s="4296">
        <f t="shared" si="7"/>
        <v>0</v>
      </c>
      <c r="F31" s="4297"/>
      <c r="G31" s="4298">
        <f t="shared" si="8"/>
        <v>0</v>
      </c>
      <c r="H31" s="4299">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4296">
        <f t="shared" si="10"/>
        <v>0</v>
      </c>
      <c r="AD31" s="4301"/>
      <c r="AE31" s="4301"/>
      <c r="AF31" s="4301"/>
      <c r="AG31" s="4301"/>
      <c r="AH31" s="4301"/>
      <c r="AI31" s="4301"/>
      <c r="AJ31" s="4301"/>
      <c r="AK31" s="4301"/>
      <c r="AL31" s="4301"/>
      <c r="AM31" s="4301"/>
      <c r="AN31" s="4301"/>
      <c r="AO31" s="4301"/>
      <c r="AP31" s="4301"/>
      <c r="AQ31" s="4301"/>
      <c r="AR31" s="4301"/>
      <c r="AS31" s="4301"/>
      <c r="AT31" s="4302"/>
      <c r="AU31" s="4303"/>
      <c r="AV31" s="1463">
        <f t="shared" si="11"/>
        <v>0</v>
      </c>
      <c r="AW31" s="1463">
        <f t="shared" si="12"/>
        <v>0</v>
      </c>
      <c r="AX31" s="1463">
        <f t="shared" si="13"/>
        <v>0</v>
      </c>
      <c r="AY31" s="4304">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305">
        <f t="shared" si="35"/>
        <v>0</v>
      </c>
    </row>
    <row r="32" spans="1:72">
      <c r="A32" s="4293"/>
      <c r="B32" s="4294"/>
      <c r="C32" s="4294"/>
      <c r="D32" s="4295"/>
      <c r="E32" s="4296">
        <f t="shared" si="7"/>
        <v>0</v>
      </c>
      <c r="F32" s="4297"/>
      <c r="G32" s="4298">
        <f t="shared" si="8"/>
        <v>0</v>
      </c>
      <c r="H32" s="4299">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4296">
        <f t="shared" si="10"/>
        <v>0</v>
      </c>
      <c r="AD32" s="4301"/>
      <c r="AE32" s="4301"/>
      <c r="AF32" s="4301"/>
      <c r="AG32" s="4301"/>
      <c r="AH32" s="4301"/>
      <c r="AI32" s="4301"/>
      <c r="AJ32" s="4301"/>
      <c r="AK32" s="4301"/>
      <c r="AL32" s="4301"/>
      <c r="AM32" s="4301"/>
      <c r="AN32" s="4301"/>
      <c r="AO32" s="4301"/>
      <c r="AP32" s="4301"/>
      <c r="AQ32" s="4301"/>
      <c r="AR32" s="4301"/>
      <c r="AS32" s="4301"/>
      <c r="AT32" s="4302"/>
      <c r="AU32" s="4303"/>
      <c r="AV32" s="1463">
        <f t="shared" si="11"/>
        <v>0</v>
      </c>
      <c r="AW32" s="1463">
        <f t="shared" si="12"/>
        <v>0</v>
      </c>
      <c r="AX32" s="1463">
        <f t="shared" si="13"/>
        <v>0</v>
      </c>
      <c r="AY32" s="4304">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305">
        <f t="shared" si="35"/>
        <v>0</v>
      </c>
    </row>
    <row r="33" spans="1:72">
      <c r="A33" s="4293"/>
      <c r="B33" s="4294"/>
      <c r="C33" s="4294"/>
      <c r="D33" s="4295"/>
      <c r="E33" s="4296">
        <f t="shared" si="7"/>
        <v>0</v>
      </c>
      <c r="F33" s="4297"/>
      <c r="G33" s="4298">
        <f t="shared" si="8"/>
        <v>0</v>
      </c>
      <c r="H33" s="4299">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4296">
        <f t="shared" si="10"/>
        <v>0</v>
      </c>
      <c r="AD33" s="4301"/>
      <c r="AE33" s="4301"/>
      <c r="AF33" s="4301"/>
      <c r="AG33" s="4301"/>
      <c r="AH33" s="4301"/>
      <c r="AI33" s="4301"/>
      <c r="AJ33" s="4301"/>
      <c r="AK33" s="4301"/>
      <c r="AL33" s="4301"/>
      <c r="AM33" s="4301"/>
      <c r="AN33" s="4301"/>
      <c r="AO33" s="4301"/>
      <c r="AP33" s="4301"/>
      <c r="AQ33" s="4301"/>
      <c r="AR33" s="4301"/>
      <c r="AS33" s="4301"/>
      <c r="AT33" s="4302"/>
      <c r="AU33" s="4303"/>
      <c r="AV33" s="1463">
        <f t="shared" si="11"/>
        <v>0</v>
      </c>
      <c r="AW33" s="1463">
        <f t="shared" si="12"/>
        <v>0</v>
      </c>
      <c r="AX33" s="1463">
        <f t="shared" si="13"/>
        <v>0</v>
      </c>
      <c r="AY33" s="4304">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305">
        <f t="shared" si="35"/>
        <v>0</v>
      </c>
    </row>
    <row r="34" spans="1:72">
      <c r="A34" s="4293"/>
      <c r="B34" s="4294"/>
      <c r="C34" s="4294"/>
      <c r="D34" s="4295"/>
      <c r="E34" s="4296">
        <f t="shared" si="7"/>
        <v>0</v>
      </c>
      <c r="F34" s="4297"/>
      <c r="G34" s="4298">
        <f t="shared" si="8"/>
        <v>0</v>
      </c>
      <c r="H34" s="4299">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4296">
        <f t="shared" si="10"/>
        <v>0</v>
      </c>
      <c r="AD34" s="4301"/>
      <c r="AE34" s="4301"/>
      <c r="AF34" s="4301"/>
      <c r="AG34" s="4301"/>
      <c r="AH34" s="4301"/>
      <c r="AI34" s="4301"/>
      <c r="AJ34" s="4301"/>
      <c r="AK34" s="4301"/>
      <c r="AL34" s="4301"/>
      <c r="AM34" s="4301"/>
      <c r="AN34" s="4301"/>
      <c r="AO34" s="4301"/>
      <c r="AP34" s="4301"/>
      <c r="AQ34" s="4301"/>
      <c r="AR34" s="4301"/>
      <c r="AS34" s="4301"/>
      <c r="AT34" s="4302"/>
      <c r="AU34" s="4303"/>
      <c r="AV34" s="1463">
        <f t="shared" si="11"/>
        <v>0</v>
      </c>
      <c r="AW34" s="1463">
        <f t="shared" si="12"/>
        <v>0</v>
      </c>
      <c r="AX34" s="1463">
        <f t="shared" si="13"/>
        <v>0</v>
      </c>
      <c r="AY34" s="4304">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305">
        <f t="shared" si="35"/>
        <v>0</v>
      </c>
    </row>
    <row r="35" spans="1:72">
      <c r="A35" s="4293"/>
      <c r="B35" s="4294"/>
      <c r="C35" s="4294"/>
      <c r="D35" s="4295"/>
      <c r="E35" s="4296">
        <f t="shared" si="7"/>
        <v>0</v>
      </c>
      <c r="F35" s="4297"/>
      <c r="G35" s="4298">
        <f t="shared" si="8"/>
        <v>0</v>
      </c>
      <c r="H35" s="4299">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4296">
        <f t="shared" si="10"/>
        <v>0</v>
      </c>
      <c r="AD35" s="4301"/>
      <c r="AE35" s="4301"/>
      <c r="AF35" s="4301"/>
      <c r="AG35" s="4301"/>
      <c r="AH35" s="4301"/>
      <c r="AI35" s="4301"/>
      <c r="AJ35" s="4301"/>
      <c r="AK35" s="4301"/>
      <c r="AL35" s="4301"/>
      <c r="AM35" s="4301"/>
      <c r="AN35" s="4301"/>
      <c r="AO35" s="4301"/>
      <c r="AP35" s="4301"/>
      <c r="AQ35" s="4301"/>
      <c r="AR35" s="4301"/>
      <c r="AS35" s="4301"/>
      <c r="AT35" s="4302"/>
      <c r="AU35" s="4303"/>
      <c r="AV35" s="1463">
        <f t="shared" si="11"/>
        <v>0</v>
      </c>
      <c r="AW35" s="1463">
        <f t="shared" si="12"/>
        <v>0</v>
      </c>
      <c r="AX35" s="1463">
        <f t="shared" si="13"/>
        <v>0</v>
      </c>
      <c r="AY35" s="4304">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305">
        <f t="shared" si="35"/>
        <v>0</v>
      </c>
    </row>
    <row r="36" spans="1:72">
      <c r="A36" s="4293"/>
      <c r="B36" s="4294"/>
      <c r="C36" s="4294"/>
      <c r="D36" s="4295"/>
      <c r="E36" s="4296">
        <f t="shared" si="7"/>
        <v>0</v>
      </c>
      <c r="F36" s="4297"/>
      <c r="G36" s="4298">
        <f t="shared" si="8"/>
        <v>0</v>
      </c>
      <c r="H36" s="4299">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4296">
        <f t="shared" si="10"/>
        <v>0</v>
      </c>
      <c r="AD36" s="4301"/>
      <c r="AE36" s="4301"/>
      <c r="AF36" s="4301"/>
      <c r="AG36" s="4301"/>
      <c r="AH36" s="4301"/>
      <c r="AI36" s="4301"/>
      <c r="AJ36" s="4301"/>
      <c r="AK36" s="4301"/>
      <c r="AL36" s="4301"/>
      <c r="AM36" s="4301"/>
      <c r="AN36" s="4301"/>
      <c r="AO36" s="4301"/>
      <c r="AP36" s="4301"/>
      <c r="AQ36" s="4301"/>
      <c r="AR36" s="4301"/>
      <c r="AS36" s="4301"/>
      <c r="AT36" s="4302"/>
      <c r="AU36" s="4303"/>
      <c r="AV36" s="1463">
        <f t="shared" si="11"/>
        <v>0</v>
      </c>
      <c r="AW36" s="1463">
        <f t="shared" si="12"/>
        <v>0</v>
      </c>
      <c r="AX36" s="1463">
        <f t="shared" si="13"/>
        <v>0</v>
      </c>
      <c r="AY36" s="4304">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305">
        <f t="shared" si="35"/>
        <v>0</v>
      </c>
    </row>
    <row r="37" spans="1:72">
      <c r="A37" s="4293"/>
      <c r="B37" s="4294"/>
      <c r="C37" s="4294"/>
      <c r="D37" s="4295"/>
      <c r="E37" s="4296">
        <f t="shared" si="7"/>
        <v>0</v>
      </c>
      <c r="F37" s="4297"/>
      <c r="G37" s="4298">
        <f t="shared" si="8"/>
        <v>0</v>
      </c>
      <c r="H37" s="4299">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4296">
        <f t="shared" si="10"/>
        <v>0</v>
      </c>
      <c r="AD37" s="4301"/>
      <c r="AE37" s="4301"/>
      <c r="AF37" s="4301"/>
      <c r="AG37" s="4301"/>
      <c r="AH37" s="4301"/>
      <c r="AI37" s="4301"/>
      <c r="AJ37" s="4301"/>
      <c r="AK37" s="4301"/>
      <c r="AL37" s="4301"/>
      <c r="AM37" s="4301"/>
      <c r="AN37" s="4301"/>
      <c r="AO37" s="4301"/>
      <c r="AP37" s="4301"/>
      <c r="AQ37" s="4301"/>
      <c r="AR37" s="4301"/>
      <c r="AS37" s="4301"/>
      <c r="AT37" s="4302"/>
      <c r="AU37" s="4303"/>
      <c r="AV37" s="1463">
        <f t="shared" si="11"/>
        <v>0</v>
      </c>
      <c r="AW37" s="1463">
        <f t="shared" si="12"/>
        <v>0</v>
      </c>
      <c r="AX37" s="1463">
        <f t="shared" si="13"/>
        <v>0</v>
      </c>
      <c r="AY37" s="4304">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305">
        <f t="shared" si="35"/>
        <v>0</v>
      </c>
    </row>
    <row r="38" spans="1:72">
      <c r="A38" s="4293"/>
      <c r="B38" s="4294"/>
      <c r="C38" s="4294"/>
      <c r="D38" s="4295"/>
      <c r="E38" s="4296">
        <f t="shared" si="7"/>
        <v>0</v>
      </c>
      <c r="F38" s="4297"/>
      <c r="G38" s="4298">
        <f t="shared" si="8"/>
        <v>0</v>
      </c>
      <c r="H38" s="4299">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4296">
        <f t="shared" si="10"/>
        <v>0</v>
      </c>
      <c r="AD38" s="4301"/>
      <c r="AE38" s="4301"/>
      <c r="AF38" s="4301"/>
      <c r="AG38" s="4301"/>
      <c r="AH38" s="4301"/>
      <c r="AI38" s="4301"/>
      <c r="AJ38" s="4301"/>
      <c r="AK38" s="4301"/>
      <c r="AL38" s="4301"/>
      <c r="AM38" s="4301"/>
      <c r="AN38" s="4301"/>
      <c r="AO38" s="4301"/>
      <c r="AP38" s="4301"/>
      <c r="AQ38" s="4301"/>
      <c r="AR38" s="4301"/>
      <c r="AS38" s="4301"/>
      <c r="AT38" s="4302"/>
      <c r="AU38" s="4303"/>
      <c r="AV38" s="1463">
        <f t="shared" si="11"/>
        <v>0</v>
      </c>
      <c r="AW38" s="1463">
        <f t="shared" si="12"/>
        <v>0</v>
      </c>
      <c r="AX38" s="1463">
        <f t="shared" si="13"/>
        <v>0</v>
      </c>
      <c r="AY38" s="4304">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305">
        <f t="shared" si="35"/>
        <v>0</v>
      </c>
    </row>
    <row r="39" spans="1:72">
      <c r="A39" s="4293"/>
      <c r="B39" s="4294"/>
      <c r="C39" s="4294"/>
      <c r="D39" s="4295"/>
      <c r="E39" s="4296">
        <f t="shared" si="7"/>
        <v>0</v>
      </c>
      <c r="F39" s="4297"/>
      <c r="G39" s="4298">
        <f t="shared" si="8"/>
        <v>0</v>
      </c>
      <c r="H39" s="4299">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4296">
        <f t="shared" si="10"/>
        <v>0</v>
      </c>
      <c r="AD39" s="4301"/>
      <c r="AE39" s="4301"/>
      <c r="AF39" s="4301"/>
      <c r="AG39" s="4301"/>
      <c r="AH39" s="4301"/>
      <c r="AI39" s="4301"/>
      <c r="AJ39" s="4301"/>
      <c r="AK39" s="4301"/>
      <c r="AL39" s="4301"/>
      <c r="AM39" s="4301"/>
      <c r="AN39" s="4301"/>
      <c r="AO39" s="4301"/>
      <c r="AP39" s="4301"/>
      <c r="AQ39" s="4301"/>
      <c r="AR39" s="4301"/>
      <c r="AS39" s="4301"/>
      <c r="AT39" s="4302"/>
      <c r="AU39" s="4303"/>
      <c r="AV39" s="1463">
        <f t="shared" si="11"/>
        <v>0</v>
      </c>
      <c r="AW39" s="1463">
        <f t="shared" si="12"/>
        <v>0</v>
      </c>
      <c r="AX39" s="1463">
        <f t="shared" si="13"/>
        <v>0</v>
      </c>
      <c r="AY39" s="4304">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305">
        <f t="shared" si="35"/>
        <v>0</v>
      </c>
    </row>
    <row r="40" spans="1:72">
      <c r="A40" s="4293"/>
      <c r="B40" s="4294"/>
      <c r="C40" s="4294"/>
      <c r="D40" s="4295"/>
      <c r="E40" s="4296">
        <f t="shared" si="7"/>
        <v>0</v>
      </c>
      <c r="F40" s="4297"/>
      <c r="G40" s="4298">
        <f t="shared" si="8"/>
        <v>0</v>
      </c>
      <c r="H40" s="4299">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4296">
        <f t="shared" si="10"/>
        <v>0</v>
      </c>
      <c r="AD40" s="4301"/>
      <c r="AE40" s="4301"/>
      <c r="AF40" s="4301"/>
      <c r="AG40" s="4301"/>
      <c r="AH40" s="4301"/>
      <c r="AI40" s="4301"/>
      <c r="AJ40" s="4301"/>
      <c r="AK40" s="4301"/>
      <c r="AL40" s="4301"/>
      <c r="AM40" s="4301"/>
      <c r="AN40" s="4301"/>
      <c r="AO40" s="4301"/>
      <c r="AP40" s="4301"/>
      <c r="AQ40" s="4301"/>
      <c r="AR40" s="4301"/>
      <c r="AS40" s="4301"/>
      <c r="AT40" s="4302"/>
      <c r="AU40" s="4303"/>
      <c r="AV40" s="1463">
        <f t="shared" si="11"/>
        <v>0</v>
      </c>
      <c r="AW40" s="1463">
        <f t="shared" si="12"/>
        <v>0</v>
      </c>
      <c r="AX40" s="1463">
        <f t="shared" si="13"/>
        <v>0</v>
      </c>
      <c r="AY40" s="4304">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305">
        <f t="shared" si="35"/>
        <v>0</v>
      </c>
    </row>
    <row r="41" spans="1:72">
      <c r="A41" s="4293"/>
      <c r="B41" s="4294"/>
      <c r="C41" s="4294"/>
      <c r="D41" s="4295"/>
      <c r="E41" s="4296">
        <f t="shared" si="7"/>
        <v>0</v>
      </c>
      <c r="F41" s="4297"/>
      <c r="G41" s="4298">
        <f t="shared" si="8"/>
        <v>0</v>
      </c>
      <c r="H41" s="4299">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4296">
        <f t="shared" si="10"/>
        <v>0</v>
      </c>
      <c r="AD41" s="4301"/>
      <c r="AE41" s="4301"/>
      <c r="AF41" s="4301"/>
      <c r="AG41" s="4301"/>
      <c r="AH41" s="4301"/>
      <c r="AI41" s="4301"/>
      <c r="AJ41" s="4301"/>
      <c r="AK41" s="4301"/>
      <c r="AL41" s="4301"/>
      <c r="AM41" s="4301"/>
      <c r="AN41" s="4301"/>
      <c r="AO41" s="4301"/>
      <c r="AP41" s="4301"/>
      <c r="AQ41" s="4301"/>
      <c r="AR41" s="4301"/>
      <c r="AS41" s="4301"/>
      <c r="AT41" s="4302"/>
      <c r="AU41" s="4303"/>
      <c r="AV41" s="1463">
        <f t="shared" si="11"/>
        <v>0</v>
      </c>
      <c r="AW41" s="1463">
        <f t="shared" si="12"/>
        <v>0</v>
      </c>
      <c r="AX41" s="1463">
        <f t="shared" si="13"/>
        <v>0</v>
      </c>
      <c r="AY41" s="4304">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305">
        <f t="shared" si="35"/>
        <v>0</v>
      </c>
    </row>
    <row r="42" spans="1:72">
      <c r="A42" s="4293"/>
      <c r="B42" s="4294"/>
      <c r="C42" s="4294"/>
      <c r="D42" s="4295"/>
      <c r="E42" s="4296">
        <f t="shared" si="7"/>
        <v>0</v>
      </c>
      <c r="F42" s="4297"/>
      <c r="G42" s="4298">
        <f t="shared" si="8"/>
        <v>0</v>
      </c>
      <c r="H42" s="4299">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4296">
        <f t="shared" si="10"/>
        <v>0</v>
      </c>
      <c r="AD42" s="4301"/>
      <c r="AE42" s="4301"/>
      <c r="AF42" s="4301"/>
      <c r="AG42" s="4301"/>
      <c r="AH42" s="4301"/>
      <c r="AI42" s="4301"/>
      <c r="AJ42" s="4301"/>
      <c r="AK42" s="4301"/>
      <c r="AL42" s="4301"/>
      <c r="AM42" s="4301"/>
      <c r="AN42" s="4301"/>
      <c r="AO42" s="4301"/>
      <c r="AP42" s="4301"/>
      <c r="AQ42" s="4301"/>
      <c r="AR42" s="4301"/>
      <c r="AS42" s="4301"/>
      <c r="AT42" s="4302"/>
      <c r="AU42" s="4303"/>
      <c r="AV42" s="1463">
        <f t="shared" si="11"/>
        <v>0</v>
      </c>
      <c r="AW42" s="1463">
        <f t="shared" si="12"/>
        <v>0</v>
      </c>
      <c r="AX42" s="1463">
        <f t="shared" si="13"/>
        <v>0</v>
      </c>
      <c r="AY42" s="4304">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305">
        <f t="shared" si="35"/>
        <v>0</v>
      </c>
    </row>
    <row r="43" spans="1:72">
      <c r="A43" s="4293"/>
      <c r="B43" s="4294"/>
      <c r="C43" s="4294"/>
      <c r="D43" s="4295"/>
      <c r="E43" s="4296">
        <f t="shared" si="7"/>
        <v>0</v>
      </c>
      <c r="F43" s="4297"/>
      <c r="G43" s="4298">
        <f t="shared" si="8"/>
        <v>0</v>
      </c>
      <c r="H43" s="4299">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4296">
        <f t="shared" si="10"/>
        <v>0</v>
      </c>
      <c r="AD43" s="4301"/>
      <c r="AE43" s="4301"/>
      <c r="AF43" s="4301"/>
      <c r="AG43" s="4301"/>
      <c r="AH43" s="4301"/>
      <c r="AI43" s="4301"/>
      <c r="AJ43" s="4301"/>
      <c r="AK43" s="4301"/>
      <c r="AL43" s="4301"/>
      <c r="AM43" s="4301"/>
      <c r="AN43" s="4301"/>
      <c r="AO43" s="4301"/>
      <c r="AP43" s="4301"/>
      <c r="AQ43" s="4301"/>
      <c r="AR43" s="4301"/>
      <c r="AS43" s="4301"/>
      <c r="AT43" s="4302"/>
      <c r="AU43" s="4303"/>
      <c r="AV43" s="1463">
        <f t="shared" si="11"/>
        <v>0</v>
      </c>
      <c r="AW43" s="1463">
        <f t="shared" si="12"/>
        <v>0</v>
      </c>
      <c r="AX43" s="1463">
        <f t="shared" si="13"/>
        <v>0</v>
      </c>
      <c r="AY43" s="4304">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305">
        <f t="shared" si="35"/>
        <v>0</v>
      </c>
    </row>
    <row r="44" spans="1:72">
      <c r="A44" s="4293"/>
      <c r="B44" s="4294"/>
      <c r="C44" s="4294"/>
      <c r="D44" s="4295"/>
      <c r="E44" s="4296">
        <f t="shared" si="7"/>
        <v>0</v>
      </c>
      <c r="F44" s="4297"/>
      <c r="G44" s="4298">
        <f t="shared" si="8"/>
        <v>0</v>
      </c>
      <c r="H44" s="4299">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4296">
        <f t="shared" si="10"/>
        <v>0</v>
      </c>
      <c r="AD44" s="4301"/>
      <c r="AE44" s="4301"/>
      <c r="AF44" s="4301"/>
      <c r="AG44" s="4301"/>
      <c r="AH44" s="4301"/>
      <c r="AI44" s="4301"/>
      <c r="AJ44" s="4301"/>
      <c r="AK44" s="4301"/>
      <c r="AL44" s="4301"/>
      <c r="AM44" s="4301"/>
      <c r="AN44" s="4301"/>
      <c r="AO44" s="4301"/>
      <c r="AP44" s="4301"/>
      <c r="AQ44" s="4301"/>
      <c r="AR44" s="4301"/>
      <c r="AS44" s="4301"/>
      <c r="AT44" s="4302"/>
      <c r="AU44" s="4303"/>
      <c r="AV44" s="1463">
        <f t="shared" si="11"/>
        <v>0</v>
      </c>
      <c r="AW44" s="1463">
        <f t="shared" si="12"/>
        <v>0</v>
      </c>
      <c r="AX44" s="1463">
        <f t="shared" si="13"/>
        <v>0</v>
      </c>
      <c r="AY44" s="4304">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305">
        <f t="shared" si="35"/>
        <v>0</v>
      </c>
    </row>
    <row r="45" spans="1:72">
      <c r="A45" s="4293"/>
      <c r="B45" s="4294"/>
      <c r="C45" s="4294"/>
      <c r="D45" s="4295"/>
      <c r="E45" s="4296">
        <f t="shared" si="7"/>
        <v>0</v>
      </c>
      <c r="F45" s="4297"/>
      <c r="G45" s="4298">
        <f t="shared" si="8"/>
        <v>0</v>
      </c>
      <c r="H45" s="4299">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4296">
        <f t="shared" si="10"/>
        <v>0</v>
      </c>
      <c r="AD45" s="4301"/>
      <c r="AE45" s="4301"/>
      <c r="AF45" s="4301"/>
      <c r="AG45" s="4301"/>
      <c r="AH45" s="4301"/>
      <c r="AI45" s="4301"/>
      <c r="AJ45" s="4301"/>
      <c r="AK45" s="4301"/>
      <c r="AL45" s="4301"/>
      <c r="AM45" s="4301"/>
      <c r="AN45" s="4301"/>
      <c r="AO45" s="4301"/>
      <c r="AP45" s="4301"/>
      <c r="AQ45" s="4301"/>
      <c r="AR45" s="4301"/>
      <c r="AS45" s="4301"/>
      <c r="AT45" s="4302"/>
      <c r="AU45" s="4303"/>
      <c r="AV45" s="1463">
        <f t="shared" si="11"/>
        <v>0</v>
      </c>
      <c r="AW45" s="1463">
        <f t="shared" si="12"/>
        <v>0</v>
      </c>
      <c r="AX45" s="1463">
        <f t="shared" si="13"/>
        <v>0</v>
      </c>
      <c r="AY45" s="4304">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305">
        <f t="shared" si="35"/>
        <v>0</v>
      </c>
    </row>
    <row r="46" spans="1:72">
      <c r="A46" s="4293"/>
      <c r="B46" s="4294"/>
      <c r="C46" s="4294"/>
      <c r="D46" s="4295"/>
      <c r="E46" s="4296">
        <f t="shared" si="7"/>
        <v>0</v>
      </c>
      <c r="F46" s="4297"/>
      <c r="G46" s="4298">
        <f t="shared" si="8"/>
        <v>0</v>
      </c>
      <c r="H46" s="4299">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4296">
        <f t="shared" si="10"/>
        <v>0</v>
      </c>
      <c r="AD46" s="4301"/>
      <c r="AE46" s="4301"/>
      <c r="AF46" s="4301"/>
      <c r="AG46" s="4301"/>
      <c r="AH46" s="4301"/>
      <c r="AI46" s="4301"/>
      <c r="AJ46" s="4301"/>
      <c r="AK46" s="4301"/>
      <c r="AL46" s="4301"/>
      <c r="AM46" s="4301"/>
      <c r="AN46" s="4301"/>
      <c r="AO46" s="4301"/>
      <c r="AP46" s="4301"/>
      <c r="AQ46" s="4301"/>
      <c r="AR46" s="4301"/>
      <c r="AS46" s="4301"/>
      <c r="AT46" s="4302"/>
      <c r="AU46" s="4303"/>
      <c r="AV46" s="1463">
        <f t="shared" si="11"/>
        <v>0</v>
      </c>
      <c r="AW46" s="1463">
        <f t="shared" si="12"/>
        <v>0</v>
      </c>
      <c r="AX46" s="1463">
        <f t="shared" si="13"/>
        <v>0</v>
      </c>
      <c r="AY46" s="4304">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305">
        <f t="shared" si="35"/>
        <v>0</v>
      </c>
    </row>
    <row r="47" spans="1:72">
      <c r="A47" s="4293"/>
      <c r="B47" s="4294"/>
      <c r="C47" s="4294"/>
      <c r="D47" s="4295"/>
      <c r="E47" s="4296">
        <f t="shared" si="7"/>
        <v>0</v>
      </c>
      <c r="F47" s="4297"/>
      <c r="G47" s="4298">
        <f t="shared" si="8"/>
        <v>0</v>
      </c>
      <c r="H47" s="4299">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4296">
        <f t="shared" si="10"/>
        <v>0</v>
      </c>
      <c r="AD47" s="4301"/>
      <c r="AE47" s="4301"/>
      <c r="AF47" s="4301"/>
      <c r="AG47" s="4301"/>
      <c r="AH47" s="4301"/>
      <c r="AI47" s="4301"/>
      <c r="AJ47" s="4301"/>
      <c r="AK47" s="4301"/>
      <c r="AL47" s="4301"/>
      <c r="AM47" s="4301"/>
      <c r="AN47" s="4301"/>
      <c r="AO47" s="4301"/>
      <c r="AP47" s="4301"/>
      <c r="AQ47" s="4301"/>
      <c r="AR47" s="4301"/>
      <c r="AS47" s="4301"/>
      <c r="AT47" s="4302"/>
      <c r="AU47" s="4303"/>
      <c r="AV47" s="1463">
        <f t="shared" si="11"/>
        <v>0</v>
      </c>
      <c r="AW47" s="1463">
        <f t="shared" si="12"/>
        <v>0</v>
      </c>
      <c r="AX47" s="1463">
        <f t="shared" si="13"/>
        <v>0</v>
      </c>
      <c r="AY47" s="4304">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305">
        <f t="shared" si="35"/>
        <v>0</v>
      </c>
    </row>
    <row r="48" spans="1:72">
      <c r="A48" s="4293"/>
      <c r="B48" s="4294"/>
      <c r="C48" s="4294"/>
      <c r="D48" s="4295"/>
      <c r="E48" s="4296">
        <f t="shared" si="7"/>
        <v>0</v>
      </c>
      <c r="F48" s="4297"/>
      <c r="G48" s="4298">
        <f t="shared" si="8"/>
        <v>0</v>
      </c>
      <c r="H48" s="4299">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4296">
        <f t="shared" si="10"/>
        <v>0</v>
      </c>
      <c r="AD48" s="4301"/>
      <c r="AE48" s="4301"/>
      <c r="AF48" s="4301"/>
      <c r="AG48" s="4301"/>
      <c r="AH48" s="4301"/>
      <c r="AI48" s="4301"/>
      <c r="AJ48" s="4301"/>
      <c r="AK48" s="4301"/>
      <c r="AL48" s="4301"/>
      <c r="AM48" s="4301"/>
      <c r="AN48" s="4301"/>
      <c r="AO48" s="4301"/>
      <c r="AP48" s="4301"/>
      <c r="AQ48" s="4301"/>
      <c r="AR48" s="4301"/>
      <c r="AS48" s="4301"/>
      <c r="AT48" s="4302"/>
      <c r="AU48" s="4303"/>
      <c r="AV48" s="1463">
        <f t="shared" si="11"/>
        <v>0</v>
      </c>
      <c r="AW48" s="1463">
        <f t="shared" si="12"/>
        <v>0</v>
      </c>
      <c r="AX48" s="1463">
        <f t="shared" si="13"/>
        <v>0</v>
      </c>
      <c r="AY48" s="4304">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305">
        <f t="shared" si="35"/>
        <v>0</v>
      </c>
    </row>
    <row r="49" spans="1:72">
      <c r="A49" s="4293"/>
      <c r="B49" s="4294"/>
      <c r="C49" s="4294"/>
      <c r="D49" s="4295"/>
      <c r="E49" s="4296">
        <f t="shared" si="7"/>
        <v>0</v>
      </c>
      <c r="F49" s="4297"/>
      <c r="G49" s="4298">
        <f t="shared" si="8"/>
        <v>0</v>
      </c>
      <c r="H49" s="4299">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4296">
        <f t="shared" si="10"/>
        <v>0</v>
      </c>
      <c r="AD49" s="4301"/>
      <c r="AE49" s="4301"/>
      <c r="AF49" s="4301"/>
      <c r="AG49" s="4301"/>
      <c r="AH49" s="4301"/>
      <c r="AI49" s="4301"/>
      <c r="AJ49" s="4301"/>
      <c r="AK49" s="4301"/>
      <c r="AL49" s="4301"/>
      <c r="AM49" s="4301"/>
      <c r="AN49" s="4301"/>
      <c r="AO49" s="4301"/>
      <c r="AP49" s="4301"/>
      <c r="AQ49" s="4301"/>
      <c r="AR49" s="4301"/>
      <c r="AS49" s="4301"/>
      <c r="AT49" s="4302"/>
      <c r="AU49" s="4303"/>
      <c r="AV49" s="1463">
        <f t="shared" si="11"/>
        <v>0</v>
      </c>
      <c r="AW49" s="1463">
        <f t="shared" si="12"/>
        <v>0</v>
      </c>
      <c r="AX49" s="1463">
        <f t="shared" si="13"/>
        <v>0</v>
      </c>
      <c r="AY49" s="4304">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305">
        <f t="shared" si="35"/>
        <v>0</v>
      </c>
    </row>
    <row r="50" spans="1:72">
      <c r="A50" s="4293"/>
      <c r="B50" s="4294"/>
      <c r="C50" s="4294"/>
      <c r="D50" s="4295"/>
      <c r="E50" s="4296">
        <f t="shared" si="7"/>
        <v>0</v>
      </c>
      <c r="F50" s="4297"/>
      <c r="G50" s="4298">
        <f t="shared" si="8"/>
        <v>0</v>
      </c>
      <c r="H50" s="4299">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4296">
        <f t="shared" si="10"/>
        <v>0</v>
      </c>
      <c r="AD50" s="4301"/>
      <c r="AE50" s="4301"/>
      <c r="AF50" s="4301"/>
      <c r="AG50" s="4301"/>
      <c r="AH50" s="4301"/>
      <c r="AI50" s="4301"/>
      <c r="AJ50" s="4301"/>
      <c r="AK50" s="4301"/>
      <c r="AL50" s="4301"/>
      <c r="AM50" s="4301"/>
      <c r="AN50" s="4301"/>
      <c r="AO50" s="4301"/>
      <c r="AP50" s="4301"/>
      <c r="AQ50" s="4301"/>
      <c r="AR50" s="4301"/>
      <c r="AS50" s="4301"/>
      <c r="AT50" s="4302"/>
      <c r="AU50" s="4303"/>
      <c r="AV50" s="1463">
        <f t="shared" si="11"/>
        <v>0</v>
      </c>
      <c r="AW50" s="1463">
        <f t="shared" si="12"/>
        <v>0</v>
      </c>
      <c r="AX50" s="1463">
        <f t="shared" si="13"/>
        <v>0</v>
      </c>
      <c r="AY50" s="4304">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305">
        <f t="shared" si="35"/>
        <v>0</v>
      </c>
    </row>
    <row r="51" spans="1:72">
      <c r="A51" s="4293"/>
      <c r="B51" s="4294"/>
      <c r="C51" s="4294"/>
      <c r="D51" s="4295"/>
      <c r="E51" s="4296">
        <f t="shared" si="7"/>
        <v>0</v>
      </c>
      <c r="F51" s="4297"/>
      <c r="G51" s="4298">
        <f t="shared" si="8"/>
        <v>0</v>
      </c>
      <c r="H51" s="4299">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4296">
        <f t="shared" si="10"/>
        <v>0</v>
      </c>
      <c r="AD51" s="4301"/>
      <c r="AE51" s="4301"/>
      <c r="AF51" s="4301"/>
      <c r="AG51" s="4301"/>
      <c r="AH51" s="4301"/>
      <c r="AI51" s="4301"/>
      <c r="AJ51" s="4301"/>
      <c r="AK51" s="4301"/>
      <c r="AL51" s="4301"/>
      <c r="AM51" s="4301"/>
      <c r="AN51" s="4301"/>
      <c r="AO51" s="4301"/>
      <c r="AP51" s="4301"/>
      <c r="AQ51" s="4301"/>
      <c r="AR51" s="4301"/>
      <c r="AS51" s="4301"/>
      <c r="AT51" s="4302"/>
      <c r="AU51" s="4303"/>
      <c r="AV51" s="1463">
        <f t="shared" si="11"/>
        <v>0</v>
      </c>
      <c r="AW51" s="1463">
        <f t="shared" si="12"/>
        <v>0</v>
      </c>
      <c r="AX51" s="1463">
        <f t="shared" si="13"/>
        <v>0</v>
      </c>
      <c r="AY51" s="4304">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305">
        <f t="shared" si="35"/>
        <v>0</v>
      </c>
    </row>
    <row r="52" spans="1:72">
      <c r="A52" s="4293"/>
      <c r="B52" s="4294"/>
      <c r="C52" s="4294"/>
      <c r="D52" s="4295"/>
      <c r="E52" s="4296">
        <f t="shared" si="7"/>
        <v>0</v>
      </c>
      <c r="F52" s="4297"/>
      <c r="G52" s="4298">
        <f t="shared" si="8"/>
        <v>0</v>
      </c>
      <c r="H52" s="4299">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4296">
        <f t="shared" si="10"/>
        <v>0</v>
      </c>
      <c r="AD52" s="4301"/>
      <c r="AE52" s="4301"/>
      <c r="AF52" s="4301"/>
      <c r="AG52" s="4301"/>
      <c r="AH52" s="4301"/>
      <c r="AI52" s="4301"/>
      <c r="AJ52" s="4301"/>
      <c r="AK52" s="4301"/>
      <c r="AL52" s="4301"/>
      <c r="AM52" s="4301"/>
      <c r="AN52" s="4301"/>
      <c r="AO52" s="4301"/>
      <c r="AP52" s="4301"/>
      <c r="AQ52" s="4301"/>
      <c r="AR52" s="4301"/>
      <c r="AS52" s="4301"/>
      <c r="AT52" s="4302"/>
      <c r="AU52" s="4303"/>
      <c r="AV52" s="1463">
        <f t="shared" si="11"/>
        <v>0</v>
      </c>
      <c r="AW52" s="1463">
        <f t="shared" si="12"/>
        <v>0</v>
      </c>
      <c r="AX52" s="1463">
        <f t="shared" si="13"/>
        <v>0</v>
      </c>
      <c r="AY52" s="4304">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305">
        <f t="shared" si="35"/>
        <v>0</v>
      </c>
    </row>
    <row r="53" spans="1:72">
      <c r="A53" s="4293"/>
      <c r="B53" s="4294"/>
      <c r="C53" s="4294"/>
      <c r="D53" s="4295"/>
      <c r="E53" s="4296">
        <f t="shared" si="7"/>
        <v>0</v>
      </c>
      <c r="F53" s="4297"/>
      <c r="G53" s="4298">
        <f t="shared" si="8"/>
        <v>0</v>
      </c>
      <c r="H53" s="4299">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4296">
        <f t="shared" si="10"/>
        <v>0</v>
      </c>
      <c r="AD53" s="4301"/>
      <c r="AE53" s="4301"/>
      <c r="AF53" s="4301"/>
      <c r="AG53" s="4301"/>
      <c r="AH53" s="4301"/>
      <c r="AI53" s="4301"/>
      <c r="AJ53" s="4301"/>
      <c r="AK53" s="4301"/>
      <c r="AL53" s="4301"/>
      <c r="AM53" s="4301"/>
      <c r="AN53" s="4301"/>
      <c r="AO53" s="4301"/>
      <c r="AP53" s="4301"/>
      <c r="AQ53" s="4301"/>
      <c r="AR53" s="4301"/>
      <c r="AS53" s="4301"/>
      <c r="AT53" s="4302"/>
      <c r="AU53" s="4303"/>
      <c r="AV53" s="1463">
        <f t="shared" si="11"/>
        <v>0</v>
      </c>
      <c r="AW53" s="1463">
        <f t="shared" si="12"/>
        <v>0</v>
      </c>
      <c r="AX53" s="1463">
        <f t="shared" si="13"/>
        <v>0</v>
      </c>
      <c r="AY53" s="4304">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305">
        <f t="shared" si="35"/>
        <v>0</v>
      </c>
    </row>
    <row r="54" spans="1:72">
      <c r="A54" s="4293"/>
      <c r="B54" s="4294"/>
      <c r="C54" s="4294"/>
      <c r="D54" s="4295"/>
      <c r="E54" s="4296">
        <f t="shared" si="7"/>
        <v>0</v>
      </c>
      <c r="F54" s="4297"/>
      <c r="G54" s="4298">
        <f t="shared" si="8"/>
        <v>0</v>
      </c>
      <c r="H54" s="4299">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4296">
        <f t="shared" si="10"/>
        <v>0</v>
      </c>
      <c r="AD54" s="4301"/>
      <c r="AE54" s="4301"/>
      <c r="AF54" s="4301"/>
      <c r="AG54" s="4301"/>
      <c r="AH54" s="4301"/>
      <c r="AI54" s="4301"/>
      <c r="AJ54" s="4301"/>
      <c r="AK54" s="4301"/>
      <c r="AL54" s="4301"/>
      <c r="AM54" s="4301"/>
      <c r="AN54" s="4301"/>
      <c r="AO54" s="4301"/>
      <c r="AP54" s="4301"/>
      <c r="AQ54" s="4301"/>
      <c r="AR54" s="4301"/>
      <c r="AS54" s="4301"/>
      <c r="AT54" s="4302"/>
      <c r="AU54" s="4303"/>
      <c r="AV54" s="1463">
        <f t="shared" si="11"/>
        <v>0</v>
      </c>
      <c r="AW54" s="1463">
        <f t="shared" si="12"/>
        <v>0</v>
      </c>
      <c r="AX54" s="1463">
        <f t="shared" si="13"/>
        <v>0</v>
      </c>
      <c r="AY54" s="4304">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305">
        <f t="shared" si="35"/>
        <v>0</v>
      </c>
    </row>
    <row r="55" spans="1:72">
      <c r="A55" s="4293"/>
      <c r="B55" s="4294"/>
      <c r="C55" s="4294"/>
      <c r="D55" s="4295"/>
      <c r="E55" s="4296">
        <f t="shared" si="7"/>
        <v>0</v>
      </c>
      <c r="F55" s="4297"/>
      <c r="G55" s="4298">
        <f t="shared" si="8"/>
        <v>0</v>
      </c>
      <c r="H55" s="4299">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4296">
        <f t="shared" si="10"/>
        <v>0</v>
      </c>
      <c r="AD55" s="4301"/>
      <c r="AE55" s="4301"/>
      <c r="AF55" s="4301"/>
      <c r="AG55" s="4301"/>
      <c r="AH55" s="4301"/>
      <c r="AI55" s="4301"/>
      <c r="AJ55" s="4301"/>
      <c r="AK55" s="4301"/>
      <c r="AL55" s="4301"/>
      <c r="AM55" s="4301"/>
      <c r="AN55" s="4301"/>
      <c r="AO55" s="4301"/>
      <c r="AP55" s="4301"/>
      <c r="AQ55" s="4301"/>
      <c r="AR55" s="4301"/>
      <c r="AS55" s="4301"/>
      <c r="AT55" s="4302"/>
      <c r="AU55" s="4303"/>
      <c r="AV55" s="1463">
        <f t="shared" si="11"/>
        <v>0</v>
      </c>
      <c r="AW55" s="1463">
        <f t="shared" si="12"/>
        <v>0</v>
      </c>
      <c r="AX55" s="1463">
        <f t="shared" si="13"/>
        <v>0</v>
      </c>
      <c r="AY55" s="4304">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305">
        <f t="shared" si="35"/>
        <v>0</v>
      </c>
    </row>
    <row r="56" spans="1:72">
      <c r="A56" s="4293"/>
      <c r="B56" s="4294"/>
      <c r="C56" s="4294"/>
      <c r="D56" s="4295"/>
      <c r="E56" s="4296">
        <f t="shared" si="7"/>
        <v>0</v>
      </c>
      <c r="F56" s="4297"/>
      <c r="G56" s="4298">
        <f t="shared" si="8"/>
        <v>0</v>
      </c>
      <c r="H56" s="4299">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4296">
        <f t="shared" si="10"/>
        <v>0</v>
      </c>
      <c r="AD56" s="4301"/>
      <c r="AE56" s="4301"/>
      <c r="AF56" s="4301"/>
      <c r="AG56" s="4301"/>
      <c r="AH56" s="4301"/>
      <c r="AI56" s="4301"/>
      <c r="AJ56" s="4301"/>
      <c r="AK56" s="4301"/>
      <c r="AL56" s="4301"/>
      <c r="AM56" s="4301"/>
      <c r="AN56" s="4301"/>
      <c r="AO56" s="4301"/>
      <c r="AP56" s="4301"/>
      <c r="AQ56" s="4301"/>
      <c r="AR56" s="4301"/>
      <c r="AS56" s="4301"/>
      <c r="AT56" s="4302"/>
      <c r="AU56" s="4303"/>
      <c r="AV56" s="1463">
        <f t="shared" si="11"/>
        <v>0</v>
      </c>
      <c r="AW56" s="1463">
        <f t="shared" si="12"/>
        <v>0</v>
      </c>
      <c r="AX56" s="1463">
        <f t="shared" si="13"/>
        <v>0</v>
      </c>
      <c r="AY56" s="4304">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305">
        <f t="shared" si="35"/>
        <v>0</v>
      </c>
    </row>
    <row r="57" spans="1:72">
      <c r="A57" s="4293"/>
      <c r="B57" s="4294"/>
      <c r="C57" s="4294"/>
      <c r="D57" s="4295"/>
      <c r="E57" s="4296">
        <f t="shared" si="7"/>
        <v>0</v>
      </c>
      <c r="F57" s="4297"/>
      <c r="G57" s="4298">
        <f t="shared" si="8"/>
        <v>0</v>
      </c>
      <c r="H57" s="4299">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4296">
        <f t="shared" si="10"/>
        <v>0</v>
      </c>
      <c r="AD57" s="4301"/>
      <c r="AE57" s="4301"/>
      <c r="AF57" s="4301"/>
      <c r="AG57" s="4301"/>
      <c r="AH57" s="4301"/>
      <c r="AI57" s="4301"/>
      <c r="AJ57" s="4301"/>
      <c r="AK57" s="4301"/>
      <c r="AL57" s="4301"/>
      <c r="AM57" s="4301"/>
      <c r="AN57" s="4301"/>
      <c r="AO57" s="4301"/>
      <c r="AP57" s="4301"/>
      <c r="AQ57" s="4301"/>
      <c r="AR57" s="4301"/>
      <c r="AS57" s="4301"/>
      <c r="AT57" s="4302"/>
      <c r="AU57" s="4303"/>
      <c r="AV57" s="1463">
        <f t="shared" si="11"/>
        <v>0</v>
      </c>
      <c r="AW57" s="1463">
        <f t="shared" si="12"/>
        <v>0</v>
      </c>
      <c r="AX57" s="1463">
        <f t="shared" si="13"/>
        <v>0</v>
      </c>
      <c r="AY57" s="4304">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305">
        <f t="shared" si="35"/>
        <v>0</v>
      </c>
    </row>
    <row r="58" spans="1:72">
      <c r="A58" s="4293"/>
      <c r="B58" s="4294"/>
      <c r="C58" s="4294"/>
      <c r="D58" s="4295"/>
      <c r="E58" s="4296">
        <f t="shared" si="7"/>
        <v>0</v>
      </c>
      <c r="F58" s="4297"/>
      <c r="G58" s="4298">
        <f t="shared" si="8"/>
        <v>0</v>
      </c>
      <c r="H58" s="4299">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4296">
        <f t="shared" si="10"/>
        <v>0</v>
      </c>
      <c r="AD58" s="4301"/>
      <c r="AE58" s="4301"/>
      <c r="AF58" s="4301"/>
      <c r="AG58" s="4301"/>
      <c r="AH58" s="4301"/>
      <c r="AI58" s="4301"/>
      <c r="AJ58" s="4301"/>
      <c r="AK58" s="4301"/>
      <c r="AL58" s="4301"/>
      <c r="AM58" s="4301"/>
      <c r="AN58" s="4301"/>
      <c r="AO58" s="4301"/>
      <c r="AP58" s="4301"/>
      <c r="AQ58" s="4301"/>
      <c r="AR58" s="4301"/>
      <c r="AS58" s="4301"/>
      <c r="AT58" s="4302"/>
      <c r="AU58" s="4303"/>
      <c r="AV58" s="1463">
        <f t="shared" si="11"/>
        <v>0</v>
      </c>
      <c r="AW58" s="1463">
        <f t="shared" si="12"/>
        <v>0</v>
      </c>
      <c r="AX58" s="1463">
        <f t="shared" si="13"/>
        <v>0</v>
      </c>
      <c r="AY58" s="4304">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305">
        <f t="shared" si="35"/>
        <v>0</v>
      </c>
    </row>
    <row r="59" spans="1:72">
      <c r="A59" s="4293"/>
      <c r="B59" s="4294"/>
      <c r="C59" s="4294"/>
      <c r="D59" s="4295"/>
      <c r="E59" s="4296">
        <f t="shared" si="7"/>
        <v>0</v>
      </c>
      <c r="F59" s="4297"/>
      <c r="G59" s="4298">
        <f t="shared" si="8"/>
        <v>0</v>
      </c>
      <c r="H59" s="4299">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4296">
        <f t="shared" si="10"/>
        <v>0</v>
      </c>
      <c r="AD59" s="4301"/>
      <c r="AE59" s="4301"/>
      <c r="AF59" s="4301"/>
      <c r="AG59" s="4301"/>
      <c r="AH59" s="4301"/>
      <c r="AI59" s="4301"/>
      <c r="AJ59" s="4301"/>
      <c r="AK59" s="4301"/>
      <c r="AL59" s="4301"/>
      <c r="AM59" s="4301"/>
      <c r="AN59" s="4301"/>
      <c r="AO59" s="4301"/>
      <c r="AP59" s="4301"/>
      <c r="AQ59" s="4301"/>
      <c r="AR59" s="4301"/>
      <c r="AS59" s="4301"/>
      <c r="AT59" s="4302"/>
      <c r="AU59" s="4303"/>
      <c r="AV59" s="1463">
        <f t="shared" si="11"/>
        <v>0</v>
      </c>
      <c r="AW59" s="1463">
        <f t="shared" si="12"/>
        <v>0</v>
      </c>
      <c r="AX59" s="1463">
        <f t="shared" si="13"/>
        <v>0</v>
      </c>
      <c r="AY59" s="4304">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305">
        <f t="shared" si="35"/>
        <v>0</v>
      </c>
    </row>
    <row r="60" spans="1:72">
      <c r="A60" s="4293"/>
      <c r="B60" s="4294"/>
      <c r="C60" s="4294"/>
      <c r="D60" s="4295"/>
      <c r="E60" s="4296">
        <f t="shared" si="7"/>
        <v>0</v>
      </c>
      <c r="F60" s="4297"/>
      <c r="G60" s="4298">
        <f t="shared" si="8"/>
        <v>0</v>
      </c>
      <c r="H60" s="4299">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4296">
        <f t="shared" si="10"/>
        <v>0</v>
      </c>
      <c r="AD60" s="4301"/>
      <c r="AE60" s="4301"/>
      <c r="AF60" s="4301"/>
      <c r="AG60" s="4301"/>
      <c r="AH60" s="4301"/>
      <c r="AI60" s="4301"/>
      <c r="AJ60" s="4301"/>
      <c r="AK60" s="4301"/>
      <c r="AL60" s="4301"/>
      <c r="AM60" s="4301"/>
      <c r="AN60" s="4301"/>
      <c r="AO60" s="4301"/>
      <c r="AP60" s="4301"/>
      <c r="AQ60" s="4301"/>
      <c r="AR60" s="4301"/>
      <c r="AS60" s="4301"/>
      <c r="AT60" s="4302"/>
      <c r="AU60" s="4303"/>
      <c r="AV60" s="1463">
        <f t="shared" si="11"/>
        <v>0</v>
      </c>
      <c r="AW60" s="1463">
        <f t="shared" si="12"/>
        <v>0</v>
      </c>
      <c r="AX60" s="1463">
        <f t="shared" si="13"/>
        <v>0</v>
      </c>
      <c r="AY60" s="4304">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305">
        <f t="shared" si="35"/>
        <v>0</v>
      </c>
    </row>
    <row r="61" spans="1:72">
      <c r="A61" s="4293"/>
      <c r="B61" s="4294"/>
      <c r="C61" s="4294"/>
      <c r="D61" s="4295"/>
      <c r="E61" s="4296">
        <f t="shared" si="7"/>
        <v>0</v>
      </c>
      <c r="F61" s="4297"/>
      <c r="G61" s="4298">
        <f t="shared" si="8"/>
        <v>0</v>
      </c>
      <c r="H61" s="4299">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4296">
        <f t="shared" si="10"/>
        <v>0</v>
      </c>
      <c r="AD61" s="4301"/>
      <c r="AE61" s="4301"/>
      <c r="AF61" s="4301"/>
      <c r="AG61" s="4301"/>
      <c r="AH61" s="4301"/>
      <c r="AI61" s="4301"/>
      <c r="AJ61" s="4301"/>
      <c r="AK61" s="4301"/>
      <c r="AL61" s="4301"/>
      <c r="AM61" s="4301"/>
      <c r="AN61" s="4301"/>
      <c r="AO61" s="4301"/>
      <c r="AP61" s="4301"/>
      <c r="AQ61" s="4301"/>
      <c r="AR61" s="4301"/>
      <c r="AS61" s="4301"/>
      <c r="AT61" s="4302"/>
      <c r="AU61" s="4303"/>
      <c r="AV61" s="1463">
        <f t="shared" si="11"/>
        <v>0</v>
      </c>
      <c r="AW61" s="1463">
        <f t="shared" si="12"/>
        <v>0</v>
      </c>
      <c r="AX61" s="1463">
        <f t="shared" si="13"/>
        <v>0</v>
      </c>
      <c r="AY61" s="4304">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305">
        <f t="shared" si="35"/>
        <v>0</v>
      </c>
    </row>
    <row r="62" spans="1:72">
      <c r="A62" s="4293"/>
      <c r="B62" s="4294"/>
      <c r="C62" s="4294"/>
      <c r="D62" s="4295"/>
      <c r="E62" s="4296">
        <f t="shared" si="7"/>
        <v>0</v>
      </c>
      <c r="F62" s="4297"/>
      <c r="G62" s="4298">
        <f t="shared" si="8"/>
        <v>0</v>
      </c>
      <c r="H62" s="4299">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4296">
        <f t="shared" si="10"/>
        <v>0</v>
      </c>
      <c r="AD62" s="4301"/>
      <c r="AE62" s="4301"/>
      <c r="AF62" s="4301"/>
      <c r="AG62" s="4301"/>
      <c r="AH62" s="4301"/>
      <c r="AI62" s="4301"/>
      <c r="AJ62" s="4301"/>
      <c r="AK62" s="4301"/>
      <c r="AL62" s="4301"/>
      <c r="AM62" s="4301"/>
      <c r="AN62" s="4301"/>
      <c r="AO62" s="4301"/>
      <c r="AP62" s="4301"/>
      <c r="AQ62" s="4301"/>
      <c r="AR62" s="4301"/>
      <c r="AS62" s="4301"/>
      <c r="AT62" s="4302"/>
      <c r="AU62" s="4303"/>
      <c r="AV62" s="1463">
        <f t="shared" si="11"/>
        <v>0</v>
      </c>
      <c r="AW62" s="1463">
        <f t="shared" si="12"/>
        <v>0</v>
      </c>
      <c r="AX62" s="1463">
        <f t="shared" si="13"/>
        <v>0</v>
      </c>
      <c r="AY62" s="4304">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305">
        <f t="shared" si="35"/>
        <v>0</v>
      </c>
    </row>
    <row r="63" spans="1:72">
      <c r="A63" s="4293"/>
      <c r="B63" s="4294"/>
      <c r="C63" s="4294"/>
      <c r="D63" s="4295"/>
      <c r="E63" s="4296">
        <f t="shared" si="7"/>
        <v>0</v>
      </c>
      <c r="F63" s="4297"/>
      <c r="G63" s="4298">
        <f t="shared" si="8"/>
        <v>0</v>
      </c>
      <c r="H63" s="4299">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4296">
        <f t="shared" si="10"/>
        <v>0</v>
      </c>
      <c r="AD63" s="4301"/>
      <c r="AE63" s="4301"/>
      <c r="AF63" s="4301"/>
      <c r="AG63" s="4301"/>
      <c r="AH63" s="4301"/>
      <c r="AI63" s="4301"/>
      <c r="AJ63" s="4301"/>
      <c r="AK63" s="4301"/>
      <c r="AL63" s="4301"/>
      <c r="AM63" s="4301"/>
      <c r="AN63" s="4301"/>
      <c r="AO63" s="4301"/>
      <c r="AP63" s="4301"/>
      <c r="AQ63" s="4301"/>
      <c r="AR63" s="4301"/>
      <c r="AS63" s="4301"/>
      <c r="AT63" s="4302"/>
      <c r="AU63" s="4303"/>
      <c r="AV63" s="1463">
        <f t="shared" si="11"/>
        <v>0</v>
      </c>
      <c r="AW63" s="1463">
        <f t="shared" si="12"/>
        <v>0</v>
      </c>
      <c r="AX63" s="1463">
        <f t="shared" si="13"/>
        <v>0</v>
      </c>
      <c r="AY63" s="4304">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305">
        <f t="shared" si="35"/>
        <v>0</v>
      </c>
    </row>
    <row r="64" spans="1:72">
      <c r="A64" s="4293"/>
      <c r="B64" s="4294"/>
      <c r="C64" s="4294"/>
      <c r="D64" s="4295"/>
      <c r="E64" s="4296">
        <f t="shared" si="7"/>
        <v>0</v>
      </c>
      <c r="F64" s="4297"/>
      <c r="G64" s="4298">
        <f t="shared" si="8"/>
        <v>0</v>
      </c>
      <c r="H64" s="4299">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4296">
        <f t="shared" si="10"/>
        <v>0</v>
      </c>
      <c r="AD64" s="4301"/>
      <c r="AE64" s="4301"/>
      <c r="AF64" s="4301"/>
      <c r="AG64" s="4301"/>
      <c r="AH64" s="4301"/>
      <c r="AI64" s="4301"/>
      <c r="AJ64" s="4301"/>
      <c r="AK64" s="4301"/>
      <c r="AL64" s="4301"/>
      <c r="AM64" s="4301"/>
      <c r="AN64" s="4301"/>
      <c r="AO64" s="4301"/>
      <c r="AP64" s="4301"/>
      <c r="AQ64" s="4301"/>
      <c r="AR64" s="4301"/>
      <c r="AS64" s="4301"/>
      <c r="AT64" s="4302"/>
      <c r="AU64" s="4303"/>
      <c r="AV64" s="1463">
        <f t="shared" si="11"/>
        <v>0</v>
      </c>
      <c r="AW64" s="1463">
        <f t="shared" si="12"/>
        <v>0</v>
      </c>
      <c r="AX64" s="1463">
        <f t="shared" si="13"/>
        <v>0</v>
      </c>
      <c r="AY64" s="4304">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305">
        <f t="shared" si="35"/>
        <v>0</v>
      </c>
    </row>
    <row r="65" spans="1:72">
      <c r="A65" s="4293"/>
      <c r="B65" s="4294"/>
      <c r="C65" s="4294"/>
      <c r="D65" s="4295"/>
      <c r="E65" s="4296">
        <f t="shared" si="7"/>
        <v>0</v>
      </c>
      <c r="F65" s="4297"/>
      <c r="G65" s="4298">
        <f t="shared" si="8"/>
        <v>0</v>
      </c>
      <c r="H65" s="4299">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4296">
        <f t="shared" si="10"/>
        <v>0</v>
      </c>
      <c r="AD65" s="4301"/>
      <c r="AE65" s="4301"/>
      <c r="AF65" s="4301"/>
      <c r="AG65" s="4301"/>
      <c r="AH65" s="4301"/>
      <c r="AI65" s="4301"/>
      <c r="AJ65" s="4301"/>
      <c r="AK65" s="4301"/>
      <c r="AL65" s="4301"/>
      <c r="AM65" s="4301"/>
      <c r="AN65" s="4301"/>
      <c r="AO65" s="4301"/>
      <c r="AP65" s="4301"/>
      <c r="AQ65" s="4301"/>
      <c r="AR65" s="4301"/>
      <c r="AS65" s="4301"/>
      <c r="AT65" s="4302"/>
      <c r="AU65" s="4303"/>
      <c r="AV65" s="1463">
        <f t="shared" si="11"/>
        <v>0</v>
      </c>
      <c r="AW65" s="1463">
        <f t="shared" si="12"/>
        <v>0</v>
      </c>
      <c r="AX65" s="1463">
        <f t="shared" si="13"/>
        <v>0</v>
      </c>
      <c r="AY65" s="4304">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305">
        <f t="shared" si="35"/>
        <v>0</v>
      </c>
    </row>
    <row r="66" spans="1:72">
      <c r="A66" s="4293"/>
      <c r="B66" s="4294"/>
      <c r="C66" s="4294"/>
      <c r="D66" s="4295"/>
      <c r="E66" s="4296">
        <f t="shared" si="7"/>
        <v>0</v>
      </c>
      <c r="F66" s="4297"/>
      <c r="G66" s="4298">
        <f t="shared" si="8"/>
        <v>0</v>
      </c>
      <c r="H66" s="4299">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4296">
        <f t="shared" si="10"/>
        <v>0</v>
      </c>
      <c r="AD66" s="4301"/>
      <c r="AE66" s="4301"/>
      <c r="AF66" s="4301"/>
      <c r="AG66" s="4301"/>
      <c r="AH66" s="4301"/>
      <c r="AI66" s="4301"/>
      <c r="AJ66" s="4301"/>
      <c r="AK66" s="4301"/>
      <c r="AL66" s="4301"/>
      <c r="AM66" s="4301"/>
      <c r="AN66" s="4301"/>
      <c r="AO66" s="4301"/>
      <c r="AP66" s="4301"/>
      <c r="AQ66" s="4301"/>
      <c r="AR66" s="4301"/>
      <c r="AS66" s="4301"/>
      <c r="AT66" s="4302"/>
      <c r="AU66" s="4303"/>
      <c r="AV66" s="1463">
        <f t="shared" si="11"/>
        <v>0</v>
      </c>
      <c r="AW66" s="1463">
        <f t="shared" si="12"/>
        <v>0</v>
      </c>
      <c r="AX66" s="1463">
        <f t="shared" si="13"/>
        <v>0</v>
      </c>
      <c r="AY66" s="4304">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305">
        <f t="shared" si="35"/>
        <v>0</v>
      </c>
    </row>
    <row r="67" spans="1:72">
      <c r="A67" s="4293"/>
      <c r="B67" s="4294"/>
      <c r="C67" s="4294"/>
      <c r="D67" s="4295"/>
      <c r="E67" s="4296">
        <f t="shared" si="7"/>
        <v>0</v>
      </c>
      <c r="F67" s="4297"/>
      <c r="G67" s="4298">
        <f t="shared" si="8"/>
        <v>0</v>
      </c>
      <c r="H67" s="4299">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4296">
        <f t="shared" si="10"/>
        <v>0</v>
      </c>
      <c r="AD67" s="4301"/>
      <c r="AE67" s="4301"/>
      <c r="AF67" s="4301"/>
      <c r="AG67" s="4301"/>
      <c r="AH67" s="4301"/>
      <c r="AI67" s="4301"/>
      <c r="AJ67" s="4301"/>
      <c r="AK67" s="4301"/>
      <c r="AL67" s="4301"/>
      <c r="AM67" s="4301"/>
      <c r="AN67" s="4301"/>
      <c r="AO67" s="4301"/>
      <c r="AP67" s="4301"/>
      <c r="AQ67" s="4301"/>
      <c r="AR67" s="4301"/>
      <c r="AS67" s="4301"/>
      <c r="AT67" s="4302"/>
      <c r="AU67" s="4303"/>
      <c r="AV67" s="1463">
        <f t="shared" si="11"/>
        <v>0</v>
      </c>
      <c r="AW67" s="1463">
        <f t="shared" si="12"/>
        <v>0</v>
      </c>
      <c r="AX67" s="1463">
        <f t="shared" si="13"/>
        <v>0</v>
      </c>
      <c r="AY67" s="4304">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305">
        <f t="shared" si="35"/>
        <v>0</v>
      </c>
    </row>
    <row r="68" spans="1:72">
      <c r="A68" s="4293"/>
      <c r="B68" s="4294"/>
      <c r="C68" s="4294"/>
      <c r="D68" s="4295"/>
      <c r="E68" s="4296">
        <f t="shared" si="7"/>
        <v>0</v>
      </c>
      <c r="F68" s="4297"/>
      <c r="G68" s="4298">
        <f t="shared" si="8"/>
        <v>0</v>
      </c>
      <c r="H68" s="4299">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4296">
        <f t="shared" si="10"/>
        <v>0</v>
      </c>
      <c r="AD68" s="4301"/>
      <c r="AE68" s="4301"/>
      <c r="AF68" s="4301"/>
      <c r="AG68" s="4301"/>
      <c r="AH68" s="4301"/>
      <c r="AI68" s="4301"/>
      <c r="AJ68" s="4301"/>
      <c r="AK68" s="4301"/>
      <c r="AL68" s="4301"/>
      <c r="AM68" s="4301"/>
      <c r="AN68" s="4301"/>
      <c r="AO68" s="4301"/>
      <c r="AP68" s="4301"/>
      <c r="AQ68" s="4301"/>
      <c r="AR68" s="4301"/>
      <c r="AS68" s="4301"/>
      <c r="AT68" s="4302"/>
      <c r="AU68" s="4303"/>
      <c r="AV68" s="1463">
        <f t="shared" si="11"/>
        <v>0</v>
      </c>
      <c r="AW68" s="1463">
        <f t="shared" si="12"/>
        <v>0</v>
      </c>
      <c r="AX68" s="1463">
        <f t="shared" si="13"/>
        <v>0</v>
      </c>
      <c r="AY68" s="4304">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305">
        <f t="shared" si="35"/>
        <v>0</v>
      </c>
    </row>
    <row r="69" spans="1:72">
      <c r="A69" s="4293"/>
      <c r="B69" s="4294"/>
      <c r="C69" s="4294"/>
      <c r="D69" s="4295"/>
      <c r="E69" s="4296">
        <f t="shared" si="7"/>
        <v>0</v>
      </c>
      <c r="F69" s="4297"/>
      <c r="G69" s="4298">
        <f t="shared" si="8"/>
        <v>0</v>
      </c>
      <c r="H69" s="4299">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4296">
        <f t="shared" si="10"/>
        <v>0</v>
      </c>
      <c r="AD69" s="4301"/>
      <c r="AE69" s="4301"/>
      <c r="AF69" s="4301"/>
      <c r="AG69" s="4301"/>
      <c r="AH69" s="4301"/>
      <c r="AI69" s="4301"/>
      <c r="AJ69" s="4301"/>
      <c r="AK69" s="4301"/>
      <c r="AL69" s="4301"/>
      <c r="AM69" s="4301"/>
      <c r="AN69" s="4301"/>
      <c r="AO69" s="4301"/>
      <c r="AP69" s="4301"/>
      <c r="AQ69" s="4301"/>
      <c r="AR69" s="4301"/>
      <c r="AS69" s="4301"/>
      <c r="AT69" s="4302"/>
      <c r="AU69" s="4303"/>
      <c r="AV69" s="1463">
        <f t="shared" si="11"/>
        <v>0</v>
      </c>
      <c r="AW69" s="1463">
        <f t="shared" si="12"/>
        <v>0</v>
      </c>
      <c r="AX69" s="1463">
        <f t="shared" si="13"/>
        <v>0</v>
      </c>
      <c r="AY69" s="4304">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305">
        <f t="shared" si="35"/>
        <v>0</v>
      </c>
    </row>
    <row r="70" spans="1:72">
      <c r="A70" s="4293"/>
      <c r="B70" s="4294"/>
      <c r="C70" s="4294"/>
      <c r="D70" s="4295"/>
      <c r="E70" s="4296">
        <f t="shared" si="7"/>
        <v>0</v>
      </c>
      <c r="F70" s="4297"/>
      <c r="G70" s="4298">
        <f t="shared" si="8"/>
        <v>0</v>
      </c>
      <c r="H70" s="4299">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4296">
        <f t="shared" si="10"/>
        <v>0</v>
      </c>
      <c r="AD70" s="4301"/>
      <c r="AE70" s="4301"/>
      <c r="AF70" s="4301"/>
      <c r="AG70" s="4301"/>
      <c r="AH70" s="4301"/>
      <c r="AI70" s="4301"/>
      <c r="AJ70" s="4301"/>
      <c r="AK70" s="4301"/>
      <c r="AL70" s="4301"/>
      <c r="AM70" s="4301"/>
      <c r="AN70" s="4301"/>
      <c r="AO70" s="4301"/>
      <c r="AP70" s="4301"/>
      <c r="AQ70" s="4301"/>
      <c r="AR70" s="4301"/>
      <c r="AS70" s="4301"/>
      <c r="AT70" s="4302"/>
      <c r="AU70" s="4303"/>
      <c r="AV70" s="1463">
        <f t="shared" si="11"/>
        <v>0</v>
      </c>
      <c r="AW70" s="1463">
        <f t="shared" si="12"/>
        <v>0</v>
      </c>
      <c r="AX70" s="1463">
        <f t="shared" si="13"/>
        <v>0</v>
      </c>
      <c r="AY70" s="4304">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305">
        <f t="shared" si="35"/>
        <v>0</v>
      </c>
    </row>
    <row r="71" spans="1:72">
      <c r="A71" s="4293"/>
      <c r="B71" s="4294"/>
      <c r="C71" s="4294"/>
      <c r="D71" s="4295"/>
      <c r="E71" s="4296">
        <f t="shared" si="7"/>
        <v>0</v>
      </c>
      <c r="F71" s="4297"/>
      <c r="G71" s="4298">
        <f t="shared" si="8"/>
        <v>0</v>
      </c>
      <c r="H71" s="4299">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4296">
        <f t="shared" si="10"/>
        <v>0</v>
      </c>
      <c r="AD71" s="4301"/>
      <c r="AE71" s="4301"/>
      <c r="AF71" s="4301"/>
      <c r="AG71" s="4301"/>
      <c r="AH71" s="4301"/>
      <c r="AI71" s="4301"/>
      <c r="AJ71" s="4301"/>
      <c r="AK71" s="4301"/>
      <c r="AL71" s="4301"/>
      <c r="AM71" s="4301"/>
      <c r="AN71" s="4301"/>
      <c r="AO71" s="4301"/>
      <c r="AP71" s="4301"/>
      <c r="AQ71" s="4301"/>
      <c r="AR71" s="4301"/>
      <c r="AS71" s="4301"/>
      <c r="AT71" s="4302"/>
      <c r="AU71" s="4303"/>
      <c r="AV71" s="1463">
        <f t="shared" si="11"/>
        <v>0</v>
      </c>
      <c r="AW71" s="1463">
        <f t="shared" si="12"/>
        <v>0</v>
      </c>
      <c r="AX71" s="1463">
        <f t="shared" si="13"/>
        <v>0</v>
      </c>
      <c r="AY71" s="4304">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305">
        <f t="shared" si="35"/>
        <v>0</v>
      </c>
    </row>
    <row r="72" spans="1:72">
      <c r="A72" s="4293"/>
      <c r="B72" s="4294"/>
      <c r="C72" s="4294"/>
      <c r="D72" s="4295"/>
      <c r="E72" s="4296">
        <f t="shared" si="7"/>
        <v>0</v>
      </c>
      <c r="F72" s="4297"/>
      <c r="G72" s="4298">
        <f t="shared" si="8"/>
        <v>0</v>
      </c>
      <c r="H72" s="4299">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4296">
        <f t="shared" si="10"/>
        <v>0</v>
      </c>
      <c r="AD72" s="4301"/>
      <c r="AE72" s="4301"/>
      <c r="AF72" s="4301"/>
      <c r="AG72" s="4301"/>
      <c r="AH72" s="4301"/>
      <c r="AI72" s="4301"/>
      <c r="AJ72" s="4301"/>
      <c r="AK72" s="4301"/>
      <c r="AL72" s="4301"/>
      <c r="AM72" s="4301"/>
      <c r="AN72" s="4301"/>
      <c r="AO72" s="4301"/>
      <c r="AP72" s="4301"/>
      <c r="AQ72" s="4301"/>
      <c r="AR72" s="4301"/>
      <c r="AS72" s="4301"/>
      <c r="AT72" s="4302"/>
      <c r="AU72" s="4303"/>
      <c r="AV72" s="1463">
        <f t="shared" si="11"/>
        <v>0</v>
      </c>
      <c r="AW72" s="1463">
        <f t="shared" si="12"/>
        <v>0</v>
      </c>
      <c r="AX72" s="1463">
        <f t="shared" si="13"/>
        <v>0</v>
      </c>
      <c r="AY72" s="4304">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305">
        <f t="shared" si="35"/>
        <v>0</v>
      </c>
    </row>
    <row r="73" spans="1:72">
      <c r="A73" s="4293"/>
      <c r="B73" s="4294"/>
      <c r="C73" s="4294"/>
      <c r="D73" s="4295"/>
      <c r="E73" s="4296">
        <f t="shared" si="7"/>
        <v>0</v>
      </c>
      <c r="F73" s="4297"/>
      <c r="G73" s="4298">
        <f t="shared" si="8"/>
        <v>0</v>
      </c>
      <c r="H73" s="4299">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4296">
        <f t="shared" si="10"/>
        <v>0</v>
      </c>
      <c r="AD73" s="4301"/>
      <c r="AE73" s="4301"/>
      <c r="AF73" s="4301"/>
      <c r="AG73" s="4301"/>
      <c r="AH73" s="4301"/>
      <c r="AI73" s="4301"/>
      <c r="AJ73" s="4301"/>
      <c r="AK73" s="4301"/>
      <c r="AL73" s="4301"/>
      <c r="AM73" s="4301"/>
      <c r="AN73" s="4301"/>
      <c r="AO73" s="4301"/>
      <c r="AP73" s="4301"/>
      <c r="AQ73" s="4301"/>
      <c r="AR73" s="4301"/>
      <c r="AS73" s="4301"/>
      <c r="AT73" s="4302"/>
      <c r="AU73" s="4303"/>
      <c r="AV73" s="1463">
        <f t="shared" si="11"/>
        <v>0</v>
      </c>
      <c r="AW73" s="1463">
        <f t="shared" si="12"/>
        <v>0</v>
      </c>
      <c r="AX73" s="1463">
        <f t="shared" si="13"/>
        <v>0</v>
      </c>
      <c r="AY73" s="4304">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305">
        <f t="shared" si="35"/>
        <v>0</v>
      </c>
    </row>
    <row r="74" spans="1:72">
      <c r="A74" s="4293"/>
      <c r="B74" s="4294"/>
      <c r="C74" s="4294"/>
      <c r="D74" s="4295"/>
      <c r="E74" s="4296">
        <f t="shared" si="7"/>
        <v>0</v>
      </c>
      <c r="F74" s="4297"/>
      <c r="G74" s="4298">
        <f t="shared" si="8"/>
        <v>0</v>
      </c>
      <c r="H74" s="4299">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4296">
        <f t="shared" si="10"/>
        <v>0</v>
      </c>
      <c r="AD74" s="4301"/>
      <c r="AE74" s="4301"/>
      <c r="AF74" s="4301"/>
      <c r="AG74" s="4301"/>
      <c r="AH74" s="4301"/>
      <c r="AI74" s="4301"/>
      <c r="AJ74" s="4301"/>
      <c r="AK74" s="4301"/>
      <c r="AL74" s="4301"/>
      <c r="AM74" s="4301"/>
      <c r="AN74" s="4301"/>
      <c r="AO74" s="4301"/>
      <c r="AP74" s="4301"/>
      <c r="AQ74" s="4301"/>
      <c r="AR74" s="4301"/>
      <c r="AS74" s="4301"/>
      <c r="AT74" s="4302"/>
      <c r="AU74" s="4303"/>
      <c r="AV74" s="1463">
        <f t="shared" si="11"/>
        <v>0</v>
      </c>
      <c r="AW74" s="1463">
        <f t="shared" si="12"/>
        <v>0</v>
      </c>
      <c r="AX74" s="1463">
        <f t="shared" si="13"/>
        <v>0</v>
      </c>
      <c r="AY74" s="4304">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305">
        <f t="shared" si="35"/>
        <v>0</v>
      </c>
    </row>
    <row r="75" spans="1:72">
      <c r="A75" s="4293"/>
      <c r="B75" s="4294"/>
      <c r="C75" s="4294"/>
      <c r="D75" s="4295"/>
      <c r="E75" s="4296">
        <f t="shared" si="7"/>
        <v>0</v>
      </c>
      <c r="F75" s="4297"/>
      <c r="G75" s="4298">
        <f t="shared" si="8"/>
        <v>0</v>
      </c>
      <c r="H75" s="4299">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4296">
        <f t="shared" si="10"/>
        <v>0</v>
      </c>
      <c r="AD75" s="4301"/>
      <c r="AE75" s="4301"/>
      <c r="AF75" s="4301"/>
      <c r="AG75" s="4301"/>
      <c r="AH75" s="4301"/>
      <c r="AI75" s="4301"/>
      <c r="AJ75" s="4301"/>
      <c r="AK75" s="4301"/>
      <c r="AL75" s="4301"/>
      <c r="AM75" s="4301"/>
      <c r="AN75" s="4301"/>
      <c r="AO75" s="4301"/>
      <c r="AP75" s="4301"/>
      <c r="AQ75" s="4301"/>
      <c r="AR75" s="4301"/>
      <c r="AS75" s="4301"/>
      <c r="AT75" s="4302"/>
      <c r="AU75" s="4303"/>
      <c r="AV75" s="1463">
        <f t="shared" si="11"/>
        <v>0</v>
      </c>
      <c r="AW75" s="1463">
        <f t="shared" si="12"/>
        <v>0</v>
      </c>
      <c r="AX75" s="1463">
        <f t="shared" si="13"/>
        <v>0</v>
      </c>
      <c r="AY75" s="4304">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305">
        <f t="shared" si="35"/>
        <v>0</v>
      </c>
    </row>
    <row r="76" spans="1:72">
      <c r="A76" s="4293"/>
      <c r="B76" s="4294"/>
      <c r="C76" s="4294"/>
      <c r="D76" s="4295"/>
      <c r="E76" s="4296">
        <f t="shared" si="7"/>
        <v>0</v>
      </c>
      <c r="F76" s="4297"/>
      <c r="G76" s="4298">
        <f t="shared" si="8"/>
        <v>0</v>
      </c>
      <c r="H76" s="4299">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4296">
        <f t="shared" si="10"/>
        <v>0</v>
      </c>
      <c r="AD76" s="4301"/>
      <c r="AE76" s="4301"/>
      <c r="AF76" s="4301"/>
      <c r="AG76" s="4301"/>
      <c r="AH76" s="4301"/>
      <c r="AI76" s="4301"/>
      <c r="AJ76" s="4301"/>
      <c r="AK76" s="4301"/>
      <c r="AL76" s="4301"/>
      <c r="AM76" s="4301"/>
      <c r="AN76" s="4301"/>
      <c r="AO76" s="4301"/>
      <c r="AP76" s="4301"/>
      <c r="AQ76" s="4301"/>
      <c r="AR76" s="4301"/>
      <c r="AS76" s="4301"/>
      <c r="AT76" s="4302"/>
      <c r="AU76" s="4303"/>
      <c r="AV76" s="1463">
        <f t="shared" si="11"/>
        <v>0</v>
      </c>
      <c r="AW76" s="1463">
        <f t="shared" si="12"/>
        <v>0</v>
      </c>
      <c r="AX76" s="1463">
        <f t="shared" si="13"/>
        <v>0</v>
      </c>
      <c r="AY76" s="4304">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305">
        <f t="shared" si="35"/>
        <v>0</v>
      </c>
    </row>
    <row r="77" spans="1:72">
      <c r="A77" s="4293"/>
      <c r="B77" s="4294"/>
      <c r="C77" s="4294"/>
      <c r="D77" s="4295"/>
      <c r="E77" s="4296">
        <f t="shared" si="7"/>
        <v>0</v>
      </c>
      <c r="F77" s="4297"/>
      <c r="G77" s="4298">
        <f t="shared" si="8"/>
        <v>0</v>
      </c>
      <c r="H77" s="4299">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4296">
        <f t="shared" si="10"/>
        <v>0</v>
      </c>
      <c r="AD77" s="4301"/>
      <c r="AE77" s="4301"/>
      <c r="AF77" s="4301"/>
      <c r="AG77" s="4301"/>
      <c r="AH77" s="4301"/>
      <c r="AI77" s="4301"/>
      <c r="AJ77" s="4301"/>
      <c r="AK77" s="4301"/>
      <c r="AL77" s="4301"/>
      <c r="AM77" s="4301"/>
      <c r="AN77" s="4301"/>
      <c r="AO77" s="4301"/>
      <c r="AP77" s="4301"/>
      <c r="AQ77" s="4301"/>
      <c r="AR77" s="4301"/>
      <c r="AS77" s="4301"/>
      <c r="AT77" s="4302"/>
      <c r="AU77" s="4303"/>
      <c r="AV77" s="1463">
        <f t="shared" si="11"/>
        <v>0</v>
      </c>
      <c r="AW77" s="1463">
        <f t="shared" si="12"/>
        <v>0</v>
      </c>
      <c r="AX77" s="1463">
        <f t="shared" si="13"/>
        <v>0</v>
      </c>
      <c r="AY77" s="4304">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305">
        <f t="shared" si="35"/>
        <v>0</v>
      </c>
    </row>
    <row r="78" spans="1:72">
      <c r="A78" s="4293"/>
      <c r="B78" s="4294"/>
      <c r="C78" s="4294"/>
      <c r="D78" s="4295"/>
      <c r="E78" s="4296">
        <f t="shared" si="7"/>
        <v>0</v>
      </c>
      <c r="F78" s="4297"/>
      <c r="G78" s="4298">
        <f t="shared" si="8"/>
        <v>0</v>
      </c>
      <c r="H78" s="4299">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4296">
        <f t="shared" si="10"/>
        <v>0</v>
      </c>
      <c r="AD78" s="4301"/>
      <c r="AE78" s="4301"/>
      <c r="AF78" s="4301"/>
      <c r="AG78" s="4301"/>
      <c r="AH78" s="4301"/>
      <c r="AI78" s="4301"/>
      <c r="AJ78" s="4301"/>
      <c r="AK78" s="4301"/>
      <c r="AL78" s="4301"/>
      <c r="AM78" s="4301"/>
      <c r="AN78" s="4301"/>
      <c r="AO78" s="4301"/>
      <c r="AP78" s="4301"/>
      <c r="AQ78" s="4301"/>
      <c r="AR78" s="4301"/>
      <c r="AS78" s="4301"/>
      <c r="AT78" s="4302"/>
      <c r="AU78" s="4303"/>
      <c r="AV78" s="1463">
        <f t="shared" si="11"/>
        <v>0</v>
      </c>
      <c r="AW78" s="1463">
        <f t="shared" si="12"/>
        <v>0</v>
      </c>
      <c r="AX78" s="1463">
        <f t="shared" si="13"/>
        <v>0</v>
      </c>
      <c r="AY78" s="4304">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305">
        <f t="shared" si="35"/>
        <v>0</v>
      </c>
    </row>
    <row r="79" spans="1:72">
      <c r="A79" s="4293"/>
      <c r="B79" s="4294"/>
      <c r="C79" s="4294"/>
      <c r="D79" s="4295"/>
      <c r="E79" s="4296">
        <f t="shared" si="7"/>
        <v>0</v>
      </c>
      <c r="F79" s="4297"/>
      <c r="G79" s="4298">
        <f t="shared" si="8"/>
        <v>0</v>
      </c>
      <c r="H79" s="4299">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4296">
        <f t="shared" si="10"/>
        <v>0</v>
      </c>
      <c r="AD79" s="4301"/>
      <c r="AE79" s="4301"/>
      <c r="AF79" s="4301"/>
      <c r="AG79" s="4301"/>
      <c r="AH79" s="4301"/>
      <c r="AI79" s="4301"/>
      <c r="AJ79" s="4301"/>
      <c r="AK79" s="4301"/>
      <c r="AL79" s="4301"/>
      <c r="AM79" s="4301"/>
      <c r="AN79" s="4301"/>
      <c r="AO79" s="4301"/>
      <c r="AP79" s="4301"/>
      <c r="AQ79" s="4301"/>
      <c r="AR79" s="4301"/>
      <c r="AS79" s="4301"/>
      <c r="AT79" s="4302"/>
      <c r="AU79" s="4303"/>
      <c r="AV79" s="1463">
        <f t="shared" si="11"/>
        <v>0</v>
      </c>
      <c r="AW79" s="1463">
        <f t="shared" si="12"/>
        <v>0</v>
      </c>
      <c r="AX79" s="1463">
        <f t="shared" si="13"/>
        <v>0</v>
      </c>
      <c r="AY79" s="4304">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305">
        <f t="shared" si="35"/>
        <v>0</v>
      </c>
    </row>
    <row r="80" spans="1:72">
      <c r="A80" s="4293"/>
      <c r="B80" s="4294"/>
      <c r="C80" s="4294"/>
      <c r="D80" s="4295"/>
      <c r="E80" s="4296">
        <f t="shared" si="7"/>
        <v>0</v>
      </c>
      <c r="F80" s="4297"/>
      <c r="G80" s="4298">
        <f t="shared" si="8"/>
        <v>0</v>
      </c>
      <c r="H80" s="4299">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4296">
        <f t="shared" si="10"/>
        <v>0</v>
      </c>
      <c r="AD80" s="4301"/>
      <c r="AE80" s="4301"/>
      <c r="AF80" s="4301"/>
      <c r="AG80" s="4301"/>
      <c r="AH80" s="4301"/>
      <c r="AI80" s="4301"/>
      <c r="AJ80" s="4301"/>
      <c r="AK80" s="4301"/>
      <c r="AL80" s="4301"/>
      <c r="AM80" s="4301"/>
      <c r="AN80" s="4301"/>
      <c r="AO80" s="4301"/>
      <c r="AP80" s="4301"/>
      <c r="AQ80" s="4301"/>
      <c r="AR80" s="4301"/>
      <c r="AS80" s="4301"/>
      <c r="AT80" s="4302"/>
      <c r="AU80" s="4303"/>
      <c r="AV80" s="1463">
        <f t="shared" si="11"/>
        <v>0</v>
      </c>
      <c r="AW80" s="1463">
        <f t="shared" si="12"/>
        <v>0</v>
      </c>
      <c r="AX80" s="1463">
        <f t="shared" si="13"/>
        <v>0</v>
      </c>
      <c r="AY80" s="4304">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305">
        <f t="shared" si="35"/>
        <v>0</v>
      </c>
    </row>
    <row r="81" spans="1:72">
      <c r="A81" s="4293"/>
      <c r="B81" s="4294"/>
      <c r="C81" s="4294"/>
      <c r="D81" s="4295"/>
      <c r="E81" s="4296">
        <f t="shared" si="7"/>
        <v>0</v>
      </c>
      <c r="F81" s="4297"/>
      <c r="G81" s="4298">
        <f t="shared" si="8"/>
        <v>0</v>
      </c>
      <c r="H81" s="4299">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4296">
        <f t="shared" si="10"/>
        <v>0</v>
      </c>
      <c r="AD81" s="4301"/>
      <c r="AE81" s="4301"/>
      <c r="AF81" s="4301"/>
      <c r="AG81" s="4301"/>
      <c r="AH81" s="4301"/>
      <c r="AI81" s="4301"/>
      <c r="AJ81" s="4301"/>
      <c r="AK81" s="4301"/>
      <c r="AL81" s="4301"/>
      <c r="AM81" s="4301"/>
      <c r="AN81" s="4301"/>
      <c r="AO81" s="4301"/>
      <c r="AP81" s="4301"/>
      <c r="AQ81" s="4301"/>
      <c r="AR81" s="4301"/>
      <c r="AS81" s="4301"/>
      <c r="AT81" s="4302"/>
      <c r="AU81" s="4303"/>
      <c r="AV81" s="1463">
        <f t="shared" si="11"/>
        <v>0</v>
      </c>
      <c r="AW81" s="1463">
        <f t="shared" si="12"/>
        <v>0</v>
      </c>
      <c r="AX81" s="1463">
        <f t="shared" si="13"/>
        <v>0</v>
      </c>
      <c r="AY81" s="4304">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305">
        <f t="shared" si="35"/>
        <v>0</v>
      </c>
    </row>
    <row r="82" spans="1:72">
      <c r="A82" s="4293"/>
      <c r="B82" s="4294"/>
      <c r="C82" s="4294"/>
      <c r="D82" s="4295"/>
      <c r="E82" s="4296">
        <f t="shared" si="7"/>
        <v>0</v>
      </c>
      <c r="F82" s="4297"/>
      <c r="G82" s="4298">
        <f t="shared" si="8"/>
        <v>0</v>
      </c>
      <c r="H82" s="4299">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4296">
        <f t="shared" si="10"/>
        <v>0</v>
      </c>
      <c r="AD82" s="4301"/>
      <c r="AE82" s="4301"/>
      <c r="AF82" s="4301"/>
      <c r="AG82" s="4301"/>
      <c r="AH82" s="4301"/>
      <c r="AI82" s="4301"/>
      <c r="AJ82" s="4301"/>
      <c r="AK82" s="4301"/>
      <c r="AL82" s="4301"/>
      <c r="AM82" s="4301"/>
      <c r="AN82" s="4301"/>
      <c r="AO82" s="4301"/>
      <c r="AP82" s="4301"/>
      <c r="AQ82" s="4301"/>
      <c r="AR82" s="4301"/>
      <c r="AS82" s="4301"/>
      <c r="AT82" s="4302"/>
      <c r="AU82" s="4303"/>
      <c r="AV82" s="1463">
        <f t="shared" si="11"/>
        <v>0</v>
      </c>
      <c r="AW82" s="1463">
        <f t="shared" si="12"/>
        <v>0</v>
      </c>
      <c r="AX82" s="1463">
        <f t="shared" si="13"/>
        <v>0</v>
      </c>
      <c r="AY82" s="4304">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305">
        <f t="shared" si="35"/>
        <v>0</v>
      </c>
    </row>
    <row r="83" spans="1:72">
      <c r="A83" s="4293"/>
      <c r="B83" s="4294"/>
      <c r="C83" s="4294"/>
      <c r="D83" s="4295"/>
      <c r="E83" s="4296">
        <f t="shared" si="7"/>
        <v>0</v>
      </c>
      <c r="F83" s="4297"/>
      <c r="G83" s="4298">
        <f t="shared" si="8"/>
        <v>0</v>
      </c>
      <c r="H83" s="4299">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4296">
        <f t="shared" si="10"/>
        <v>0</v>
      </c>
      <c r="AD83" s="4301"/>
      <c r="AE83" s="4301"/>
      <c r="AF83" s="4301"/>
      <c r="AG83" s="4301"/>
      <c r="AH83" s="4301"/>
      <c r="AI83" s="4301"/>
      <c r="AJ83" s="4301"/>
      <c r="AK83" s="4301"/>
      <c r="AL83" s="4301"/>
      <c r="AM83" s="4301"/>
      <c r="AN83" s="4301"/>
      <c r="AO83" s="4301"/>
      <c r="AP83" s="4301"/>
      <c r="AQ83" s="4301"/>
      <c r="AR83" s="4301"/>
      <c r="AS83" s="4301"/>
      <c r="AT83" s="4302"/>
      <c r="AU83" s="4303"/>
      <c r="AV83" s="1463">
        <f t="shared" si="11"/>
        <v>0</v>
      </c>
      <c r="AW83" s="1463">
        <f t="shared" si="12"/>
        <v>0</v>
      </c>
      <c r="AX83" s="1463">
        <f t="shared" si="13"/>
        <v>0</v>
      </c>
      <c r="AY83" s="4304">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305">
        <f t="shared" si="35"/>
        <v>0</v>
      </c>
    </row>
    <row r="84" spans="1:72">
      <c r="A84" s="4293"/>
      <c r="B84" s="4294"/>
      <c r="C84" s="4294"/>
      <c r="D84" s="4295"/>
      <c r="E84" s="4296">
        <f t="shared" si="7"/>
        <v>0</v>
      </c>
      <c r="F84" s="4297"/>
      <c r="G84" s="4298">
        <f t="shared" si="8"/>
        <v>0</v>
      </c>
      <c r="H84" s="4299">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4296">
        <f t="shared" si="10"/>
        <v>0</v>
      </c>
      <c r="AD84" s="4301"/>
      <c r="AE84" s="4301"/>
      <c r="AF84" s="4301"/>
      <c r="AG84" s="4301"/>
      <c r="AH84" s="4301"/>
      <c r="AI84" s="4301"/>
      <c r="AJ84" s="4301"/>
      <c r="AK84" s="4301"/>
      <c r="AL84" s="4301"/>
      <c r="AM84" s="4301"/>
      <c r="AN84" s="4301"/>
      <c r="AO84" s="4301"/>
      <c r="AP84" s="4301"/>
      <c r="AQ84" s="4301"/>
      <c r="AR84" s="4301"/>
      <c r="AS84" s="4301"/>
      <c r="AT84" s="4302"/>
      <c r="AU84" s="4303"/>
      <c r="AV84" s="1463">
        <f t="shared" si="11"/>
        <v>0</v>
      </c>
      <c r="AW84" s="1463">
        <f t="shared" si="12"/>
        <v>0</v>
      </c>
      <c r="AX84" s="1463">
        <f t="shared" si="13"/>
        <v>0</v>
      </c>
      <c r="AY84" s="4304">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305">
        <f t="shared" si="35"/>
        <v>0</v>
      </c>
    </row>
    <row r="85" spans="1:72">
      <c r="A85" s="4293"/>
      <c r="B85" s="4294"/>
      <c r="C85" s="4294"/>
      <c r="D85" s="4295"/>
      <c r="E85" s="4296">
        <f t="shared" si="7"/>
        <v>0</v>
      </c>
      <c r="F85" s="4297"/>
      <c r="G85" s="4298">
        <f t="shared" si="8"/>
        <v>0</v>
      </c>
      <c r="H85" s="4299">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4296">
        <f t="shared" si="10"/>
        <v>0</v>
      </c>
      <c r="AD85" s="4301"/>
      <c r="AE85" s="4301"/>
      <c r="AF85" s="4301"/>
      <c r="AG85" s="4301"/>
      <c r="AH85" s="4301"/>
      <c r="AI85" s="4301"/>
      <c r="AJ85" s="4301"/>
      <c r="AK85" s="4301"/>
      <c r="AL85" s="4301"/>
      <c r="AM85" s="4301"/>
      <c r="AN85" s="4301"/>
      <c r="AO85" s="4301"/>
      <c r="AP85" s="4301"/>
      <c r="AQ85" s="4301"/>
      <c r="AR85" s="4301"/>
      <c r="AS85" s="4301"/>
      <c r="AT85" s="4302"/>
      <c r="AU85" s="4303"/>
      <c r="AV85" s="1463">
        <f t="shared" si="11"/>
        <v>0</v>
      </c>
      <c r="AW85" s="1463">
        <f t="shared" si="12"/>
        <v>0</v>
      </c>
      <c r="AX85" s="1463">
        <f t="shared" si="13"/>
        <v>0</v>
      </c>
      <c r="AY85" s="4304">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305">
        <f t="shared" si="35"/>
        <v>0</v>
      </c>
    </row>
    <row r="86" spans="1:72">
      <c r="A86" s="4293"/>
      <c r="B86" s="4294"/>
      <c r="C86" s="4294"/>
      <c r="D86" s="4295"/>
      <c r="E86" s="4296">
        <f t="shared" si="7"/>
        <v>0</v>
      </c>
      <c r="F86" s="4297"/>
      <c r="G86" s="4298">
        <f t="shared" si="8"/>
        <v>0</v>
      </c>
      <c r="H86" s="4299">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4296">
        <f t="shared" si="10"/>
        <v>0</v>
      </c>
      <c r="AD86" s="4301"/>
      <c r="AE86" s="4301"/>
      <c r="AF86" s="4301"/>
      <c r="AG86" s="4301"/>
      <c r="AH86" s="4301"/>
      <c r="AI86" s="4301"/>
      <c r="AJ86" s="4301"/>
      <c r="AK86" s="4301"/>
      <c r="AL86" s="4301"/>
      <c r="AM86" s="4301"/>
      <c r="AN86" s="4301"/>
      <c r="AO86" s="4301"/>
      <c r="AP86" s="4301"/>
      <c r="AQ86" s="4301"/>
      <c r="AR86" s="4301"/>
      <c r="AS86" s="4301"/>
      <c r="AT86" s="4302"/>
      <c r="AU86" s="4303"/>
      <c r="AV86" s="1463">
        <f t="shared" si="11"/>
        <v>0</v>
      </c>
      <c r="AW86" s="1463">
        <f t="shared" si="12"/>
        <v>0</v>
      </c>
      <c r="AX86" s="1463">
        <f t="shared" si="13"/>
        <v>0</v>
      </c>
      <c r="AY86" s="4304">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305">
        <f t="shared" si="35"/>
        <v>0</v>
      </c>
    </row>
    <row r="87" spans="1:72">
      <c r="A87" s="4293"/>
      <c r="B87" s="4294"/>
      <c r="C87" s="4294"/>
      <c r="D87" s="4295"/>
      <c r="E87" s="4296">
        <f t="shared" si="7"/>
        <v>0</v>
      </c>
      <c r="F87" s="4297"/>
      <c r="G87" s="4298">
        <f t="shared" si="8"/>
        <v>0</v>
      </c>
      <c r="H87" s="4299">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4296">
        <f t="shared" si="10"/>
        <v>0</v>
      </c>
      <c r="AD87" s="4301"/>
      <c r="AE87" s="4301"/>
      <c r="AF87" s="4301"/>
      <c r="AG87" s="4301"/>
      <c r="AH87" s="4301"/>
      <c r="AI87" s="4301"/>
      <c r="AJ87" s="4301"/>
      <c r="AK87" s="4301"/>
      <c r="AL87" s="4301"/>
      <c r="AM87" s="4301"/>
      <c r="AN87" s="4301"/>
      <c r="AO87" s="4301"/>
      <c r="AP87" s="4301"/>
      <c r="AQ87" s="4301"/>
      <c r="AR87" s="4301"/>
      <c r="AS87" s="4301"/>
      <c r="AT87" s="4302"/>
      <c r="AU87" s="4303"/>
      <c r="AV87" s="1463">
        <f t="shared" si="11"/>
        <v>0</v>
      </c>
      <c r="AW87" s="1463">
        <f t="shared" si="12"/>
        <v>0</v>
      </c>
      <c r="AX87" s="1463">
        <f t="shared" si="13"/>
        <v>0</v>
      </c>
      <c r="AY87" s="4304">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305">
        <f t="shared" si="35"/>
        <v>0</v>
      </c>
    </row>
    <row r="88" spans="1:72">
      <c r="A88" s="4293"/>
      <c r="B88" s="4294"/>
      <c r="C88" s="4294"/>
      <c r="D88" s="4295"/>
      <c r="E88" s="4296">
        <f t="shared" si="7"/>
        <v>0</v>
      </c>
      <c r="F88" s="4297"/>
      <c r="G88" s="4298">
        <f t="shared" si="8"/>
        <v>0</v>
      </c>
      <c r="H88" s="4299">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4296">
        <f t="shared" si="10"/>
        <v>0</v>
      </c>
      <c r="AD88" s="4301"/>
      <c r="AE88" s="4301"/>
      <c r="AF88" s="4301"/>
      <c r="AG88" s="4301"/>
      <c r="AH88" s="4301"/>
      <c r="AI88" s="4301"/>
      <c r="AJ88" s="4301"/>
      <c r="AK88" s="4301"/>
      <c r="AL88" s="4301"/>
      <c r="AM88" s="4301"/>
      <c r="AN88" s="4301"/>
      <c r="AO88" s="4301"/>
      <c r="AP88" s="4301"/>
      <c r="AQ88" s="4301"/>
      <c r="AR88" s="4301"/>
      <c r="AS88" s="4301"/>
      <c r="AT88" s="4302"/>
      <c r="AU88" s="4303"/>
      <c r="AV88" s="1463">
        <f t="shared" si="11"/>
        <v>0</v>
      </c>
      <c r="AW88" s="1463">
        <f t="shared" si="12"/>
        <v>0</v>
      </c>
      <c r="AX88" s="1463">
        <f t="shared" si="13"/>
        <v>0</v>
      </c>
      <c r="AY88" s="4304">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305">
        <f t="shared" si="35"/>
        <v>0</v>
      </c>
    </row>
    <row r="89" spans="1:72">
      <c r="A89" s="4293"/>
      <c r="B89" s="4294"/>
      <c r="C89" s="4294"/>
      <c r="D89" s="4295"/>
      <c r="E89" s="4296">
        <f t="shared" si="7"/>
        <v>0</v>
      </c>
      <c r="F89" s="4297"/>
      <c r="G89" s="4298">
        <f t="shared" si="8"/>
        <v>0</v>
      </c>
      <c r="H89" s="4299">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4296">
        <f t="shared" si="10"/>
        <v>0</v>
      </c>
      <c r="AD89" s="4301"/>
      <c r="AE89" s="4301"/>
      <c r="AF89" s="4301"/>
      <c r="AG89" s="4301"/>
      <c r="AH89" s="4301"/>
      <c r="AI89" s="4301"/>
      <c r="AJ89" s="4301"/>
      <c r="AK89" s="4301"/>
      <c r="AL89" s="4301"/>
      <c r="AM89" s="4301"/>
      <c r="AN89" s="4301"/>
      <c r="AO89" s="4301"/>
      <c r="AP89" s="4301"/>
      <c r="AQ89" s="4301"/>
      <c r="AR89" s="4301"/>
      <c r="AS89" s="4301"/>
      <c r="AT89" s="4302"/>
      <c r="AU89" s="4303"/>
      <c r="AV89" s="1463">
        <f t="shared" si="11"/>
        <v>0</v>
      </c>
      <c r="AW89" s="1463">
        <f t="shared" si="12"/>
        <v>0</v>
      </c>
      <c r="AX89" s="1463">
        <f t="shared" si="13"/>
        <v>0</v>
      </c>
      <c r="AY89" s="4304">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305">
        <f t="shared" si="35"/>
        <v>0</v>
      </c>
    </row>
    <row r="90" spans="1:72">
      <c r="A90" s="4293"/>
      <c r="B90" s="4294"/>
      <c r="C90" s="4294"/>
      <c r="D90" s="4295"/>
      <c r="E90" s="4296">
        <f t="shared" si="7"/>
        <v>0</v>
      </c>
      <c r="F90" s="4297"/>
      <c r="G90" s="4298">
        <f t="shared" si="8"/>
        <v>0</v>
      </c>
      <c r="H90" s="4299">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4296">
        <f t="shared" si="10"/>
        <v>0</v>
      </c>
      <c r="AD90" s="4301"/>
      <c r="AE90" s="4301"/>
      <c r="AF90" s="4301"/>
      <c r="AG90" s="4301"/>
      <c r="AH90" s="4301"/>
      <c r="AI90" s="4301"/>
      <c r="AJ90" s="4301"/>
      <c r="AK90" s="4301"/>
      <c r="AL90" s="4301"/>
      <c r="AM90" s="4301"/>
      <c r="AN90" s="4301"/>
      <c r="AO90" s="4301"/>
      <c r="AP90" s="4301"/>
      <c r="AQ90" s="4301"/>
      <c r="AR90" s="4301"/>
      <c r="AS90" s="4301"/>
      <c r="AT90" s="4302"/>
      <c r="AU90" s="4303"/>
      <c r="AV90" s="1463">
        <f t="shared" si="11"/>
        <v>0</v>
      </c>
      <c r="AW90" s="1463">
        <f t="shared" si="12"/>
        <v>0</v>
      </c>
      <c r="AX90" s="1463">
        <f t="shared" si="13"/>
        <v>0</v>
      </c>
      <c r="AY90" s="4304">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305">
        <f t="shared" si="35"/>
        <v>0</v>
      </c>
    </row>
    <row r="91" spans="1:72">
      <c r="A91" s="4293"/>
      <c r="B91" s="4294"/>
      <c r="C91" s="4294"/>
      <c r="D91" s="4295"/>
      <c r="E91" s="4296">
        <f t="shared" si="7"/>
        <v>0</v>
      </c>
      <c r="F91" s="4297"/>
      <c r="G91" s="4298">
        <f t="shared" si="8"/>
        <v>0</v>
      </c>
      <c r="H91" s="4299">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4296">
        <f t="shared" si="10"/>
        <v>0</v>
      </c>
      <c r="AD91" s="4301"/>
      <c r="AE91" s="4301"/>
      <c r="AF91" s="4301"/>
      <c r="AG91" s="4301"/>
      <c r="AH91" s="4301"/>
      <c r="AI91" s="4301"/>
      <c r="AJ91" s="4301"/>
      <c r="AK91" s="4301"/>
      <c r="AL91" s="4301"/>
      <c r="AM91" s="4301"/>
      <c r="AN91" s="4301"/>
      <c r="AO91" s="4301"/>
      <c r="AP91" s="4301"/>
      <c r="AQ91" s="4301"/>
      <c r="AR91" s="4301"/>
      <c r="AS91" s="4301"/>
      <c r="AT91" s="4302"/>
      <c r="AU91" s="4303"/>
      <c r="AV91" s="1463">
        <f t="shared" si="11"/>
        <v>0</v>
      </c>
      <c r="AW91" s="1463">
        <f t="shared" si="12"/>
        <v>0</v>
      </c>
      <c r="AX91" s="1463">
        <f t="shared" si="13"/>
        <v>0</v>
      </c>
      <c r="AY91" s="4304">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305">
        <f t="shared" si="35"/>
        <v>0</v>
      </c>
    </row>
    <row r="92" spans="1:72">
      <c r="A92" s="4293"/>
      <c r="B92" s="4294"/>
      <c r="C92" s="4294"/>
      <c r="D92" s="4295"/>
      <c r="E92" s="4296">
        <f t="shared" si="7"/>
        <v>0</v>
      </c>
      <c r="F92" s="4297"/>
      <c r="G92" s="4298">
        <f t="shared" si="8"/>
        <v>0</v>
      </c>
      <c r="H92" s="4299">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4296">
        <f t="shared" si="10"/>
        <v>0</v>
      </c>
      <c r="AD92" s="4301"/>
      <c r="AE92" s="4301"/>
      <c r="AF92" s="4301"/>
      <c r="AG92" s="4301"/>
      <c r="AH92" s="4301"/>
      <c r="AI92" s="4301"/>
      <c r="AJ92" s="4301"/>
      <c r="AK92" s="4301"/>
      <c r="AL92" s="4301"/>
      <c r="AM92" s="4301"/>
      <c r="AN92" s="4301"/>
      <c r="AO92" s="4301"/>
      <c r="AP92" s="4301"/>
      <c r="AQ92" s="4301"/>
      <c r="AR92" s="4301"/>
      <c r="AS92" s="4301"/>
      <c r="AT92" s="4302"/>
      <c r="AU92" s="4303"/>
      <c r="AV92" s="1463">
        <f t="shared" si="11"/>
        <v>0</v>
      </c>
      <c r="AW92" s="1463">
        <f t="shared" si="12"/>
        <v>0</v>
      </c>
      <c r="AX92" s="1463">
        <f t="shared" si="13"/>
        <v>0</v>
      </c>
      <c r="AY92" s="4304">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305">
        <f t="shared" si="35"/>
        <v>0</v>
      </c>
    </row>
    <row r="93" spans="1:72">
      <c r="A93" s="4293"/>
      <c r="B93" s="4294"/>
      <c r="C93" s="4294"/>
      <c r="D93" s="4295"/>
      <c r="E93" s="4296">
        <f t="shared" si="7"/>
        <v>0</v>
      </c>
      <c r="F93" s="4297"/>
      <c r="G93" s="4298">
        <f t="shared" si="8"/>
        <v>0</v>
      </c>
      <c r="H93" s="4299">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4296">
        <f t="shared" si="10"/>
        <v>0</v>
      </c>
      <c r="AD93" s="4301"/>
      <c r="AE93" s="4301"/>
      <c r="AF93" s="4301"/>
      <c r="AG93" s="4301"/>
      <c r="AH93" s="4301"/>
      <c r="AI93" s="4301"/>
      <c r="AJ93" s="4301"/>
      <c r="AK93" s="4301"/>
      <c r="AL93" s="4301"/>
      <c r="AM93" s="4301"/>
      <c r="AN93" s="4301"/>
      <c r="AO93" s="4301"/>
      <c r="AP93" s="4301"/>
      <c r="AQ93" s="4301"/>
      <c r="AR93" s="4301"/>
      <c r="AS93" s="4301"/>
      <c r="AT93" s="4302"/>
      <c r="AU93" s="4303"/>
      <c r="AV93" s="1463">
        <f t="shared" si="11"/>
        <v>0</v>
      </c>
      <c r="AW93" s="1463">
        <f t="shared" si="12"/>
        <v>0</v>
      </c>
      <c r="AX93" s="1463">
        <f t="shared" si="13"/>
        <v>0</v>
      </c>
      <c r="AY93" s="4304">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305">
        <f t="shared" si="35"/>
        <v>0</v>
      </c>
    </row>
    <row r="94" spans="1:72">
      <c r="A94" s="4293"/>
      <c r="B94" s="4294"/>
      <c r="C94" s="4294"/>
      <c r="D94" s="4295"/>
      <c r="E94" s="4296">
        <f t="shared" si="7"/>
        <v>0</v>
      </c>
      <c r="F94" s="4297"/>
      <c r="G94" s="4298">
        <f t="shared" si="8"/>
        <v>0</v>
      </c>
      <c r="H94" s="4299">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4296">
        <f t="shared" si="10"/>
        <v>0</v>
      </c>
      <c r="AD94" s="4301"/>
      <c r="AE94" s="4301"/>
      <c r="AF94" s="4301"/>
      <c r="AG94" s="4301"/>
      <c r="AH94" s="4301"/>
      <c r="AI94" s="4301"/>
      <c r="AJ94" s="4301"/>
      <c r="AK94" s="4301"/>
      <c r="AL94" s="4301"/>
      <c r="AM94" s="4301"/>
      <c r="AN94" s="4301"/>
      <c r="AO94" s="4301"/>
      <c r="AP94" s="4301"/>
      <c r="AQ94" s="4301"/>
      <c r="AR94" s="4301"/>
      <c r="AS94" s="4301"/>
      <c r="AT94" s="4302"/>
      <c r="AU94" s="4303"/>
      <c r="AV94" s="1463">
        <f t="shared" si="11"/>
        <v>0</v>
      </c>
      <c r="AW94" s="1463">
        <f t="shared" si="12"/>
        <v>0</v>
      </c>
      <c r="AX94" s="1463">
        <f t="shared" si="13"/>
        <v>0</v>
      </c>
      <c r="AY94" s="4304">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305">
        <f t="shared" si="35"/>
        <v>0</v>
      </c>
    </row>
    <row r="95" spans="1:72">
      <c r="A95" s="4293"/>
      <c r="B95" s="4294"/>
      <c r="C95" s="4294"/>
      <c r="D95" s="4295"/>
      <c r="E95" s="4296">
        <f t="shared" si="7"/>
        <v>0</v>
      </c>
      <c r="F95" s="4297"/>
      <c r="G95" s="4298">
        <f t="shared" si="8"/>
        <v>0</v>
      </c>
      <c r="H95" s="4299">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4296">
        <f t="shared" si="10"/>
        <v>0</v>
      </c>
      <c r="AD95" s="4301"/>
      <c r="AE95" s="4301"/>
      <c r="AF95" s="4301"/>
      <c r="AG95" s="4301"/>
      <c r="AH95" s="4301"/>
      <c r="AI95" s="4301"/>
      <c r="AJ95" s="4301"/>
      <c r="AK95" s="4301"/>
      <c r="AL95" s="4301"/>
      <c r="AM95" s="4301"/>
      <c r="AN95" s="4301"/>
      <c r="AO95" s="4301"/>
      <c r="AP95" s="4301"/>
      <c r="AQ95" s="4301"/>
      <c r="AR95" s="4301"/>
      <c r="AS95" s="4301"/>
      <c r="AT95" s="4302"/>
      <c r="AU95" s="4303"/>
      <c r="AV95" s="1463">
        <f t="shared" si="11"/>
        <v>0</v>
      </c>
      <c r="AW95" s="1463">
        <f t="shared" si="12"/>
        <v>0</v>
      </c>
      <c r="AX95" s="1463">
        <f t="shared" si="13"/>
        <v>0</v>
      </c>
      <c r="AY95" s="4304">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305">
        <f t="shared" si="35"/>
        <v>0</v>
      </c>
    </row>
    <row r="96" spans="1:72">
      <c r="A96" s="4293"/>
      <c r="B96" s="4294"/>
      <c r="C96" s="4294"/>
      <c r="D96" s="4295"/>
      <c r="E96" s="4296">
        <f t="shared" si="7"/>
        <v>0</v>
      </c>
      <c r="F96" s="4297"/>
      <c r="G96" s="4298">
        <f t="shared" si="8"/>
        <v>0</v>
      </c>
      <c r="H96" s="4299">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4296">
        <f t="shared" si="10"/>
        <v>0</v>
      </c>
      <c r="AD96" s="4301"/>
      <c r="AE96" s="4301"/>
      <c r="AF96" s="4301"/>
      <c r="AG96" s="4301"/>
      <c r="AH96" s="4301"/>
      <c r="AI96" s="4301"/>
      <c r="AJ96" s="4301"/>
      <c r="AK96" s="4301"/>
      <c r="AL96" s="4301"/>
      <c r="AM96" s="4301"/>
      <c r="AN96" s="4301"/>
      <c r="AO96" s="4301"/>
      <c r="AP96" s="4301"/>
      <c r="AQ96" s="4301"/>
      <c r="AR96" s="4301"/>
      <c r="AS96" s="4301"/>
      <c r="AT96" s="4302"/>
      <c r="AU96" s="4303"/>
      <c r="AV96" s="1463">
        <f t="shared" si="11"/>
        <v>0</v>
      </c>
      <c r="AW96" s="1463">
        <f t="shared" si="12"/>
        <v>0</v>
      </c>
      <c r="AX96" s="1463">
        <f t="shared" si="13"/>
        <v>0</v>
      </c>
      <c r="AY96" s="4304">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305">
        <f t="shared" si="35"/>
        <v>0</v>
      </c>
    </row>
    <row r="97" spans="1:72">
      <c r="A97" s="4293"/>
      <c r="B97" s="4294"/>
      <c r="C97" s="4294"/>
      <c r="D97" s="4295"/>
      <c r="E97" s="4296">
        <f t="shared" si="7"/>
        <v>0</v>
      </c>
      <c r="F97" s="4297"/>
      <c r="G97" s="4298">
        <f t="shared" si="8"/>
        <v>0</v>
      </c>
      <c r="H97" s="4299">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4296">
        <f t="shared" si="10"/>
        <v>0</v>
      </c>
      <c r="AD97" s="4301"/>
      <c r="AE97" s="4301"/>
      <c r="AF97" s="4301"/>
      <c r="AG97" s="4301"/>
      <c r="AH97" s="4301"/>
      <c r="AI97" s="4301"/>
      <c r="AJ97" s="4301"/>
      <c r="AK97" s="4301"/>
      <c r="AL97" s="4301"/>
      <c r="AM97" s="4301"/>
      <c r="AN97" s="4301"/>
      <c r="AO97" s="4301"/>
      <c r="AP97" s="4301"/>
      <c r="AQ97" s="4301"/>
      <c r="AR97" s="4301"/>
      <c r="AS97" s="4301"/>
      <c r="AT97" s="4302"/>
      <c r="AU97" s="4303"/>
      <c r="AV97" s="1463">
        <f t="shared" si="11"/>
        <v>0</v>
      </c>
      <c r="AW97" s="1463">
        <f t="shared" si="12"/>
        <v>0</v>
      </c>
      <c r="AX97" s="1463">
        <f t="shared" si="13"/>
        <v>0</v>
      </c>
      <c r="AY97" s="4304">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305">
        <f t="shared" si="35"/>
        <v>0</v>
      </c>
    </row>
    <row r="98" spans="1:72">
      <c r="A98" s="4293"/>
      <c r="B98" s="4294"/>
      <c r="C98" s="4294"/>
      <c r="D98" s="4295"/>
      <c r="E98" s="4296">
        <f t="shared" si="7"/>
        <v>0</v>
      </c>
      <c r="F98" s="4297"/>
      <c r="G98" s="4298">
        <f t="shared" si="8"/>
        <v>0</v>
      </c>
      <c r="H98" s="4299">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4296">
        <f t="shared" si="10"/>
        <v>0</v>
      </c>
      <c r="AD98" s="4301"/>
      <c r="AE98" s="4301"/>
      <c r="AF98" s="4301"/>
      <c r="AG98" s="4301"/>
      <c r="AH98" s="4301"/>
      <c r="AI98" s="4301"/>
      <c r="AJ98" s="4301"/>
      <c r="AK98" s="4301"/>
      <c r="AL98" s="4301"/>
      <c r="AM98" s="4301"/>
      <c r="AN98" s="4301"/>
      <c r="AO98" s="4301"/>
      <c r="AP98" s="4301"/>
      <c r="AQ98" s="4301"/>
      <c r="AR98" s="4301"/>
      <c r="AS98" s="4301"/>
      <c r="AT98" s="4302"/>
      <c r="AU98" s="4303"/>
      <c r="AV98" s="1463">
        <f t="shared" si="11"/>
        <v>0</v>
      </c>
      <c r="AW98" s="1463">
        <f t="shared" si="12"/>
        <v>0</v>
      </c>
      <c r="AX98" s="1463">
        <f t="shared" si="13"/>
        <v>0</v>
      </c>
      <c r="AY98" s="4304">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305">
        <f t="shared" si="35"/>
        <v>0</v>
      </c>
    </row>
    <row r="99" spans="1:72">
      <c r="A99" s="4293"/>
      <c r="B99" s="4294"/>
      <c r="C99" s="4294"/>
      <c r="D99" s="4295"/>
      <c r="E99" s="4296">
        <f t="shared" si="7"/>
        <v>0</v>
      </c>
      <c r="F99" s="4297"/>
      <c r="G99" s="4298">
        <f t="shared" si="8"/>
        <v>0</v>
      </c>
      <c r="H99" s="4299">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4296">
        <f t="shared" si="10"/>
        <v>0</v>
      </c>
      <c r="AD99" s="4301"/>
      <c r="AE99" s="4301"/>
      <c r="AF99" s="4301"/>
      <c r="AG99" s="4301"/>
      <c r="AH99" s="4301"/>
      <c r="AI99" s="4301"/>
      <c r="AJ99" s="4301"/>
      <c r="AK99" s="4301"/>
      <c r="AL99" s="4301"/>
      <c r="AM99" s="4301"/>
      <c r="AN99" s="4301"/>
      <c r="AO99" s="4301"/>
      <c r="AP99" s="4301"/>
      <c r="AQ99" s="4301"/>
      <c r="AR99" s="4301"/>
      <c r="AS99" s="4301"/>
      <c r="AT99" s="4302"/>
      <c r="AU99" s="4303"/>
      <c r="AV99" s="1463">
        <f t="shared" si="11"/>
        <v>0</v>
      </c>
      <c r="AW99" s="1463">
        <f t="shared" si="12"/>
        <v>0</v>
      </c>
      <c r="AX99" s="1463">
        <f t="shared" si="13"/>
        <v>0</v>
      </c>
      <c r="AY99" s="4304">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305">
        <f t="shared" si="35"/>
        <v>0</v>
      </c>
    </row>
    <row r="100" spans="1:72">
      <c r="A100" s="4293"/>
      <c r="B100" s="4294"/>
      <c r="C100" s="4294"/>
      <c r="D100" s="4295"/>
      <c r="E100" s="4296">
        <f t="shared" si="7"/>
        <v>0</v>
      </c>
      <c r="F100" s="4297"/>
      <c r="G100" s="4298">
        <f t="shared" si="8"/>
        <v>0</v>
      </c>
      <c r="H100" s="4299">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4296">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3"/>
      <c r="AV100" s="1463">
        <f t="shared" si="11"/>
        <v>0</v>
      </c>
      <c r="AW100" s="1463">
        <f t="shared" si="12"/>
        <v>0</v>
      </c>
      <c r="AX100" s="1463">
        <f t="shared" si="13"/>
        <v>0</v>
      </c>
      <c r="AY100" s="4304">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305">
        <f t="shared" si="35"/>
        <v>0</v>
      </c>
    </row>
    <row r="101" spans="1:72">
      <c r="A101" s="4293"/>
      <c r="B101" s="4294"/>
      <c r="C101" s="4294"/>
      <c r="D101" s="4295"/>
      <c r="E101" s="4296">
        <f t="shared" si="7"/>
        <v>0</v>
      </c>
      <c r="F101" s="4297"/>
      <c r="G101" s="4298">
        <f t="shared" si="8"/>
        <v>0</v>
      </c>
      <c r="H101" s="4299">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4296">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3"/>
      <c r="AV101" s="1463">
        <f t="shared" si="11"/>
        <v>0</v>
      </c>
      <c r="AW101" s="1463">
        <f t="shared" si="12"/>
        <v>0</v>
      </c>
      <c r="AX101" s="1463">
        <f t="shared" si="13"/>
        <v>0</v>
      </c>
      <c r="AY101" s="4304">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305">
        <f t="shared" si="35"/>
        <v>0</v>
      </c>
    </row>
    <row r="102" spans="1:72">
      <c r="A102" s="4293"/>
      <c r="B102" s="4294"/>
      <c r="C102" s="4294"/>
      <c r="D102" s="4295"/>
      <c r="E102" s="4296">
        <f t="shared" si="7"/>
        <v>0</v>
      </c>
      <c r="F102" s="4297"/>
      <c r="G102" s="4298">
        <f t="shared" si="8"/>
        <v>0</v>
      </c>
      <c r="H102" s="4299">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4296">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3"/>
      <c r="AV102" s="1463">
        <f t="shared" si="11"/>
        <v>0</v>
      </c>
      <c r="AW102" s="1463">
        <f t="shared" si="12"/>
        <v>0</v>
      </c>
      <c r="AX102" s="1463">
        <f t="shared" si="13"/>
        <v>0</v>
      </c>
      <c r="AY102" s="4304">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305">
        <f t="shared" si="35"/>
        <v>0</v>
      </c>
    </row>
    <row r="103" spans="1:72">
      <c r="A103" s="4293"/>
      <c r="B103" s="4294"/>
      <c r="C103" s="4294"/>
      <c r="D103" s="4295"/>
      <c r="E103" s="4296">
        <f t="shared" si="7"/>
        <v>0</v>
      </c>
      <c r="F103" s="4297"/>
      <c r="G103" s="4298">
        <f t="shared" si="8"/>
        <v>0</v>
      </c>
      <c r="H103" s="4299">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4296">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3"/>
      <c r="AV103" s="1463">
        <f t="shared" si="11"/>
        <v>0</v>
      </c>
      <c r="AW103" s="1463">
        <f t="shared" si="12"/>
        <v>0</v>
      </c>
      <c r="AX103" s="1463">
        <f t="shared" si="13"/>
        <v>0</v>
      </c>
      <c r="AY103" s="4304">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305">
        <f t="shared" si="35"/>
        <v>0</v>
      </c>
    </row>
    <row r="104" spans="1:72">
      <c r="A104" s="4293"/>
      <c r="B104" s="4294"/>
      <c r="C104" s="4294"/>
      <c r="D104" s="4295"/>
      <c r="E104" s="4296">
        <f t="shared" si="7"/>
        <v>0</v>
      </c>
      <c r="F104" s="4297"/>
      <c r="G104" s="4298">
        <f t="shared" si="8"/>
        <v>0</v>
      </c>
      <c r="H104" s="4299">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4296">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3"/>
      <c r="AV104" s="1463">
        <f t="shared" si="11"/>
        <v>0</v>
      </c>
      <c r="AW104" s="1463">
        <f t="shared" si="12"/>
        <v>0</v>
      </c>
      <c r="AX104" s="1463">
        <f t="shared" si="13"/>
        <v>0</v>
      </c>
      <c r="AY104" s="4304">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305">
        <f t="shared" si="35"/>
        <v>0</v>
      </c>
    </row>
    <row r="105" spans="1:72">
      <c r="A105" s="4293"/>
      <c r="B105" s="4294"/>
      <c r="C105" s="4294"/>
      <c r="D105" s="4295"/>
      <c r="E105" s="4296">
        <f t="shared" si="7"/>
        <v>0</v>
      </c>
      <c r="F105" s="4297"/>
      <c r="G105" s="4298">
        <f t="shared" si="8"/>
        <v>0</v>
      </c>
      <c r="H105" s="4299">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4296">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3"/>
      <c r="AV105" s="1463">
        <f t="shared" si="11"/>
        <v>0</v>
      </c>
      <c r="AW105" s="1463">
        <f t="shared" si="12"/>
        <v>0</v>
      </c>
      <c r="AX105" s="1463">
        <f t="shared" si="13"/>
        <v>0</v>
      </c>
      <c r="AY105" s="4304">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305">
        <f t="shared" si="35"/>
        <v>0</v>
      </c>
    </row>
    <row r="106" spans="1:72">
      <c r="A106" s="4293"/>
      <c r="B106" s="4294"/>
      <c r="C106" s="4294"/>
      <c r="D106" s="4295"/>
      <c r="E106" s="4296">
        <f t="shared" si="7"/>
        <v>0</v>
      </c>
      <c r="F106" s="4297"/>
      <c r="G106" s="4298">
        <f t="shared" si="8"/>
        <v>0</v>
      </c>
      <c r="H106" s="4299">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4296">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3"/>
      <c r="AV106" s="1463">
        <f t="shared" si="11"/>
        <v>0</v>
      </c>
      <c r="AW106" s="1463">
        <f t="shared" si="12"/>
        <v>0</v>
      </c>
      <c r="AX106" s="1463">
        <f t="shared" si="13"/>
        <v>0</v>
      </c>
      <c r="AY106" s="4304">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305">
        <f t="shared" si="35"/>
        <v>0</v>
      </c>
    </row>
    <row r="107" spans="1:72">
      <c r="A107" s="4293"/>
      <c r="B107" s="4294"/>
      <c r="C107" s="4294"/>
      <c r="D107" s="4295"/>
      <c r="E107" s="4296">
        <f t="shared" si="7"/>
        <v>0</v>
      </c>
      <c r="F107" s="4297"/>
      <c r="G107" s="4298">
        <f t="shared" si="8"/>
        <v>0</v>
      </c>
      <c r="H107" s="4299">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4296">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3"/>
      <c r="AV107" s="1463">
        <f t="shared" si="11"/>
        <v>0</v>
      </c>
      <c r="AW107" s="1463">
        <f t="shared" si="12"/>
        <v>0</v>
      </c>
      <c r="AX107" s="1463">
        <f t="shared" si="13"/>
        <v>0</v>
      </c>
      <c r="AY107" s="4304">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305">
        <f t="shared" si="35"/>
        <v>0</v>
      </c>
    </row>
    <row r="108" spans="1:72">
      <c r="A108" s="4293"/>
      <c r="B108" s="4294"/>
      <c r="C108" s="4294"/>
      <c r="D108" s="4295"/>
      <c r="E108" s="4296">
        <f t="shared" si="7"/>
        <v>0</v>
      </c>
      <c r="F108" s="4297"/>
      <c r="G108" s="4298">
        <f t="shared" si="8"/>
        <v>0</v>
      </c>
      <c r="H108" s="4299">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4296">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3"/>
      <c r="AV108" s="1463">
        <f t="shared" si="11"/>
        <v>0</v>
      </c>
      <c r="AW108" s="1463">
        <f t="shared" si="12"/>
        <v>0</v>
      </c>
      <c r="AX108" s="1463">
        <f t="shared" si="13"/>
        <v>0</v>
      </c>
      <c r="AY108" s="4304">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305">
        <f t="shared" si="35"/>
        <v>0</v>
      </c>
    </row>
    <row r="109" spans="1:72">
      <c r="A109" s="4293"/>
      <c r="B109" s="4294"/>
      <c r="C109" s="4294"/>
      <c r="D109" s="4295"/>
      <c r="E109" s="4296">
        <f t="shared" si="7"/>
        <v>0</v>
      </c>
      <c r="F109" s="4297"/>
      <c r="G109" s="4298">
        <f t="shared" si="8"/>
        <v>0</v>
      </c>
      <c r="H109" s="4299">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4296">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3"/>
      <c r="AV109" s="1463">
        <f t="shared" si="11"/>
        <v>0</v>
      </c>
      <c r="AW109" s="1463">
        <f t="shared" si="12"/>
        <v>0</v>
      </c>
      <c r="AX109" s="1463">
        <f t="shared" si="13"/>
        <v>0</v>
      </c>
      <c r="AY109" s="4304">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305">
        <f t="shared" si="35"/>
        <v>0</v>
      </c>
    </row>
    <row r="110" spans="1:72">
      <c r="A110" s="4293"/>
      <c r="B110" s="4293"/>
      <c r="C110" s="4293"/>
      <c r="D110" s="4295"/>
      <c r="E110" s="4296">
        <f t="shared" si="7"/>
        <v>0</v>
      </c>
      <c r="F110" s="1850"/>
      <c r="G110" s="4298">
        <f t="shared" ref="G110:G141" si="36">H110+AC110+AT110</f>
        <v>0</v>
      </c>
      <c r="H110" s="4299">
        <f t="shared" ref="H110:H141" si="37">SUMIF(I$12:AB$12,"总值",I110:AB110)</f>
        <v>0</v>
      </c>
      <c r="I110" s="4306"/>
      <c r="J110" s="4306"/>
      <c r="K110" s="4300"/>
      <c r="L110" s="4300"/>
      <c r="M110" s="4300"/>
      <c r="N110" s="4300"/>
      <c r="O110" s="4300"/>
      <c r="P110" s="4300"/>
      <c r="Q110" s="4300"/>
      <c r="R110" s="4300"/>
      <c r="S110" s="4300"/>
      <c r="T110" s="4300"/>
      <c r="U110" s="4300"/>
      <c r="V110" s="4300"/>
      <c r="W110" s="4300"/>
      <c r="X110" s="4300"/>
      <c r="Y110" s="4300"/>
      <c r="Z110" s="4300"/>
      <c r="AA110" s="4300"/>
      <c r="AB110" s="4300"/>
      <c r="AC110" s="4296">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7"/>
      <c r="AV110" s="1463">
        <f t="shared" si="11"/>
        <v>0</v>
      </c>
      <c r="AW110" s="1463">
        <f t="shared" si="12"/>
        <v>0</v>
      </c>
      <c r="AX110" s="1463">
        <f t="shared" si="13"/>
        <v>0</v>
      </c>
      <c r="AY110" s="4304">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305">
        <f t="shared" ref="BT110:BT141" si="60">IF($D110="是",AR110-AS110,0)</f>
        <v>0</v>
      </c>
    </row>
    <row r="111" spans="1:72">
      <c r="A111" s="4293"/>
      <c r="B111" s="4293"/>
      <c r="C111" s="4293"/>
      <c r="D111" s="4295"/>
      <c r="E111" s="4296">
        <f t="shared" si="7"/>
        <v>0</v>
      </c>
      <c r="F111" s="1850"/>
      <c r="G111" s="4298">
        <f t="shared" si="36"/>
        <v>0</v>
      </c>
      <c r="H111" s="4299">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4296">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7"/>
      <c r="AV111" s="1463">
        <f t="shared" si="11"/>
        <v>0</v>
      </c>
      <c r="AW111" s="1463">
        <f t="shared" si="12"/>
        <v>0</v>
      </c>
      <c r="AX111" s="1463">
        <f t="shared" si="13"/>
        <v>0</v>
      </c>
      <c r="AY111" s="4304">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305">
        <f t="shared" si="60"/>
        <v>0</v>
      </c>
    </row>
    <row r="112" spans="1:72">
      <c r="A112" s="4293"/>
      <c r="B112" s="4293"/>
      <c r="C112" s="4293"/>
      <c r="D112" s="4295"/>
      <c r="E112" s="4296">
        <f t="shared" si="7"/>
        <v>0</v>
      </c>
      <c r="F112" s="1850"/>
      <c r="G112" s="4298">
        <f t="shared" si="36"/>
        <v>0</v>
      </c>
      <c r="H112" s="4299">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4296">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7"/>
      <c r="AV112" s="1463">
        <f t="shared" si="11"/>
        <v>0</v>
      </c>
      <c r="AW112" s="1463">
        <f t="shared" si="12"/>
        <v>0</v>
      </c>
      <c r="AX112" s="1463">
        <f t="shared" si="13"/>
        <v>0</v>
      </c>
      <c r="AY112" s="4304">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305">
        <f t="shared" si="60"/>
        <v>0</v>
      </c>
    </row>
    <row r="113" spans="1:72">
      <c r="A113" s="4293"/>
      <c r="B113" s="4294"/>
      <c r="C113" s="4294"/>
      <c r="D113" s="4295"/>
      <c r="E113" s="4296">
        <f t="shared" ref="E113:E144" si="61">IF($C$3="是",ROUND($A$3*G113/$B$3,2),ROUND($A$3*(G113-AT113)/$B$3,2))</f>
        <v>0</v>
      </c>
      <c r="F113" s="4297"/>
      <c r="G113" s="4298">
        <f t="shared" si="36"/>
        <v>0</v>
      </c>
      <c r="H113" s="4299">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4296">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3"/>
      <c r="AV113" s="1463">
        <f t="shared" ref="AV113:AV144" si="62">A113</f>
        <v>0</v>
      </c>
      <c r="AW113" s="1463">
        <f t="shared" ref="AW113:AW144" si="63">B113</f>
        <v>0</v>
      </c>
      <c r="AX113" s="1463">
        <f t="shared" ref="AX113:AX144" si="64">C113</f>
        <v>0</v>
      </c>
      <c r="AY113" s="4304">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305">
        <f t="shared" si="60"/>
        <v>0</v>
      </c>
    </row>
    <row r="114" spans="1:72">
      <c r="A114" s="4293"/>
      <c r="B114" s="4294"/>
      <c r="C114" s="4294"/>
      <c r="D114" s="4295"/>
      <c r="E114" s="4296">
        <f t="shared" si="61"/>
        <v>0</v>
      </c>
      <c r="F114" s="4297"/>
      <c r="G114" s="4298">
        <f t="shared" si="36"/>
        <v>0</v>
      </c>
      <c r="H114" s="4299">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4296">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3"/>
      <c r="AV114" s="1463">
        <f t="shared" si="62"/>
        <v>0</v>
      </c>
      <c r="AW114" s="1463">
        <f t="shared" si="63"/>
        <v>0</v>
      </c>
      <c r="AX114" s="1463">
        <f t="shared" si="64"/>
        <v>0</v>
      </c>
      <c r="AY114" s="4304">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305">
        <f t="shared" si="60"/>
        <v>0</v>
      </c>
    </row>
    <row r="115" spans="1:72">
      <c r="A115" s="4293"/>
      <c r="B115" s="4294"/>
      <c r="C115" s="4294"/>
      <c r="D115" s="4295"/>
      <c r="E115" s="4296">
        <f t="shared" si="61"/>
        <v>0</v>
      </c>
      <c r="F115" s="4297"/>
      <c r="G115" s="4298">
        <f t="shared" si="36"/>
        <v>0</v>
      </c>
      <c r="H115" s="4299">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4296">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3"/>
      <c r="AV115" s="1463">
        <f t="shared" si="62"/>
        <v>0</v>
      </c>
      <c r="AW115" s="1463">
        <f t="shared" si="63"/>
        <v>0</v>
      </c>
      <c r="AX115" s="1463">
        <f t="shared" si="64"/>
        <v>0</v>
      </c>
      <c r="AY115" s="4304">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305">
        <f t="shared" si="60"/>
        <v>0</v>
      </c>
    </row>
    <row r="116" spans="1:72">
      <c r="A116" s="4293"/>
      <c r="B116" s="4294"/>
      <c r="C116" s="4294"/>
      <c r="D116" s="4295"/>
      <c r="E116" s="4296">
        <f t="shared" si="61"/>
        <v>0</v>
      </c>
      <c r="F116" s="4297"/>
      <c r="G116" s="4298">
        <f t="shared" si="36"/>
        <v>0</v>
      </c>
      <c r="H116" s="4299">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4296">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3"/>
      <c r="AV116" s="1463">
        <f t="shared" si="62"/>
        <v>0</v>
      </c>
      <c r="AW116" s="1463">
        <f t="shared" si="63"/>
        <v>0</v>
      </c>
      <c r="AX116" s="1463">
        <f t="shared" si="64"/>
        <v>0</v>
      </c>
      <c r="AY116" s="4304">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305">
        <f t="shared" si="60"/>
        <v>0</v>
      </c>
    </row>
    <row r="117" spans="1:72">
      <c r="A117" s="4293"/>
      <c r="B117" s="4294"/>
      <c r="C117" s="4294"/>
      <c r="D117" s="4295"/>
      <c r="E117" s="4296">
        <f t="shared" si="61"/>
        <v>0</v>
      </c>
      <c r="F117" s="4297"/>
      <c r="G117" s="4298">
        <f t="shared" si="36"/>
        <v>0</v>
      </c>
      <c r="H117" s="4299">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4296">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3"/>
      <c r="AV117" s="1463">
        <f t="shared" si="62"/>
        <v>0</v>
      </c>
      <c r="AW117" s="1463">
        <f t="shared" si="63"/>
        <v>0</v>
      </c>
      <c r="AX117" s="1463">
        <f t="shared" si="64"/>
        <v>0</v>
      </c>
      <c r="AY117" s="4304">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305">
        <f t="shared" si="60"/>
        <v>0</v>
      </c>
    </row>
    <row r="118" spans="1:72">
      <c r="A118" s="4293"/>
      <c r="B118" s="4294"/>
      <c r="C118" s="4294"/>
      <c r="D118" s="4295"/>
      <c r="E118" s="4296">
        <f t="shared" si="61"/>
        <v>0</v>
      </c>
      <c r="F118" s="4297"/>
      <c r="G118" s="4298">
        <f t="shared" si="36"/>
        <v>0</v>
      </c>
      <c r="H118" s="4299">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4296">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3"/>
      <c r="AV118" s="1463">
        <f t="shared" si="62"/>
        <v>0</v>
      </c>
      <c r="AW118" s="1463">
        <f t="shared" si="63"/>
        <v>0</v>
      </c>
      <c r="AX118" s="1463">
        <f t="shared" si="64"/>
        <v>0</v>
      </c>
      <c r="AY118" s="4304">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305">
        <f t="shared" si="60"/>
        <v>0</v>
      </c>
    </row>
    <row r="119" spans="1:72">
      <c r="A119" s="4293"/>
      <c r="B119" s="4294"/>
      <c r="C119" s="4294"/>
      <c r="D119" s="4295"/>
      <c r="E119" s="4296">
        <f t="shared" si="61"/>
        <v>0</v>
      </c>
      <c r="F119" s="4297"/>
      <c r="G119" s="4298">
        <f t="shared" si="36"/>
        <v>0</v>
      </c>
      <c r="H119" s="4299">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4296">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3"/>
      <c r="AV119" s="1463">
        <f t="shared" si="62"/>
        <v>0</v>
      </c>
      <c r="AW119" s="1463">
        <f t="shared" si="63"/>
        <v>0</v>
      </c>
      <c r="AX119" s="1463">
        <f t="shared" si="64"/>
        <v>0</v>
      </c>
      <c r="AY119" s="4304">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305">
        <f t="shared" si="60"/>
        <v>0</v>
      </c>
    </row>
    <row r="120" spans="1:72">
      <c r="A120" s="4293"/>
      <c r="B120" s="4294"/>
      <c r="C120" s="4294"/>
      <c r="D120" s="4295"/>
      <c r="E120" s="4296">
        <f t="shared" si="61"/>
        <v>0</v>
      </c>
      <c r="F120" s="4297"/>
      <c r="G120" s="4298">
        <f t="shared" si="36"/>
        <v>0</v>
      </c>
      <c r="H120" s="4299">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4296">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3"/>
      <c r="AV120" s="1463">
        <f t="shared" si="62"/>
        <v>0</v>
      </c>
      <c r="AW120" s="1463">
        <f t="shared" si="63"/>
        <v>0</v>
      </c>
      <c r="AX120" s="1463">
        <f t="shared" si="64"/>
        <v>0</v>
      </c>
      <c r="AY120" s="4304">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305">
        <f t="shared" si="60"/>
        <v>0</v>
      </c>
    </row>
    <row r="121" spans="1:72">
      <c r="A121" s="4293"/>
      <c r="B121" s="4294"/>
      <c r="C121" s="4294"/>
      <c r="D121" s="4295"/>
      <c r="E121" s="4296">
        <f t="shared" si="61"/>
        <v>0</v>
      </c>
      <c r="F121" s="4297"/>
      <c r="G121" s="4298">
        <f t="shared" si="36"/>
        <v>0</v>
      </c>
      <c r="H121" s="4299">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4296">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3"/>
      <c r="AV121" s="1463">
        <f t="shared" si="62"/>
        <v>0</v>
      </c>
      <c r="AW121" s="1463">
        <f t="shared" si="63"/>
        <v>0</v>
      </c>
      <c r="AX121" s="1463">
        <f t="shared" si="64"/>
        <v>0</v>
      </c>
      <c r="AY121" s="4304">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305">
        <f t="shared" si="60"/>
        <v>0</v>
      </c>
    </row>
    <row r="122" spans="1:72">
      <c r="A122" s="4293"/>
      <c r="B122" s="4294"/>
      <c r="C122" s="4294"/>
      <c r="D122" s="4295"/>
      <c r="E122" s="4296">
        <f t="shared" si="61"/>
        <v>0</v>
      </c>
      <c r="F122" s="4297"/>
      <c r="G122" s="4298">
        <f t="shared" si="36"/>
        <v>0</v>
      </c>
      <c r="H122" s="4299">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4296">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3"/>
      <c r="AV122" s="1463">
        <f t="shared" si="62"/>
        <v>0</v>
      </c>
      <c r="AW122" s="1463">
        <f t="shared" si="63"/>
        <v>0</v>
      </c>
      <c r="AX122" s="1463">
        <f t="shared" si="64"/>
        <v>0</v>
      </c>
      <c r="AY122" s="4304">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305">
        <f t="shared" si="60"/>
        <v>0</v>
      </c>
    </row>
    <row r="123" spans="1:72">
      <c r="A123" s="4293"/>
      <c r="B123" s="4294"/>
      <c r="C123" s="4294"/>
      <c r="D123" s="4295"/>
      <c r="E123" s="4296">
        <f t="shared" si="61"/>
        <v>0</v>
      </c>
      <c r="F123" s="4297"/>
      <c r="G123" s="4298">
        <f t="shared" si="36"/>
        <v>0</v>
      </c>
      <c r="H123" s="4299">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4296">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3"/>
      <c r="AV123" s="1463">
        <f t="shared" si="62"/>
        <v>0</v>
      </c>
      <c r="AW123" s="1463">
        <f t="shared" si="63"/>
        <v>0</v>
      </c>
      <c r="AX123" s="1463">
        <f t="shared" si="64"/>
        <v>0</v>
      </c>
      <c r="AY123" s="4304">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305">
        <f t="shared" si="60"/>
        <v>0</v>
      </c>
    </row>
    <row r="124" spans="1:72">
      <c r="A124" s="4293"/>
      <c r="B124" s="4294"/>
      <c r="C124" s="4294"/>
      <c r="D124" s="4295"/>
      <c r="E124" s="4296">
        <f t="shared" si="61"/>
        <v>0</v>
      </c>
      <c r="F124" s="4297"/>
      <c r="G124" s="4298">
        <f t="shared" si="36"/>
        <v>0</v>
      </c>
      <c r="H124" s="4299">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4296">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3"/>
      <c r="AV124" s="1463">
        <f t="shared" si="62"/>
        <v>0</v>
      </c>
      <c r="AW124" s="1463">
        <f t="shared" si="63"/>
        <v>0</v>
      </c>
      <c r="AX124" s="1463">
        <f t="shared" si="64"/>
        <v>0</v>
      </c>
      <c r="AY124" s="4304">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305">
        <f t="shared" si="60"/>
        <v>0</v>
      </c>
    </row>
    <row r="125" spans="1:72">
      <c r="A125" s="4293"/>
      <c r="B125" s="4294"/>
      <c r="C125" s="4294"/>
      <c r="D125" s="4295"/>
      <c r="E125" s="4296">
        <f t="shared" si="61"/>
        <v>0</v>
      </c>
      <c r="F125" s="4297"/>
      <c r="G125" s="4298">
        <f t="shared" si="36"/>
        <v>0</v>
      </c>
      <c r="H125" s="4299">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4296">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3"/>
      <c r="AV125" s="1463">
        <f t="shared" si="62"/>
        <v>0</v>
      </c>
      <c r="AW125" s="1463">
        <f t="shared" si="63"/>
        <v>0</v>
      </c>
      <c r="AX125" s="1463">
        <f t="shared" si="64"/>
        <v>0</v>
      </c>
      <c r="AY125" s="4304">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305">
        <f t="shared" si="60"/>
        <v>0</v>
      </c>
    </row>
    <row r="126" spans="1:72">
      <c r="A126" s="4293"/>
      <c r="B126" s="4294"/>
      <c r="C126" s="4294"/>
      <c r="D126" s="4295"/>
      <c r="E126" s="4296">
        <f t="shared" si="61"/>
        <v>0</v>
      </c>
      <c r="F126" s="4297"/>
      <c r="G126" s="4298">
        <f t="shared" si="36"/>
        <v>0</v>
      </c>
      <c r="H126" s="4299">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4296">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3"/>
      <c r="AV126" s="1463">
        <f t="shared" si="62"/>
        <v>0</v>
      </c>
      <c r="AW126" s="1463">
        <f t="shared" si="63"/>
        <v>0</v>
      </c>
      <c r="AX126" s="1463">
        <f t="shared" si="64"/>
        <v>0</v>
      </c>
      <c r="AY126" s="4304">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305">
        <f t="shared" si="60"/>
        <v>0</v>
      </c>
    </row>
    <row r="127" spans="1:72">
      <c r="A127" s="4293"/>
      <c r="B127" s="4294"/>
      <c r="C127" s="4294"/>
      <c r="D127" s="4295"/>
      <c r="E127" s="4296">
        <f t="shared" si="61"/>
        <v>0</v>
      </c>
      <c r="F127" s="4297"/>
      <c r="G127" s="4298">
        <f t="shared" si="36"/>
        <v>0</v>
      </c>
      <c r="H127" s="4299">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4296">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3"/>
      <c r="AV127" s="1463">
        <f t="shared" si="62"/>
        <v>0</v>
      </c>
      <c r="AW127" s="1463">
        <f t="shared" si="63"/>
        <v>0</v>
      </c>
      <c r="AX127" s="1463">
        <f t="shared" si="64"/>
        <v>0</v>
      </c>
      <c r="AY127" s="4304">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305">
        <f t="shared" si="60"/>
        <v>0</v>
      </c>
    </row>
    <row r="128" spans="1:72">
      <c r="A128" s="4293"/>
      <c r="B128" s="4294"/>
      <c r="C128" s="4294"/>
      <c r="D128" s="4295"/>
      <c r="E128" s="4296">
        <f t="shared" si="61"/>
        <v>0</v>
      </c>
      <c r="F128" s="4297"/>
      <c r="G128" s="4298">
        <f t="shared" si="36"/>
        <v>0</v>
      </c>
      <c r="H128" s="4299">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4296">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3"/>
      <c r="AV128" s="1463">
        <f t="shared" si="62"/>
        <v>0</v>
      </c>
      <c r="AW128" s="1463">
        <f t="shared" si="63"/>
        <v>0</v>
      </c>
      <c r="AX128" s="1463">
        <f t="shared" si="64"/>
        <v>0</v>
      </c>
      <c r="AY128" s="4304">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305">
        <f t="shared" si="60"/>
        <v>0</v>
      </c>
    </row>
    <row r="129" spans="1:72">
      <c r="A129" s="4293"/>
      <c r="B129" s="4294"/>
      <c r="C129" s="4294"/>
      <c r="D129" s="4295"/>
      <c r="E129" s="4296">
        <f t="shared" si="61"/>
        <v>0</v>
      </c>
      <c r="F129" s="4297"/>
      <c r="G129" s="4298">
        <f t="shared" si="36"/>
        <v>0</v>
      </c>
      <c r="H129" s="4299">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4296">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3"/>
      <c r="AV129" s="1463">
        <f t="shared" si="62"/>
        <v>0</v>
      </c>
      <c r="AW129" s="1463">
        <f t="shared" si="63"/>
        <v>0</v>
      </c>
      <c r="AX129" s="1463">
        <f t="shared" si="64"/>
        <v>0</v>
      </c>
      <c r="AY129" s="4304">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305">
        <f t="shared" si="60"/>
        <v>0</v>
      </c>
    </row>
    <row r="130" spans="1:72">
      <c r="A130" s="4293"/>
      <c r="B130" s="4294"/>
      <c r="C130" s="4294"/>
      <c r="D130" s="4295"/>
      <c r="E130" s="4296">
        <f t="shared" si="61"/>
        <v>0</v>
      </c>
      <c r="F130" s="4297"/>
      <c r="G130" s="4298">
        <f t="shared" si="36"/>
        <v>0</v>
      </c>
      <c r="H130" s="4299">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4296">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3"/>
      <c r="AV130" s="1463">
        <f t="shared" si="62"/>
        <v>0</v>
      </c>
      <c r="AW130" s="1463">
        <f t="shared" si="63"/>
        <v>0</v>
      </c>
      <c r="AX130" s="1463">
        <f t="shared" si="64"/>
        <v>0</v>
      </c>
      <c r="AY130" s="4304">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305">
        <f t="shared" si="60"/>
        <v>0</v>
      </c>
    </row>
    <row r="131" spans="1:72">
      <c r="A131" s="4293"/>
      <c r="B131" s="4294"/>
      <c r="C131" s="4294"/>
      <c r="D131" s="4295"/>
      <c r="E131" s="4296">
        <f t="shared" si="61"/>
        <v>0</v>
      </c>
      <c r="F131" s="4297"/>
      <c r="G131" s="4298">
        <f t="shared" si="36"/>
        <v>0</v>
      </c>
      <c r="H131" s="4299">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4296">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3"/>
      <c r="AV131" s="1463">
        <f t="shared" si="62"/>
        <v>0</v>
      </c>
      <c r="AW131" s="1463">
        <f t="shared" si="63"/>
        <v>0</v>
      </c>
      <c r="AX131" s="1463">
        <f t="shared" si="64"/>
        <v>0</v>
      </c>
      <c r="AY131" s="4304">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305">
        <f t="shared" si="60"/>
        <v>0</v>
      </c>
    </row>
    <row r="132" spans="1:72">
      <c r="A132" s="4293"/>
      <c r="B132" s="4294"/>
      <c r="C132" s="4294"/>
      <c r="D132" s="4295"/>
      <c r="E132" s="4296">
        <f t="shared" si="61"/>
        <v>0</v>
      </c>
      <c r="F132" s="4297"/>
      <c r="G132" s="4298">
        <f t="shared" si="36"/>
        <v>0</v>
      </c>
      <c r="H132" s="4299">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4296">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3"/>
      <c r="AV132" s="1463">
        <f t="shared" si="62"/>
        <v>0</v>
      </c>
      <c r="AW132" s="1463">
        <f t="shared" si="63"/>
        <v>0</v>
      </c>
      <c r="AX132" s="1463">
        <f t="shared" si="64"/>
        <v>0</v>
      </c>
      <c r="AY132" s="4304">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305">
        <f t="shared" si="60"/>
        <v>0</v>
      </c>
    </row>
    <row r="133" spans="1:72">
      <c r="A133" s="4293"/>
      <c r="B133" s="4294"/>
      <c r="C133" s="4294"/>
      <c r="D133" s="4295"/>
      <c r="E133" s="4296">
        <f t="shared" si="61"/>
        <v>0</v>
      </c>
      <c r="F133" s="4297"/>
      <c r="G133" s="4298">
        <f t="shared" si="36"/>
        <v>0</v>
      </c>
      <c r="H133" s="4299">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4296">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3"/>
      <c r="AV133" s="1463">
        <f t="shared" si="62"/>
        <v>0</v>
      </c>
      <c r="AW133" s="1463">
        <f t="shared" si="63"/>
        <v>0</v>
      </c>
      <c r="AX133" s="1463">
        <f t="shared" si="64"/>
        <v>0</v>
      </c>
      <c r="AY133" s="4304">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305">
        <f t="shared" si="60"/>
        <v>0</v>
      </c>
    </row>
    <row r="134" spans="1:72">
      <c r="A134" s="4293"/>
      <c r="B134" s="4294"/>
      <c r="C134" s="4294"/>
      <c r="D134" s="4295"/>
      <c r="E134" s="4296">
        <f t="shared" si="61"/>
        <v>0</v>
      </c>
      <c r="F134" s="4297"/>
      <c r="G134" s="4298">
        <f t="shared" si="36"/>
        <v>0</v>
      </c>
      <c r="H134" s="4299">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4296">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3"/>
      <c r="AV134" s="1463">
        <f t="shared" si="62"/>
        <v>0</v>
      </c>
      <c r="AW134" s="1463">
        <f t="shared" si="63"/>
        <v>0</v>
      </c>
      <c r="AX134" s="1463">
        <f t="shared" si="64"/>
        <v>0</v>
      </c>
      <c r="AY134" s="4304">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305">
        <f t="shared" si="60"/>
        <v>0</v>
      </c>
    </row>
    <row r="135" spans="1:72">
      <c r="A135" s="4293"/>
      <c r="B135" s="4294"/>
      <c r="C135" s="4294"/>
      <c r="D135" s="4295"/>
      <c r="E135" s="4296">
        <f t="shared" si="61"/>
        <v>0</v>
      </c>
      <c r="F135" s="4297"/>
      <c r="G135" s="4298">
        <f t="shared" si="36"/>
        <v>0</v>
      </c>
      <c r="H135" s="4299">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4296">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3"/>
      <c r="AV135" s="1463">
        <f t="shared" si="62"/>
        <v>0</v>
      </c>
      <c r="AW135" s="1463">
        <f t="shared" si="63"/>
        <v>0</v>
      </c>
      <c r="AX135" s="1463">
        <f t="shared" si="64"/>
        <v>0</v>
      </c>
      <c r="AY135" s="4304">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305">
        <f t="shared" si="60"/>
        <v>0</v>
      </c>
    </row>
    <row r="136" spans="1:72">
      <c r="A136" s="4293"/>
      <c r="B136" s="4294"/>
      <c r="C136" s="4294"/>
      <c r="D136" s="4295"/>
      <c r="E136" s="4296">
        <f t="shared" si="61"/>
        <v>0</v>
      </c>
      <c r="F136" s="4297"/>
      <c r="G136" s="4298">
        <f t="shared" si="36"/>
        <v>0</v>
      </c>
      <c r="H136" s="4299">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4296">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3"/>
      <c r="AV136" s="1463">
        <f t="shared" si="62"/>
        <v>0</v>
      </c>
      <c r="AW136" s="1463">
        <f t="shared" si="63"/>
        <v>0</v>
      </c>
      <c r="AX136" s="1463">
        <f t="shared" si="64"/>
        <v>0</v>
      </c>
      <c r="AY136" s="4304">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305">
        <f t="shared" si="60"/>
        <v>0</v>
      </c>
    </row>
    <row r="137" spans="1:72">
      <c r="A137" s="4293"/>
      <c r="B137" s="4294"/>
      <c r="C137" s="4294"/>
      <c r="D137" s="4295"/>
      <c r="E137" s="4296">
        <f t="shared" si="61"/>
        <v>0</v>
      </c>
      <c r="F137" s="4297"/>
      <c r="G137" s="4298">
        <f t="shared" si="36"/>
        <v>0</v>
      </c>
      <c r="H137" s="4299">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4296">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3"/>
      <c r="AV137" s="1463">
        <f t="shared" si="62"/>
        <v>0</v>
      </c>
      <c r="AW137" s="1463">
        <f t="shared" si="63"/>
        <v>0</v>
      </c>
      <c r="AX137" s="1463">
        <f t="shared" si="64"/>
        <v>0</v>
      </c>
      <c r="AY137" s="4304">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305">
        <f t="shared" si="60"/>
        <v>0</v>
      </c>
    </row>
    <row r="138" spans="1:72">
      <c r="A138" s="4293"/>
      <c r="B138" s="4294"/>
      <c r="C138" s="4294"/>
      <c r="D138" s="4295"/>
      <c r="E138" s="4296">
        <f t="shared" si="61"/>
        <v>0</v>
      </c>
      <c r="F138" s="4297"/>
      <c r="G138" s="4298">
        <f t="shared" si="36"/>
        <v>0</v>
      </c>
      <c r="H138" s="4299">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4296">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3"/>
      <c r="AV138" s="1463">
        <f t="shared" si="62"/>
        <v>0</v>
      </c>
      <c r="AW138" s="1463">
        <f t="shared" si="63"/>
        <v>0</v>
      </c>
      <c r="AX138" s="1463">
        <f t="shared" si="64"/>
        <v>0</v>
      </c>
      <c r="AY138" s="4304">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305">
        <f t="shared" si="60"/>
        <v>0</v>
      </c>
    </row>
    <row r="139" spans="1:72">
      <c r="A139" s="4293"/>
      <c r="B139" s="4294"/>
      <c r="C139" s="4294"/>
      <c r="D139" s="4295"/>
      <c r="E139" s="4296">
        <f t="shared" si="61"/>
        <v>0</v>
      </c>
      <c r="F139" s="4297"/>
      <c r="G139" s="4298">
        <f t="shared" si="36"/>
        <v>0</v>
      </c>
      <c r="H139" s="4299">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4296">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3"/>
      <c r="AV139" s="1463">
        <f t="shared" si="62"/>
        <v>0</v>
      </c>
      <c r="AW139" s="1463">
        <f t="shared" si="63"/>
        <v>0</v>
      </c>
      <c r="AX139" s="1463">
        <f t="shared" si="64"/>
        <v>0</v>
      </c>
      <c r="AY139" s="4304">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305">
        <f t="shared" si="60"/>
        <v>0</v>
      </c>
    </row>
    <row r="140" spans="1:72">
      <c r="A140" s="4293"/>
      <c r="B140" s="4294"/>
      <c r="C140" s="4294"/>
      <c r="D140" s="4295"/>
      <c r="E140" s="4296">
        <f t="shared" si="61"/>
        <v>0</v>
      </c>
      <c r="F140" s="4297"/>
      <c r="G140" s="4298">
        <f t="shared" si="36"/>
        <v>0</v>
      </c>
      <c r="H140" s="4299">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4296">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3"/>
      <c r="AV140" s="1463">
        <f t="shared" si="62"/>
        <v>0</v>
      </c>
      <c r="AW140" s="1463">
        <f t="shared" si="63"/>
        <v>0</v>
      </c>
      <c r="AX140" s="1463">
        <f t="shared" si="64"/>
        <v>0</v>
      </c>
      <c r="AY140" s="4304">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305">
        <f t="shared" si="60"/>
        <v>0</v>
      </c>
    </row>
    <row r="141" spans="1:72">
      <c r="A141" s="4293"/>
      <c r="B141" s="4294"/>
      <c r="C141" s="4294"/>
      <c r="D141" s="4295"/>
      <c r="E141" s="4296">
        <f t="shared" si="61"/>
        <v>0</v>
      </c>
      <c r="F141" s="4297"/>
      <c r="G141" s="4298">
        <f t="shared" si="36"/>
        <v>0</v>
      </c>
      <c r="H141" s="4299">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4296">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3"/>
      <c r="AV141" s="1463">
        <f t="shared" si="62"/>
        <v>0</v>
      </c>
      <c r="AW141" s="1463">
        <f t="shared" si="63"/>
        <v>0</v>
      </c>
      <c r="AX141" s="1463">
        <f t="shared" si="64"/>
        <v>0</v>
      </c>
      <c r="AY141" s="4304">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305">
        <f t="shared" si="60"/>
        <v>0</v>
      </c>
    </row>
    <row r="142" spans="1:72">
      <c r="A142" s="4293"/>
      <c r="B142" s="4294"/>
      <c r="C142" s="4294"/>
      <c r="D142" s="4295"/>
      <c r="E142" s="4296">
        <f t="shared" si="61"/>
        <v>0</v>
      </c>
      <c r="F142" s="4297"/>
      <c r="G142" s="4298">
        <f t="shared" ref="G142:G173" si="65">H142+AC142+AT142</f>
        <v>0</v>
      </c>
      <c r="H142" s="4299">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4296">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3"/>
      <c r="AV142" s="1463">
        <f t="shared" si="62"/>
        <v>0</v>
      </c>
      <c r="AW142" s="1463">
        <f t="shared" si="63"/>
        <v>0</v>
      </c>
      <c r="AX142" s="1463">
        <f t="shared" si="64"/>
        <v>0</v>
      </c>
      <c r="AY142" s="4304">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305">
        <f t="shared" ref="BT142:BT173" si="89">IF($D142="是",AR142-AS142,0)</f>
        <v>0</v>
      </c>
    </row>
    <row r="143" spans="1:72">
      <c r="A143" s="4293"/>
      <c r="B143" s="4294"/>
      <c r="C143" s="4294"/>
      <c r="D143" s="4295"/>
      <c r="E143" s="4296">
        <f t="shared" si="61"/>
        <v>0</v>
      </c>
      <c r="F143" s="4297"/>
      <c r="G143" s="4298">
        <f t="shared" si="65"/>
        <v>0</v>
      </c>
      <c r="H143" s="4299">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4296">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3"/>
      <c r="AV143" s="1463">
        <f t="shared" si="62"/>
        <v>0</v>
      </c>
      <c r="AW143" s="1463">
        <f t="shared" si="63"/>
        <v>0</v>
      </c>
      <c r="AX143" s="1463">
        <f t="shared" si="64"/>
        <v>0</v>
      </c>
      <c r="AY143" s="4304">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305">
        <f t="shared" si="89"/>
        <v>0</v>
      </c>
    </row>
    <row r="144" spans="1:72">
      <c r="A144" s="4293"/>
      <c r="B144" s="4294"/>
      <c r="C144" s="4294"/>
      <c r="D144" s="4295"/>
      <c r="E144" s="4296">
        <f t="shared" si="61"/>
        <v>0</v>
      </c>
      <c r="F144" s="4297"/>
      <c r="G144" s="4298">
        <f t="shared" si="65"/>
        <v>0</v>
      </c>
      <c r="H144" s="4299">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4296">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3"/>
      <c r="AV144" s="1463">
        <f t="shared" si="62"/>
        <v>0</v>
      </c>
      <c r="AW144" s="1463">
        <f t="shared" si="63"/>
        <v>0</v>
      </c>
      <c r="AX144" s="1463">
        <f t="shared" si="64"/>
        <v>0</v>
      </c>
      <c r="AY144" s="4304">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305">
        <f t="shared" si="89"/>
        <v>0</v>
      </c>
    </row>
    <row r="145" spans="1:72">
      <c r="A145" s="4293"/>
      <c r="B145" s="4294"/>
      <c r="C145" s="4294"/>
      <c r="D145" s="4295"/>
      <c r="E145" s="4296">
        <f t="shared" ref="E145:E176" si="90">IF($C$3="是",ROUND($A$3*G145/$B$3,2),ROUND($A$3*(G145-AT145)/$B$3,2))</f>
        <v>0</v>
      </c>
      <c r="F145" s="4297"/>
      <c r="G145" s="4298">
        <f t="shared" si="65"/>
        <v>0</v>
      </c>
      <c r="H145" s="4299">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4296">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3"/>
      <c r="AV145" s="1463">
        <f t="shared" ref="AV145:AV176" si="91">A145</f>
        <v>0</v>
      </c>
      <c r="AW145" s="1463">
        <f t="shared" ref="AW145:AW176" si="92">B145</f>
        <v>0</v>
      </c>
      <c r="AX145" s="1463">
        <f t="shared" ref="AX145:AX176" si="93">C145</f>
        <v>0</v>
      </c>
      <c r="AY145" s="4304">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305">
        <f t="shared" si="89"/>
        <v>0</v>
      </c>
    </row>
    <row r="146" spans="1:72">
      <c r="A146" s="4293"/>
      <c r="B146" s="4294"/>
      <c r="C146" s="4294"/>
      <c r="D146" s="4295"/>
      <c r="E146" s="4296">
        <f t="shared" si="90"/>
        <v>0</v>
      </c>
      <c r="F146" s="4297"/>
      <c r="G146" s="4298">
        <f t="shared" si="65"/>
        <v>0</v>
      </c>
      <c r="H146" s="4299">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4296">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3"/>
      <c r="AV146" s="1463">
        <f t="shared" si="91"/>
        <v>0</v>
      </c>
      <c r="AW146" s="1463">
        <f t="shared" si="92"/>
        <v>0</v>
      </c>
      <c r="AX146" s="1463">
        <f t="shared" si="93"/>
        <v>0</v>
      </c>
      <c r="AY146" s="4304">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305">
        <f t="shared" si="89"/>
        <v>0</v>
      </c>
    </row>
    <row r="147" spans="1:72">
      <c r="A147" s="4293"/>
      <c r="B147" s="4294"/>
      <c r="C147" s="4294"/>
      <c r="D147" s="4295"/>
      <c r="E147" s="4296">
        <f t="shared" si="90"/>
        <v>0</v>
      </c>
      <c r="F147" s="4297"/>
      <c r="G147" s="4298">
        <f t="shared" si="65"/>
        <v>0</v>
      </c>
      <c r="H147" s="4299">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4296">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3"/>
      <c r="AV147" s="1463">
        <f t="shared" si="91"/>
        <v>0</v>
      </c>
      <c r="AW147" s="1463">
        <f t="shared" si="92"/>
        <v>0</v>
      </c>
      <c r="AX147" s="1463">
        <f t="shared" si="93"/>
        <v>0</v>
      </c>
      <c r="AY147" s="4304">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305">
        <f t="shared" si="89"/>
        <v>0</v>
      </c>
    </row>
    <row r="148" spans="1:72">
      <c r="A148" s="4293"/>
      <c r="B148" s="4294"/>
      <c r="C148" s="4294"/>
      <c r="D148" s="4295"/>
      <c r="E148" s="4296">
        <f t="shared" si="90"/>
        <v>0</v>
      </c>
      <c r="F148" s="4297"/>
      <c r="G148" s="4298">
        <f t="shared" si="65"/>
        <v>0</v>
      </c>
      <c r="H148" s="4299">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4296">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3"/>
      <c r="AV148" s="1463">
        <f t="shared" si="91"/>
        <v>0</v>
      </c>
      <c r="AW148" s="1463">
        <f t="shared" si="92"/>
        <v>0</v>
      </c>
      <c r="AX148" s="1463">
        <f t="shared" si="93"/>
        <v>0</v>
      </c>
      <c r="AY148" s="4304">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305">
        <f t="shared" si="89"/>
        <v>0</v>
      </c>
    </row>
    <row r="149" spans="1:72">
      <c r="A149" s="4293"/>
      <c r="B149" s="4294"/>
      <c r="C149" s="4294"/>
      <c r="D149" s="4295"/>
      <c r="E149" s="4296">
        <f t="shared" si="90"/>
        <v>0</v>
      </c>
      <c r="F149" s="4297"/>
      <c r="G149" s="4298">
        <f t="shared" si="65"/>
        <v>0</v>
      </c>
      <c r="H149" s="4299">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4296">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3"/>
      <c r="AV149" s="1463">
        <f t="shared" si="91"/>
        <v>0</v>
      </c>
      <c r="AW149" s="1463">
        <f t="shared" si="92"/>
        <v>0</v>
      </c>
      <c r="AX149" s="1463">
        <f t="shared" si="93"/>
        <v>0</v>
      </c>
      <c r="AY149" s="4304">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305">
        <f t="shared" si="89"/>
        <v>0</v>
      </c>
    </row>
    <row r="150" spans="1:72">
      <c r="A150" s="4293"/>
      <c r="B150" s="4294"/>
      <c r="C150" s="4294"/>
      <c r="D150" s="4295"/>
      <c r="E150" s="4296">
        <f t="shared" si="90"/>
        <v>0</v>
      </c>
      <c r="F150" s="4297"/>
      <c r="G150" s="4298">
        <f t="shared" si="65"/>
        <v>0</v>
      </c>
      <c r="H150" s="4299">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4296">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3"/>
      <c r="AV150" s="1463">
        <f t="shared" si="91"/>
        <v>0</v>
      </c>
      <c r="AW150" s="1463">
        <f t="shared" si="92"/>
        <v>0</v>
      </c>
      <c r="AX150" s="1463">
        <f t="shared" si="93"/>
        <v>0</v>
      </c>
      <c r="AY150" s="4304">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305">
        <f t="shared" si="89"/>
        <v>0</v>
      </c>
    </row>
    <row r="151" spans="1:72">
      <c r="A151" s="4293"/>
      <c r="B151" s="4294"/>
      <c r="C151" s="4294"/>
      <c r="D151" s="4295"/>
      <c r="E151" s="4296">
        <f t="shared" si="90"/>
        <v>0</v>
      </c>
      <c r="F151" s="4297"/>
      <c r="G151" s="4298">
        <f t="shared" si="65"/>
        <v>0</v>
      </c>
      <c r="H151" s="4299">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4296">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3"/>
      <c r="AV151" s="1463">
        <f t="shared" si="91"/>
        <v>0</v>
      </c>
      <c r="AW151" s="1463">
        <f t="shared" si="92"/>
        <v>0</v>
      </c>
      <c r="AX151" s="1463">
        <f t="shared" si="93"/>
        <v>0</v>
      </c>
      <c r="AY151" s="4304">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305">
        <f t="shared" si="89"/>
        <v>0</v>
      </c>
    </row>
    <row r="152" spans="1:72">
      <c r="A152" s="4293"/>
      <c r="B152" s="4294"/>
      <c r="C152" s="4294"/>
      <c r="D152" s="4295"/>
      <c r="E152" s="4296">
        <f t="shared" si="90"/>
        <v>0</v>
      </c>
      <c r="F152" s="4297"/>
      <c r="G152" s="4298">
        <f t="shared" si="65"/>
        <v>0</v>
      </c>
      <c r="H152" s="4299">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4296">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3"/>
      <c r="AV152" s="1463">
        <f t="shared" si="91"/>
        <v>0</v>
      </c>
      <c r="AW152" s="1463">
        <f t="shared" si="92"/>
        <v>0</v>
      </c>
      <c r="AX152" s="1463">
        <f t="shared" si="93"/>
        <v>0</v>
      </c>
      <c r="AY152" s="4304">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305">
        <f t="shared" si="89"/>
        <v>0</v>
      </c>
    </row>
    <row r="153" spans="1:72">
      <c r="A153" s="4293"/>
      <c r="B153" s="4294"/>
      <c r="C153" s="4294"/>
      <c r="D153" s="4295"/>
      <c r="E153" s="4296">
        <f t="shared" si="90"/>
        <v>0</v>
      </c>
      <c r="F153" s="4297"/>
      <c r="G153" s="4298">
        <f t="shared" si="65"/>
        <v>0</v>
      </c>
      <c r="H153" s="4299">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4296">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3"/>
      <c r="AV153" s="1463">
        <f t="shared" si="91"/>
        <v>0</v>
      </c>
      <c r="AW153" s="1463">
        <f t="shared" si="92"/>
        <v>0</v>
      </c>
      <c r="AX153" s="1463">
        <f t="shared" si="93"/>
        <v>0</v>
      </c>
      <c r="AY153" s="4304">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305">
        <f t="shared" si="89"/>
        <v>0</v>
      </c>
    </row>
    <row r="154" spans="1:72">
      <c r="A154" s="4293"/>
      <c r="B154" s="4294"/>
      <c r="C154" s="4294"/>
      <c r="D154" s="4295"/>
      <c r="E154" s="4296">
        <f t="shared" si="90"/>
        <v>0</v>
      </c>
      <c r="F154" s="4297"/>
      <c r="G154" s="4298">
        <f t="shared" si="65"/>
        <v>0</v>
      </c>
      <c r="H154" s="4299">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4296">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3"/>
      <c r="AV154" s="1463">
        <f t="shared" si="91"/>
        <v>0</v>
      </c>
      <c r="AW154" s="1463">
        <f t="shared" si="92"/>
        <v>0</v>
      </c>
      <c r="AX154" s="1463">
        <f t="shared" si="93"/>
        <v>0</v>
      </c>
      <c r="AY154" s="4304">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305">
        <f t="shared" si="89"/>
        <v>0</v>
      </c>
    </row>
    <row r="155" spans="1:72">
      <c r="A155" s="4293"/>
      <c r="B155" s="4294"/>
      <c r="C155" s="4294"/>
      <c r="D155" s="4295"/>
      <c r="E155" s="4296">
        <f t="shared" si="90"/>
        <v>0</v>
      </c>
      <c r="F155" s="4297"/>
      <c r="G155" s="4298">
        <f t="shared" si="65"/>
        <v>0</v>
      </c>
      <c r="H155" s="4299">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4296">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3"/>
      <c r="AV155" s="1463">
        <f t="shared" si="91"/>
        <v>0</v>
      </c>
      <c r="AW155" s="1463">
        <f t="shared" si="92"/>
        <v>0</v>
      </c>
      <c r="AX155" s="1463">
        <f t="shared" si="93"/>
        <v>0</v>
      </c>
      <c r="AY155" s="4304">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305">
        <f t="shared" si="89"/>
        <v>0</v>
      </c>
    </row>
    <row r="156" spans="1:72">
      <c r="A156" s="4293"/>
      <c r="B156" s="4294"/>
      <c r="C156" s="4294"/>
      <c r="D156" s="4295"/>
      <c r="E156" s="4296">
        <f t="shared" si="90"/>
        <v>0</v>
      </c>
      <c r="F156" s="4297"/>
      <c r="G156" s="4298">
        <f t="shared" si="65"/>
        <v>0</v>
      </c>
      <c r="H156" s="4299">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4296">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3"/>
      <c r="AV156" s="1463">
        <f t="shared" si="91"/>
        <v>0</v>
      </c>
      <c r="AW156" s="1463">
        <f t="shared" si="92"/>
        <v>0</v>
      </c>
      <c r="AX156" s="1463">
        <f t="shared" si="93"/>
        <v>0</v>
      </c>
      <c r="AY156" s="4304">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305">
        <f t="shared" si="89"/>
        <v>0</v>
      </c>
    </row>
    <row r="157" spans="1:72">
      <c r="A157" s="4293"/>
      <c r="B157" s="4294"/>
      <c r="C157" s="4294"/>
      <c r="D157" s="4295"/>
      <c r="E157" s="4296">
        <f t="shared" si="90"/>
        <v>0</v>
      </c>
      <c r="F157" s="4297"/>
      <c r="G157" s="4298">
        <f t="shared" si="65"/>
        <v>0</v>
      </c>
      <c r="H157" s="4299">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4296">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3"/>
      <c r="AV157" s="1463">
        <f t="shared" si="91"/>
        <v>0</v>
      </c>
      <c r="AW157" s="1463">
        <f t="shared" si="92"/>
        <v>0</v>
      </c>
      <c r="AX157" s="1463">
        <f t="shared" si="93"/>
        <v>0</v>
      </c>
      <c r="AY157" s="4304">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305">
        <f t="shared" si="89"/>
        <v>0</v>
      </c>
    </row>
    <row r="158" spans="1:72">
      <c r="A158" s="4293"/>
      <c r="B158" s="4294"/>
      <c r="C158" s="4294"/>
      <c r="D158" s="4295"/>
      <c r="E158" s="4296">
        <f t="shared" si="90"/>
        <v>0</v>
      </c>
      <c r="F158" s="4297"/>
      <c r="G158" s="4298">
        <f t="shared" si="65"/>
        <v>0</v>
      </c>
      <c r="H158" s="4299">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4296">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3"/>
      <c r="AV158" s="1463">
        <f t="shared" si="91"/>
        <v>0</v>
      </c>
      <c r="AW158" s="1463">
        <f t="shared" si="92"/>
        <v>0</v>
      </c>
      <c r="AX158" s="1463">
        <f t="shared" si="93"/>
        <v>0</v>
      </c>
      <c r="AY158" s="4304">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305">
        <f t="shared" si="89"/>
        <v>0</v>
      </c>
    </row>
    <row r="159" spans="1:72">
      <c r="A159" s="4293"/>
      <c r="B159" s="4294"/>
      <c r="C159" s="4294"/>
      <c r="D159" s="4295"/>
      <c r="E159" s="4296">
        <f t="shared" si="90"/>
        <v>0</v>
      </c>
      <c r="F159" s="4297"/>
      <c r="G159" s="4298">
        <f t="shared" si="65"/>
        <v>0</v>
      </c>
      <c r="H159" s="4299">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4296">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3"/>
      <c r="AV159" s="1463">
        <f t="shared" si="91"/>
        <v>0</v>
      </c>
      <c r="AW159" s="1463">
        <f t="shared" si="92"/>
        <v>0</v>
      </c>
      <c r="AX159" s="1463">
        <f t="shared" si="93"/>
        <v>0</v>
      </c>
      <c r="AY159" s="4304">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305">
        <f t="shared" si="89"/>
        <v>0</v>
      </c>
    </row>
    <row r="160" spans="1:72">
      <c r="A160" s="4293"/>
      <c r="B160" s="4294"/>
      <c r="C160" s="4294"/>
      <c r="D160" s="4295"/>
      <c r="E160" s="4296">
        <f t="shared" si="90"/>
        <v>0</v>
      </c>
      <c r="F160" s="4297"/>
      <c r="G160" s="4298">
        <f t="shared" si="65"/>
        <v>0</v>
      </c>
      <c r="H160" s="4299">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4296">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3"/>
      <c r="AV160" s="1463">
        <f t="shared" si="91"/>
        <v>0</v>
      </c>
      <c r="AW160" s="1463">
        <f t="shared" si="92"/>
        <v>0</v>
      </c>
      <c r="AX160" s="1463">
        <f t="shared" si="93"/>
        <v>0</v>
      </c>
      <c r="AY160" s="4304">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305">
        <f t="shared" si="89"/>
        <v>0</v>
      </c>
    </row>
    <row r="161" spans="1:72">
      <c r="A161" s="4293"/>
      <c r="B161" s="4294"/>
      <c r="C161" s="4294"/>
      <c r="D161" s="4295"/>
      <c r="E161" s="4296">
        <f t="shared" si="90"/>
        <v>0</v>
      </c>
      <c r="F161" s="4297"/>
      <c r="G161" s="4298">
        <f t="shared" si="65"/>
        <v>0</v>
      </c>
      <c r="H161" s="4299">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4296">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3"/>
      <c r="AV161" s="1463">
        <f t="shared" si="91"/>
        <v>0</v>
      </c>
      <c r="AW161" s="1463">
        <f t="shared" si="92"/>
        <v>0</v>
      </c>
      <c r="AX161" s="1463">
        <f t="shared" si="93"/>
        <v>0</v>
      </c>
      <c r="AY161" s="4304">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305">
        <f t="shared" si="89"/>
        <v>0</v>
      </c>
    </row>
    <row r="162" spans="1:72">
      <c r="A162" s="4293"/>
      <c r="B162" s="4294"/>
      <c r="C162" s="4294"/>
      <c r="D162" s="4295"/>
      <c r="E162" s="4296">
        <f t="shared" si="90"/>
        <v>0</v>
      </c>
      <c r="F162" s="4297"/>
      <c r="G162" s="4298">
        <f t="shared" si="65"/>
        <v>0</v>
      </c>
      <c r="H162" s="4299">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4296">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3"/>
      <c r="AV162" s="1463">
        <f t="shared" si="91"/>
        <v>0</v>
      </c>
      <c r="AW162" s="1463">
        <f t="shared" si="92"/>
        <v>0</v>
      </c>
      <c r="AX162" s="1463">
        <f t="shared" si="93"/>
        <v>0</v>
      </c>
      <c r="AY162" s="4304">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305">
        <f t="shared" si="89"/>
        <v>0</v>
      </c>
    </row>
    <row r="163" spans="1:72">
      <c r="A163" s="4293"/>
      <c r="B163" s="4294"/>
      <c r="C163" s="4294"/>
      <c r="D163" s="4295"/>
      <c r="E163" s="4296">
        <f t="shared" si="90"/>
        <v>0</v>
      </c>
      <c r="F163" s="4297"/>
      <c r="G163" s="4298">
        <f t="shared" si="65"/>
        <v>0</v>
      </c>
      <c r="H163" s="4299">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4296">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3"/>
      <c r="AV163" s="1463">
        <f t="shared" si="91"/>
        <v>0</v>
      </c>
      <c r="AW163" s="1463">
        <f t="shared" si="92"/>
        <v>0</v>
      </c>
      <c r="AX163" s="1463">
        <f t="shared" si="93"/>
        <v>0</v>
      </c>
      <c r="AY163" s="4304">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305">
        <f t="shared" si="89"/>
        <v>0</v>
      </c>
    </row>
    <row r="164" spans="1:72">
      <c r="A164" s="4293"/>
      <c r="B164" s="4294"/>
      <c r="C164" s="4294"/>
      <c r="D164" s="4295"/>
      <c r="E164" s="4296">
        <f t="shared" si="90"/>
        <v>0</v>
      </c>
      <c r="F164" s="4297"/>
      <c r="G164" s="4298">
        <f t="shared" si="65"/>
        <v>0</v>
      </c>
      <c r="H164" s="4299">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4296">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3"/>
      <c r="AV164" s="1463">
        <f t="shared" si="91"/>
        <v>0</v>
      </c>
      <c r="AW164" s="1463">
        <f t="shared" si="92"/>
        <v>0</v>
      </c>
      <c r="AX164" s="1463">
        <f t="shared" si="93"/>
        <v>0</v>
      </c>
      <c r="AY164" s="4304">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305">
        <f t="shared" si="89"/>
        <v>0</v>
      </c>
    </row>
    <row r="165" spans="1:72">
      <c r="A165" s="4293"/>
      <c r="B165" s="4294"/>
      <c r="C165" s="4294"/>
      <c r="D165" s="4295"/>
      <c r="E165" s="4296">
        <f t="shared" si="90"/>
        <v>0</v>
      </c>
      <c r="F165" s="4297"/>
      <c r="G165" s="4298">
        <f t="shared" si="65"/>
        <v>0</v>
      </c>
      <c r="H165" s="4299">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4296">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3"/>
      <c r="AV165" s="1463">
        <f t="shared" si="91"/>
        <v>0</v>
      </c>
      <c r="AW165" s="1463">
        <f t="shared" si="92"/>
        <v>0</v>
      </c>
      <c r="AX165" s="1463">
        <f t="shared" si="93"/>
        <v>0</v>
      </c>
      <c r="AY165" s="4304">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305">
        <f t="shared" si="89"/>
        <v>0</v>
      </c>
    </row>
    <row r="166" spans="1:72">
      <c r="A166" s="4293"/>
      <c r="B166" s="4294"/>
      <c r="C166" s="4294"/>
      <c r="D166" s="4295"/>
      <c r="E166" s="4296">
        <f t="shared" si="90"/>
        <v>0</v>
      </c>
      <c r="F166" s="4297"/>
      <c r="G166" s="4298">
        <f t="shared" si="65"/>
        <v>0</v>
      </c>
      <c r="H166" s="4299">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4296">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3"/>
      <c r="AV166" s="1463">
        <f t="shared" si="91"/>
        <v>0</v>
      </c>
      <c r="AW166" s="1463">
        <f t="shared" si="92"/>
        <v>0</v>
      </c>
      <c r="AX166" s="1463">
        <f t="shared" si="93"/>
        <v>0</v>
      </c>
      <c r="AY166" s="4304">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305">
        <f t="shared" si="89"/>
        <v>0</v>
      </c>
    </row>
    <row r="167" spans="1:72">
      <c r="A167" s="4293"/>
      <c r="B167" s="4294"/>
      <c r="C167" s="4294"/>
      <c r="D167" s="4295"/>
      <c r="E167" s="4296">
        <f t="shared" si="90"/>
        <v>0</v>
      </c>
      <c r="F167" s="4297"/>
      <c r="G167" s="4298">
        <f t="shared" si="65"/>
        <v>0</v>
      </c>
      <c r="H167" s="4299">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4296">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3"/>
      <c r="AV167" s="1463">
        <f t="shared" si="91"/>
        <v>0</v>
      </c>
      <c r="AW167" s="1463">
        <f t="shared" si="92"/>
        <v>0</v>
      </c>
      <c r="AX167" s="1463">
        <f t="shared" si="93"/>
        <v>0</v>
      </c>
      <c r="AY167" s="4304">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305">
        <f t="shared" si="89"/>
        <v>0</v>
      </c>
    </row>
    <row r="168" spans="1:72">
      <c r="A168" s="4293"/>
      <c r="B168" s="4294"/>
      <c r="C168" s="4294"/>
      <c r="D168" s="4295"/>
      <c r="E168" s="4296">
        <f t="shared" si="90"/>
        <v>0</v>
      </c>
      <c r="F168" s="4297"/>
      <c r="G168" s="4298">
        <f t="shared" si="65"/>
        <v>0</v>
      </c>
      <c r="H168" s="4299">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4296">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3"/>
      <c r="AV168" s="1463">
        <f t="shared" si="91"/>
        <v>0</v>
      </c>
      <c r="AW168" s="1463">
        <f t="shared" si="92"/>
        <v>0</v>
      </c>
      <c r="AX168" s="1463">
        <f t="shared" si="93"/>
        <v>0</v>
      </c>
      <c r="AY168" s="4304">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305">
        <f t="shared" si="89"/>
        <v>0</v>
      </c>
    </row>
    <row r="169" spans="1:72">
      <c r="A169" s="4293"/>
      <c r="B169" s="4294"/>
      <c r="C169" s="4294"/>
      <c r="D169" s="4295"/>
      <c r="E169" s="4296">
        <f t="shared" si="90"/>
        <v>0</v>
      </c>
      <c r="F169" s="4297"/>
      <c r="G169" s="4298">
        <f t="shared" si="65"/>
        <v>0</v>
      </c>
      <c r="H169" s="4299">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4296">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3"/>
      <c r="AV169" s="1463">
        <f t="shared" si="91"/>
        <v>0</v>
      </c>
      <c r="AW169" s="1463">
        <f t="shared" si="92"/>
        <v>0</v>
      </c>
      <c r="AX169" s="1463">
        <f t="shared" si="93"/>
        <v>0</v>
      </c>
      <c r="AY169" s="4304">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305">
        <f t="shared" si="89"/>
        <v>0</v>
      </c>
    </row>
    <row r="170" spans="1:72">
      <c r="A170" s="4293"/>
      <c r="B170" s="4294"/>
      <c r="C170" s="4294"/>
      <c r="D170" s="4295"/>
      <c r="E170" s="4296">
        <f t="shared" si="90"/>
        <v>0</v>
      </c>
      <c r="F170" s="4297"/>
      <c r="G170" s="4298">
        <f t="shared" si="65"/>
        <v>0</v>
      </c>
      <c r="H170" s="4299">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4296">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3"/>
      <c r="AV170" s="1463">
        <f t="shared" si="91"/>
        <v>0</v>
      </c>
      <c r="AW170" s="1463">
        <f t="shared" si="92"/>
        <v>0</v>
      </c>
      <c r="AX170" s="1463">
        <f t="shared" si="93"/>
        <v>0</v>
      </c>
      <c r="AY170" s="4304">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305">
        <f t="shared" si="89"/>
        <v>0</v>
      </c>
    </row>
    <row r="171" spans="1:72">
      <c r="A171" s="4293"/>
      <c r="B171" s="4294"/>
      <c r="C171" s="4294"/>
      <c r="D171" s="4295"/>
      <c r="E171" s="4296">
        <f t="shared" si="90"/>
        <v>0</v>
      </c>
      <c r="F171" s="4297"/>
      <c r="G171" s="4298">
        <f t="shared" si="65"/>
        <v>0</v>
      </c>
      <c r="H171" s="4299">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4296">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3"/>
      <c r="AV171" s="1463">
        <f t="shared" si="91"/>
        <v>0</v>
      </c>
      <c r="AW171" s="1463">
        <f t="shared" si="92"/>
        <v>0</v>
      </c>
      <c r="AX171" s="1463">
        <f t="shared" si="93"/>
        <v>0</v>
      </c>
      <c r="AY171" s="4304">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305">
        <f t="shared" si="89"/>
        <v>0</v>
      </c>
    </row>
    <row r="172" spans="1:72">
      <c r="A172" s="4293"/>
      <c r="B172" s="4294"/>
      <c r="C172" s="4294"/>
      <c r="D172" s="4295"/>
      <c r="E172" s="4296">
        <f t="shared" si="90"/>
        <v>0</v>
      </c>
      <c r="F172" s="4297"/>
      <c r="G172" s="4298">
        <f t="shared" si="65"/>
        <v>0</v>
      </c>
      <c r="H172" s="4299">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4296">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3"/>
      <c r="AV172" s="1463">
        <f t="shared" si="91"/>
        <v>0</v>
      </c>
      <c r="AW172" s="1463">
        <f t="shared" si="92"/>
        <v>0</v>
      </c>
      <c r="AX172" s="1463">
        <f t="shared" si="93"/>
        <v>0</v>
      </c>
      <c r="AY172" s="4304">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305">
        <f t="shared" si="89"/>
        <v>0</v>
      </c>
    </row>
    <row r="173" spans="1:72">
      <c r="A173" s="4293"/>
      <c r="B173" s="4294"/>
      <c r="C173" s="4294"/>
      <c r="D173" s="4295"/>
      <c r="E173" s="4296">
        <f t="shared" si="90"/>
        <v>0</v>
      </c>
      <c r="F173" s="4297"/>
      <c r="G173" s="4298">
        <f t="shared" si="65"/>
        <v>0</v>
      </c>
      <c r="H173" s="4299">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4296">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3"/>
      <c r="AV173" s="1463">
        <f t="shared" si="91"/>
        <v>0</v>
      </c>
      <c r="AW173" s="1463">
        <f t="shared" si="92"/>
        <v>0</v>
      </c>
      <c r="AX173" s="1463">
        <f t="shared" si="93"/>
        <v>0</v>
      </c>
      <c r="AY173" s="4304">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305">
        <f t="shared" si="89"/>
        <v>0</v>
      </c>
    </row>
    <row r="174" spans="1:72">
      <c r="A174" s="4293"/>
      <c r="B174" s="4294"/>
      <c r="C174" s="4294"/>
      <c r="D174" s="4295"/>
      <c r="E174" s="4296">
        <f t="shared" si="90"/>
        <v>0</v>
      </c>
      <c r="F174" s="4297"/>
      <c r="G174" s="4298">
        <f t="shared" ref="G174:G207" si="94">H174+AC174+AT174</f>
        <v>0</v>
      </c>
      <c r="H174" s="4299">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4296">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3"/>
      <c r="AV174" s="1463">
        <f t="shared" si="91"/>
        <v>0</v>
      </c>
      <c r="AW174" s="1463">
        <f t="shared" si="92"/>
        <v>0</v>
      </c>
      <c r="AX174" s="1463">
        <f t="shared" si="93"/>
        <v>0</v>
      </c>
      <c r="AY174" s="4304">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305">
        <f t="shared" ref="BT174:BT207" si="118">IF($D174="是",AR174-AS174,0)</f>
        <v>0</v>
      </c>
    </row>
    <row r="175" spans="1:72">
      <c r="A175" s="4293"/>
      <c r="B175" s="4294"/>
      <c r="C175" s="4294"/>
      <c r="D175" s="4295"/>
      <c r="E175" s="4296">
        <f t="shared" si="90"/>
        <v>0</v>
      </c>
      <c r="F175" s="4297"/>
      <c r="G175" s="4298">
        <f t="shared" si="94"/>
        <v>0</v>
      </c>
      <c r="H175" s="4299">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4296">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3"/>
      <c r="AV175" s="1463">
        <f t="shared" si="91"/>
        <v>0</v>
      </c>
      <c r="AW175" s="1463">
        <f t="shared" si="92"/>
        <v>0</v>
      </c>
      <c r="AX175" s="1463">
        <f t="shared" si="93"/>
        <v>0</v>
      </c>
      <c r="AY175" s="4304">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305">
        <f t="shared" si="118"/>
        <v>0</v>
      </c>
    </row>
    <row r="176" spans="1:72">
      <c r="A176" s="4293"/>
      <c r="B176" s="4294"/>
      <c r="C176" s="4294"/>
      <c r="D176" s="4295"/>
      <c r="E176" s="4296">
        <f t="shared" si="90"/>
        <v>0</v>
      </c>
      <c r="F176" s="4297"/>
      <c r="G176" s="4298">
        <f t="shared" si="94"/>
        <v>0</v>
      </c>
      <c r="H176" s="4299">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4296">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3"/>
      <c r="AV176" s="1463">
        <f t="shared" si="91"/>
        <v>0</v>
      </c>
      <c r="AW176" s="1463">
        <f t="shared" si="92"/>
        <v>0</v>
      </c>
      <c r="AX176" s="1463">
        <f t="shared" si="93"/>
        <v>0</v>
      </c>
      <c r="AY176" s="4304">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305">
        <f t="shared" si="118"/>
        <v>0</v>
      </c>
    </row>
    <row r="177" spans="1:72">
      <c r="A177" s="4293"/>
      <c r="B177" s="4294"/>
      <c r="C177" s="4294"/>
      <c r="D177" s="4295"/>
      <c r="E177" s="4296">
        <f t="shared" ref="E177:E207" si="119">IF($C$3="是",ROUND($A$3*G177/$B$3,2),ROUND($A$3*(G177-AT177)/$B$3,2))</f>
        <v>0</v>
      </c>
      <c r="F177" s="4297"/>
      <c r="G177" s="4298">
        <f t="shared" si="94"/>
        <v>0</v>
      </c>
      <c r="H177" s="4299">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4296">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3"/>
      <c r="AV177" s="1463">
        <f t="shared" ref="AV177:AV207" si="120">A177</f>
        <v>0</v>
      </c>
      <c r="AW177" s="1463">
        <f t="shared" ref="AW177:AW207" si="121">B177</f>
        <v>0</v>
      </c>
      <c r="AX177" s="1463">
        <f t="shared" ref="AX177:AX207" si="122">C177</f>
        <v>0</v>
      </c>
      <c r="AY177" s="4304">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305">
        <f t="shared" si="118"/>
        <v>0</v>
      </c>
    </row>
    <row r="178" spans="1:72">
      <c r="A178" s="4293"/>
      <c r="B178" s="4294"/>
      <c r="C178" s="4294"/>
      <c r="D178" s="4295"/>
      <c r="E178" s="4296">
        <f t="shared" si="119"/>
        <v>0</v>
      </c>
      <c r="F178" s="4297"/>
      <c r="G178" s="4298">
        <f t="shared" si="94"/>
        <v>0</v>
      </c>
      <c r="H178" s="4299">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4296">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3"/>
      <c r="AV178" s="1463">
        <f t="shared" si="120"/>
        <v>0</v>
      </c>
      <c r="AW178" s="1463">
        <f t="shared" si="121"/>
        <v>0</v>
      </c>
      <c r="AX178" s="1463">
        <f t="shared" si="122"/>
        <v>0</v>
      </c>
      <c r="AY178" s="4304">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305">
        <f t="shared" si="118"/>
        <v>0</v>
      </c>
    </row>
    <row r="179" spans="1:72">
      <c r="A179" s="4293"/>
      <c r="B179" s="4294"/>
      <c r="C179" s="4294"/>
      <c r="D179" s="4295"/>
      <c r="E179" s="4296">
        <f t="shared" si="119"/>
        <v>0</v>
      </c>
      <c r="F179" s="4297"/>
      <c r="G179" s="4298">
        <f t="shared" si="94"/>
        <v>0</v>
      </c>
      <c r="H179" s="4299">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4296">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3"/>
      <c r="AV179" s="1463">
        <f t="shared" si="120"/>
        <v>0</v>
      </c>
      <c r="AW179" s="1463">
        <f t="shared" si="121"/>
        <v>0</v>
      </c>
      <c r="AX179" s="1463">
        <f t="shared" si="122"/>
        <v>0</v>
      </c>
      <c r="AY179" s="4304">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305">
        <f t="shared" si="118"/>
        <v>0</v>
      </c>
    </row>
    <row r="180" spans="1:72">
      <c r="A180" s="4293"/>
      <c r="B180" s="4294"/>
      <c r="C180" s="4294"/>
      <c r="D180" s="4295"/>
      <c r="E180" s="4296">
        <f t="shared" si="119"/>
        <v>0</v>
      </c>
      <c r="F180" s="4297"/>
      <c r="G180" s="4298">
        <f t="shared" si="94"/>
        <v>0</v>
      </c>
      <c r="H180" s="4299">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4296">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3"/>
      <c r="AV180" s="1463">
        <f t="shared" si="120"/>
        <v>0</v>
      </c>
      <c r="AW180" s="1463">
        <f t="shared" si="121"/>
        <v>0</v>
      </c>
      <c r="AX180" s="1463">
        <f t="shared" si="122"/>
        <v>0</v>
      </c>
      <c r="AY180" s="4304">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305">
        <f t="shared" si="118"/>
        <v>0</v>
      </c>
    </row>
    <row r="181" spans="1:72">
      <c r="A181" s="4293"/>
      <c r="B181" s="4294"/>
      <c r="C181" s="4294"/>
      <c r="D181" s="4295"/>
      <c r="E181" s="4296">
        <f t="shared" si="119"/>
        <v>0</v>
      </c>
      <c r="F181" s="4297"/>
      <c r="G181" s="4298">
        <f t="shared" si="94"/>
        <v>0</v>
      </c>
      <c r="H181" s="4299">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4296">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3"/>
      <c r="AV181" s="1463">
        <f t="shared" si="120"/>
        <v>0</v>
      </c>
      <c r="AW181" s="1463">
        <f t="shared" si="121"/>
        <v>0</v>
      </c>
      <c r="AX181" s="1463">
        <f t="shared" si="122"/>
        <v>0</v>
      </c>
      <c r="AY181" s="4304">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305">
        <f t="shared" si="118"/>
        <v>0</v>
      </c>
    </row>
    <row r="182" spans="1:72">
      <c r="A182" s="4293"/>
      <c r="B182" s="4294"/>
      <c r="C182" s="4294"/>
      <c r="D182" s="4295"/>
      <c r="E182" s="4296">
        <f t="shared" si="119"/>
        <v>0</v>
      </c>
      <c r="F182" s="4297"/>
      <c r="G182" s="4298">
        <f t="shared" si="94"/>
        <v>0</v>
      </c>
      <c r="H182" s="4299">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4296">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3"/>
      <c r="AV182" s="1463">
        <f t="shared" si="120"/>
        <v>0</v>
      </c>
      <c r="AW182" s="1463">
        <f t="shared" si="121"/>
        <v>0</v>
      </c>
      <c r="AX182" s="1463">
        <f t="shared" si="122"/>
        <v>0</v>
      </c>
      <c r="AY182" s="4304">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305">
        <f t="shared" si="118"/>
        <v>0</v>
      </c>
    </row>
    <row r="183" spans="1:72">
      <c r="A183" s="4293"/>
      <c r="B183" s="4294"/>
      <c r="C183" s="4294"/>
      <c r="D183" s="4295"/>
      <c r="E183" s="4296">
        <f t="shared" si="119"/>
        <v>0</v>
      </c>
      <c r="F183" s="4297"/>
      <c r="G183" s="4298">
        <f t="shared" si="94"/>
        <v>0</v>
      </c>
      <c r="H183" s="4299">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4296">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3"/>
      <c r="AV183" s="1463">
        <f t="shared" si="120"/>
        <v>0</v>
      </c>
      <c r="AW183" s="1463">
        <f t="shared" si="121"/>
        <v>0</v>
      </c>
      <c r="AX183" s="1463">
        <f t="shared" si="122"/>
        <v>0</v>
      </c>
      <c r="AY183" s="4304">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305">
        <f t="shared" si="118"/>
        <v>0</v>
      </c>
    </row>
    <row r="184" spans="1:72">
      <c r="A184" s="4293"/>
      <c r="B184" s="4294"/>
      <c r="C184" s="4294"/>
      <c r="D184" s="4295"/>
      <c r="E184" s="4296">
        <f t="shared" si="119"/>
        <v>0</v>
      </c>
      <c r="F184" s="4297"/>
      <c r="G184" s="4298">
        <f t="shared" si="94"/>
        <v>0</v>
      </c>
      <c r="H184" s="4299">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4296">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3"/>
      <c r="AV184" s="1463">
        <f t="shared" si="120"/>
        <v>0</v>
      </c>
      <c r="AW184" s="1463">
        <f t="shared" si="121"/>
        <v>0</v>
      </c>
      <c r="AX184" s="1463">
        <f t="shared" si="122"/>
        <v>0</v>
      </c>
      <c r="AY184" s="4304">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305">
        <f t="shared" si="118"/>
        <v>0</v>
      </c>
    </row>
    <row r="185" spans="1:72">
      <c r="A185" s="4293"/>
      <c r="B185" s="4294"/>
      <c r="C185" s="4294"/>
      <c r="D185" s="4295"/>
      <c r="E185" s="4296">
        <f t="shared" si="119"/>
        <v>0</v>
      </c>
      <c r="F185" s="4297"/>
      <c r="G185" s="4298">
        <f t="shared" si="94"/>
        <v>0</v>
      </c>
      <c r="H185" s="4299">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4296">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3"/>
      <c r="AV185" s="1463">
        <f t="shared" si="120"/>
        <v>0</v>
      </c>
      <c r="AW185" s="1463">
        <f t="shared" si="121"/>
        <v>0</v>
      </c>
      <c r="AX185" s="1463">
        <f t="shared" si="122"/>
        <v>0</v>
      </c>
      <c r="AY185" s="4304">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305">
        <f t="shared" si="118"/>
        <v>0</v>
      </c>
    </row>
    <row r="186" spans="1:72">
      <c r="A186" s="4293"/>
      <c r="B186" s="4294"/>
      <c r="C186" s="4294"/>
      <c r="D186" s="4295"/>
      <c r="E186" s="4296">
        <f t="shared" si="119"/>
        <v>0</v>
      </c>
      <c r="F186" s="4297"/>
      <c r="G186" s="4298">
        <f t="shared" si="94"/>
        <v>0</v>
      </c>
      <c r="H186" s="4299">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4296">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3"/>
      <c r="AV186" s="1463">
        <f t="shared" si="120"/>
        <v>0</v>
      </c>
      <c r="AW186" s="1463">
        <f t="shared" si="121"/>
        <v>0</v>
      </c>
      <c r="AX186" s="1463">
        <f t="shared" si="122"/>
        <v>0</v>
      </c>
      <c r="AY186" s="4304">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305">
        <f t="shared" si="118"/>
        <v>0</v>
      </c>
    </row>
    <row r="187" spans="1:72">
      <c r="A187" s="4293"/>
      <c r="B187" s="4294"/>
      <c r="C187" s="4294"/>
      <c r="D187" s="4295"/>
      <c r="E187" s="4296">
        <f t="shared" si="119"/>
        <v>0</v>
      </c>
      <c r="F187" s="4297"/>
      <c r="G187" s="4298">
        <f t="shared" si="94"/>
        <v>0</v>
      </c>
      <c r="H187" s="4299">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4296">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3"/>
      <c r="AV187" s="1463">
        <f t="shared" si="120"/>
        <v>0</v>
      </c>
      <c r="AW187" s="1463">
        <f t="shared" si="121"/>
        <v>0</v>
      </c>
      <c r="AX187" s="1463">
        <f t="shared" si="122"/>
        <v>0</v>
      </c>
      <c r="AY187" s="4304">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305">
        <f t="shared" si="118"/>
        <v>0</v>
      </c>
    </row>
    <row r="188" spans="1:72">
      <c r="A188" s="4293"/>
      <c r="B188" s="4294"/>
      <c r="C188" s="4294"/>
      <c r="D188" s="4295"/>
      <c r="E188" s="4296">
        <f t="shared" si="119"/>
        <v>0</v>
      </c>
      <c r="F188" s="4297"/>
      <c r="G188" s="4298">
        <f t="shared" si="94"/>
        <v>0</v>
      </c>
      <c r="H188" s="4299">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4296">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3"/>
      <c r="AV188" s="1463">
        <f t="shared" si="120"/>
        <v>0</v>
      </c>
      <c r="AW188" s="1463">
        <f t="shared" si="121"/>
        <v>0</v>
      </c>
      <c r="AX188" s="1463">
        <f t="shared" si="122"/>
        <v>0</v>
      </c>
      <c r="AY188" s="4304">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305">
        <f t="shared" si="118"/>
        <v>0</v>
      </c>
    </row>
    <row r="189" spans="1:72">
      <c r="A189" s="4293"/>
      <c r="B189" s="4294"/>
      <c r="C189" s="4294"/>
      <c r="D189" s="4295"/>
      <c r="E189" s="4296">
        <f t="shared" si="119"/>
        <v>0</v>
      </c>
      <c r="F189" s="4297"/>
      <c r="G189" s="4298">
        <f t="shared" si="94"/>
        <v>0</v>
      </c>
      <c r="H189" s="4299">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4296">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3"/>
      <c r="AV189" s="1463">
        <f t="shared" si="120"/>
        <v>0</v>
      </c>
      <c r="AW189" s="1463">
        <f t="shared" si="121"/>
        <v>0</v>
      </c>
      <c r="AX189" s="1463">
        <f t="shared" si="122"/>
        <v>0</v>
      </c>
      <c r="AY189" s="4304">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305">
        <f t="shared" si="118"/>
        <v>0</v>
      </c>
    </row>
    <row r="190" spans="1:72">
      <c r="A190" s="4293"/>
      <c r="B190" s="4294"/>
      <c r="C190" s="4294"/>
      <c r="D190" s="4295"/>
      <c r="E190" s="4296">
        <f t="shared" si="119"/>
        <v>0</v>
      </c>
      <c r="F190" s="4297"/>
      <c r="G190" s="4298">
        <f t="shared" si="94"/>
        <v>0</v>
      </c>
      <c r="H190" s="4299">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4296">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3"/>
      <c r="AV190" s="1463">
        <f t="shared" si="120"/>
        <v>0</v>
      </c>
      <c r="AW190" s="1463">
        <f t="shared" si="121"/>
        <v>0</v>
      </c>
      <c r="AX190" s="1463">
        <f t="shared" si="122"/>
        <v>0</v>
      </c>
      <c r="AY190" s="4304">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305">
        <f t="shared" si="118"/>
        <v>0</v>
      </c>
    </row>
    <row r="191" spans="1:72">
      <c r="A191" s="4293"/>
      <c r="B191" s="4294"/>
      <c r="C191" s="4294"/>
      <c r="D191" s="4295"/>
      <c r="E191" s="4296">
        <f t="shared" si="119"/>
        <v>0</v>
      </c>
      <c r="F191" s="4297"/>
      <c r="G191" s="4298">
        <f t="shared" si="94"/>
        <v>0</v>
      </c>
      <c r="H191" s="4299">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4296">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3"/>
      <c r="AV191" s="1463">
        <f t="shared" si="120"/>
        <v>0</v>
      </c>
      <c r="AW191" s="1463">
        <f t="shared" si="121"/>
        <v>0</v>
      </c>
      <c r="AX191" s="1463">
        <f t="shared" si="122"/>
        <v>0</v>
      </c>
      <c r="AY191" s="4304">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305">
        <f t="shared" si="118"/>
        <v>0</v>
      </c>
    </row>
    <row r="192" spans="1:72">
      <c r="A192" s="4293"/>
      <c r="B192" s="4294"/>
      <c r="C192" s="4294"/>
      <c r="D192" s="4295"/>
      <c r="E192" s="4296">
        <f t="shared" si="119"/>
        <v>0</v>
      </c>
      <c r="F192" s="4297"/>
      <c r="G192" s="4298">
        <f t="shared" si="94"/>
        <v>0</v>
      </c>
      <c r="H192" s="4299">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4296">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3"/>
      <c r="AV192" s="1463">
        <f t="shared" si="120"/>
        <v>0</v>
      </c>
      <c r="AW192" s="1463">
        <f t="shared" si="121"/>
        <v>0</v>
      </c>
      <c r="AX192" s="1463">
        <f t="shared" si="122"/>
        <v>0</v>
      </c>
      <c r="AY192" s="4304">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305">
        <f t="shared" si="118"/>
        <v>0</v>
      </c>
    </row>
    <row r="193" spans="1:72">
      <c r="A193" s="4293"/>
      <c r="B193" s="4294"/>
      <c r="C193" s="4294"/>
      <c r="D193" s="4295"/>
      <c r="E193" s="4296">
        <f t="shared" si="119"/>
        <v>0</v>
      </c>
      <c r="F193" s="4297"/>
      <c r="G193" s="4298">
        <f t="shared" si="94"/>
        <v>0</v>
      </c>
      <c r="H193" s="4299">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4296">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3"/>
      <c r="AV193" s="1463">
        <f t="shared" si="120"/>
        <v>0</v>
      </c>
      <c r="AW193" s="1463">
        <f t="shared" si="121"/>
        <v>0</v>
      </c>
      <c r="AX193" s="1463">
        <f t="shared" si="122"/>
        <v>0</v>
      </c>
      <c r="AY193" s="4304">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305">
        <f t="shared" si="118"/>
        <v>0</v>
      </c>
    </row>
    <row r="194" spans="1:72">
      <c r="A194" s="4293"/>
      <c r="B194" s="4294"/>
      <c r="C194" s="4294"/>
      <c r="D194" s="4295"/>
      <c r="E194" s="4296">
        <f t="shared" si="119"/>
        <v>0</v>
      </c>
      <c r="F194" s="4297"/>
      <c r="G194" s="4298">
        <f t="shared" si="94"/>
        <v>0</v>
      </c>
      <c r="H194" s="4299">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4296">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3"/>
      <c r="AV194" s="1463">
        <f t="shared" si="120"/>
        <v>0</v>
      </c>
      <c r="AW194" s="1463">
        <f t="shared" si="121"/>
        <v>0</v>
      </c>
      <c r="AX194" s="1463">
        <f t="shared" si="122"/>
        <v>0</v>
      </c>
      <c r="AY194" s="4304">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305">
        <f t="shared" si="118"/>
        <v>0</v>
      </c>
    </row>
    <row r="195" spans="1:72">
      <c r="A195" s="4293"/>
      <c r="B195" s="4294"/>
      <c r="C195" s="4294"/>
      <c r="D195" s="4295"/>
      <c r="E195" s="4296">
        <f t="shared" si="119"/>
        <v>0</v>
      </c>
      <c r="F195" s="4297"/>
      <c r="G195" s="4298">
        <f t="shared" si="94"/>
        <v>0</v>
      </c>
      <c r="H195" s="4299">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4296">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3"/>
      <c r="AV195" s="1463">
        <f t="shared" si="120"/>
        <v>0</v>
      </c>
      <c r="AW195" s="1463">
        <f t="shared" si="121"/>
        <v>0</v>
      </c>
      <c r="AX195" s="1463">
        <f t="shared" si="122"/>
        <v>0</v>
      </c>
      <c r="AY195" s="4304">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305">
        <f t="shared" si="118"/>
        <v>0</v>
      </c>
    </row>
    <row r="196" spans="1:72">
      <c r="A196" s="4293"/>
      <c r="B196" s="4294"/>
      <c r="C196" s="4294"/>
      <c r="D196" s="4295"/>
      <c r="E196" s="4296">
        <f t="shared" si="119"/>
        <v>0</v>
      </c>
      <c r="F196" s="4297"/>
      <c r="G196" s="4298">
        <f t="shared" si="94"/>
        <v>0</v>
      </c>
      <c r="H196" s="4299">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4296">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3"/>
      <c r="AV196" s="1463">
        <f t="shared" si="120"/>
        <v>0</v>
      </c>
      <c r="AW196" s="1463">
        <f t="shared" si="121"/>
        <v>0</v>
      </c>
      <c r="AX196" s="1463">
        <f t="shared" si="122"/>
        <v>0</v>
      </c>
      <c r="AY196" s="4304">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305">
        <f t="shared" si="118"/>
        <v>0</v>
      </c>
    </row>
    <row r="197" spans="1:72">
      <c r="A197" s="4293"/>
      <c r="B197" s="4294"/>
      <c r="C197" s="4294"/>
      <c r="D197" s="4295"/>
      <c r="E197" s="4296">
        <f t="shared" si="119"/>
        <v>0</v>
      </c>
      <c r="F197" s="4297"/>
      <c r="G197" s="4298">
        <f t="shared" si="94"/>
        <v>0</v>
      </c>
      <c r="H197" s="4299">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4296">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3"/>
      <c r="AV197" s="1463">
        <f t="shared" si="120"/>
        <v>0</v>
      </c>
      <c r="AW197" s="1463">
        <f t="shared" si="121"/>
        <v>0</v>
      </c>
      <c r="AX197" s="1463">
        <f t="shared" si="122"/>
        <v>0</v>
      </c>
      <c r="AY197" s="4304">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305">
        <f t="shared" si="118"/>
        <v>0</v>
      </c>
    </row>
    <row r="198" spans="1:72">
      <c r="A198" s="4293"/>
      <c r="B198" s="4294"/>
      <c r="C198" s="4294"/>
      <c r="D198" s="4295"/>
      <c r="E198" s="4296">
        <f t="shared" si="119"/>
        <v>0</v>
      </c>
      <c r="F198" s="4297"/>
      <c r="G198" s="4298">
        <f t="shared" si="94"/>
        <v>0</v>
      </c>
      <c r="H198" s="4299">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4296">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3"/>
      <c r="AV198" s="1463">
        <f t="shared" si="120"/>
        <v>0</v>
      </c>
      <c r="AW198" s="1463">
        <f t="shared" si="121"/>
        <v>0</v>
      </c>
      <c r="AX198" s="1463">
        <f t="shared" si="122"/>
        <v>0</v>
      </c>
      <c r="AY198" s="4304">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305">
        <f t="shared" si="118"/>
        <v>0</v>
      </c>
    </row>
    <row r="199" spans="1:72">
      <c r="A199" s="4293"/>
      <c r="B199" s="4294"/>
      <c r="C199" s="4294"/>
      <c r="D199" s="4295"/>
      <c r="E199" s="4296">
        <f t="shared" si="119"/>
        <v>0</v>
      </c>
      <c r="F199" s="4297"/>
      <c r="G199" s="4298">
        <f t="shared" si="94"/>
        <v>0</v>
      </c>
      <c r="H199" s="4299">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4296">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3"/>
      <c r="AV199" s="1463">
        <f t="shared" si="120"/>
        <v>0</v>
      </c>
      <c r="AW199" s="1463">
        <f t="shared" si="121"/>
        <v>0</v>
      </c>
      <c r="AX199" s="1463">
        <f t="shared" si="122"/>
        <v>0</v>
      </c>
      <c r="AY199" s="4304">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305">
        <f t="shared" si="118"/>
        <v>0</v>
      </c>
    </row>
    <row r="200" spans="1:72">
      <c r="A200" s="4293"/>
      <c r="B200" s="4294"/>
      <c r="C200" s="4294"/>
      <c r="D200" s="4295"/>
      <c r="E200" s="4296">
        <f t="shared" si="119"/>
        <v>0</v>
      </c>
      <c r="F200" s="4297"/>
      <c r="G200" s="4298">
        <f t="shared" si="94"/>
        <v>0</v>
      </c>
      <c r="H200" s="4299">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4296">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3"/>
      <c r="AV200" s="1463">
        <f t="shared" si="120"/>
        <v>0</v>
      </c>
      <c r="AW200" s="1463">
        <f t="shared" si="121"/>
        <v>0</v>
      </c>
      <c r="AX200" s="1463">
        <f t="shared" si="122"/>
        <v>0</v>
      </c>
      <c r="AY200" s="4304">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305">
        <f t="shared" si="118"/>
        <v>0</v>
      </c>
    </row>
    <row r="201" spans="1:72">
      <c r="A201" s="4293"/>
      <c r="B201" s="4294"/>
      <c r="C201" s="4294"/>
      <c r="D201" s="4295"/>
      <c r="E201" s="4296">
        <f t="shared" si="119"/>
        <v>0</v>
      </c>
      <c r="F201" s="4297"/>
      <c r="G201" s="4298">
        <f t="shared" si="94"/>
        <v>0</v>
      </c>
      <c r="H201" s="4299">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4296">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3"/>
      <c r="AV201" s="1463">
        <f t="shared" si="120"/>
        <v>0</v>
      </c>
      <c r="AW201" s="1463">
        <f t="shared" si="121"/>
        <v>0</v>
      </c>
      <c r="AX201" s="1463">
        <f t="shared" si="122"/>
        <v>0</v>
      </c>
      <c r="AY201" s="4304">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305">
        <f t="shared" si="118"/>
        <v>0</v>
      </c>
    </row>
    <row r="202" spans="1:72">
      <c r="A202" s="4293"/>
      <c r="B202" s="4294"/>
      <c r="C202" s="4294"/>
      <c r="D202" s="4295"/>
      <c r="E202" s="4296">
        <f t="shared" si="119"/>
        <v>0</v>
      </c>
      <c r="F202" s="4297"/>
      <c r="G202" s="4298">
        <f t="shared" si="94"/>
        <v>0</v>
      </c>
      <c r="H202" s="4299">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4296">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3"/>
      <c r="AV202" s="1463">
        <f t="shared" si="120"/>
        <v>0</v>
      </c>
      <c r="AW202" s="1463">
        <f t="shared" si="121"/>
        <v>0</v>
      </c>
      <c r="AX202" s="1463">
        <f t="shared" si="122"/>
        <v>0</v>
      </c>
      <c r="AY202" s="4304">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305">
        <f t="shared" si="118"/>
        <v>0</v>
      </c>
    </row>
    <row r="203" spans="1:72">
      <c r="A203" s="4293"/>
      <c r="B203" s="4294"/>
      <c r="C203" s="4294"/>
      <c r="D203" s="4295"/>
      <c r="E203" s="4296">
        <f t="shared" si="119"/>
        <v>0</v>
      </c>
      <c r="F203" s="4297"/>
      <c r="G203" s="4298">
        <f t="shared" si="94"/>
        <v>0</v>
      </c>
      <c r="H203" s="4299">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4296">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3"/>
      <c r="AV203" s="1463">
        <f t="shared" si="120"/>
        <v>0</v>
      </c>
      <c r="AW203" s="1463">
        <f t="shared" si="121"/>
        <v>0</v>
      </c>
      <c r="AX203" s="1463">
        <f t="shared" si="122"/>
        <v>0</v>
      </c>
      <c r="AY203" s="4304">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305">
        <f t="shared" si="118"/>
        <v>0</v>
      </c>
    </row>
    <row r="204" spans="1:72">
      <c r="A204" s="4293"/>
      <c r="B204" s="4294"/>
      <c r="C204" s="4294"/>
      <c r="D204" s="4295"/>
      <c r="E204" s="4296">
        <f t="shared" si="119"/>
        <v>0</v>
      </c>
      <c r="F204" s="4297"/>
      <c r="G204" s="4298">
        <f t="shared" si="94"/>
        <v>0</v>
      </c>
      <c r="H204" s="4299">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4296">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3"/>
      <c r="AV204" s="1463">
        <f t="shared" si="120"/>
        <v>0</v>
      </c>
      <c r="AW204" s="1463">
        <f t="shared" si="121"/>
        <v>0</v>
      </c>
      <c r="AX204" s="1463">
        <f t="shared" si="122"/>
        <v>0</v>
      </c>
      <c r="AY204" s="4304">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305">
        <f t="shared" si="118"/>
        <v>0</v>
      </c>
    </row>
    <row r="205" spans="1:72">
      <c r="A205" s="4293"/>
      <c r="B205" s="4293"/>
      <c r="C205" s="4293"/>
      <c r="D205" s="4295"/>
      <c r="E205" s="4296">
        <f t="shared" si="119"/>
        <v>0</v>
      </c>
      <c r="F205" s="1850"/>
      <c r="G205" s="4298">
        <f t="shared" si="94"/>
        <v>0</v>
      </c>
      <c r="H205" s="4299">
        <f t="shared" si="95"/>
        <v>0</v>
      </c>
      <c r="I205" s="4306"/>
      <c r="J205" s="4306"/>
      <c r="K205" s="4300"/>
      <c r="L205" s="4300"/>
      <c r="M205" s="4300"/>
      <c r="N205" s="4300"/>
      <c r="O205" s="4300"/>
      <c r="P205" s="4300"/>
      <c r="Q205" s="4300"/>
      <c r="R205" s="4300"/>
      <c r="S205" s="4300"/>
      <c r="T205" s="4300"/>
      <c r="U205" s="4300"/>
      <c r="V205" s="4300"/>
      <c r="W205" s="4300"/>
      <c r="X205" s="4300"/>
      <c r="Y205" s="4300"/>
      <c r="Z205" s="4300"/>
      <c r="AA205" s="4300"/>
      <c r="AB205" s="4300"/>
      <c r="AC205" s="4296">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7"/>
      <c r="AV205" s="1463">
        <f t="shared" si="120"/>
        <v>0</v>
      </c>
      <c r="AW205" s="1463">
        <f t="shared" si="121"/>
        <v>0</v>
      </c>
      <c r="AX205" s="1463">
        <f t="shared" si="122"/>
        <v>0</v>
      </c>
      <c r="AY205" s="4304">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305">
        <f t="shared" si="118"/>
        <v>0</v>
      </c>
    </row>
    <row r="206" spans="1:72">
      <c r="A206" s="4293"/>
      <c r="B206" s="4293"/>
      <c r="C206" s="4293"/>
      <c r="D206" s="4295"/>
      <c r="E206" s="4296">
        <f t="shared" si="119"/>
        <v>0</v>
      </c>
      <c r="F206" s="1850"/>
      <c r="G206" s="4298">
        <f t="shared" si="94"/>
        <v>0</v>
      </c>
      <c r="H206" s="4299">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4296">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7"/>
      <c r="AV206" s="1463">
        <f t="shared" si="120"/>
        <v>0</v>
      </c>
      <c r="AW206" s="1463">
        <f t="shared" si="121"/>
        <v>0</v>
      </c>
      <c r="AX206" s="1463">
        <f t="shared" si="122"/>
        <v>0</v>
      </c>
      <c r="AY206" s="4304">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305">
        <f t="shared" si="118"/>
        <v>0</v>
      </c>
    </row>
    <row r="207" spans="1:72">
      <c r="A207" s="4293"/>
      <c r="B207" s="4293"/>
      <c r="C207" s="4293"/>
      <c r="D207" s="4295"/>
      <c r="E207" s="4296">
        <f t="shared" si="119"/>
        <v>0</v>
      </c>
      <c r="F207" s="1850"/>
      <c r="G207" s="4298">
        <f t="shared" si="94"/>
        <v>0</v>
      </c>
      <c r="H207" s="4299">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4296">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7"/>
      <c r="AV207" s="1463">
        <f t="shared" si="120"/>
        <v>0</v>
      </c>
      <c r="AW207" s="1463">
        <f t="shared" si="121"/>
        <v>0</v>
      </c>
      <c r="AX207" s="1463">
        <f t="shared" si="122"/>
        <v>0</v>
      </c>
      <c r="AY207" s="4304">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305">
        <f t="shared" si="118"/>
        <v>0</v>
      </c>
    </row>
    <row r="208" spans="1:72">
      <c r="A208" s="4293"/>
      <c r="B208" s="4294"/>
      <c r="C208" s="4294"/>
      <c r="D208" s="4295"/>
      <c r="E208" s="4296">
        <f t="shared" ref="E208:E302" si="123">IF($C$3="是",ROUND($A$3*G208/$B$3,2),ROUND($A$3*(G208-AT208)/$B$3,2))</f>
        <v>0</v>
      </c>
      <c r="F208" s="4297"/>
      <c r="G208" s="4298">
        <f t="shared" ref="G208:G299" si="124">H208+AC208+AT208</f>
        <v>0</v>
      </c>
      <c r="H208" s="4299">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4296">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3"/>
      <c r="AV208" s="1463">
        <f t="shared" ref="AV208:AV302" si="127">A208</f>
        <v>0</v>
      </c>
      <c r="AW208" s="1463">
        <f t="shared" ref="AW208:AW302" si="128">B208</f>
        <v>0</v>
      </c>
      <c r="AX208" s="1463">
        <f t="shared" ref="AX208:AX302" si="129">C208</f>
        <v>0</v>
      </c>
      <c r="AY208" s="4304">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305">
        <f t="shared" ref="BT208:BT299" si="151">IF($D208="是",AR208-AS208,0)</f>
        <v>0</v>
      </c>
    </row>
    <row r="209" spans="1:72">
      <c r="A209" s="4293"/>
      <c r="B209" s="4294"/>
      <c r="C209" s="4294"/>
      <c r="D209" s="4295"/>
      <c r="E209" s="4296">
        <f t="shared" si="123"/>
        <v>0</v>
      </c>
      <c r="F209" s="4297"/>
      <c r="G209" s="4298">
        <f t="shared" si="124"/>
        <v>0</v>
      </c>
      <c r="H209" s="4299">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4296">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3"/>
      <c r="AV209" s="1463">
        <f t="shared" si="127"/>
        <v>0</v>
      </c>
      <c r="AW209" s="1463">
        <f t="shared" si="128"/>
        <v>0</v>
      </c>
      <c r="AX209" s="1463">
        <f t="shared" si="129"/>
        <v>0</v>
      </c>
      <c r="AY209" s="4304">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305">
        <f t="shared" si="151"/>
        <v>0</v>
      </c>
    </row>
    <row r="210" spans="1:72">
      <c r="A210" s="4293"/>
      <c r="B210" s="4294"/>
      <c r="C210" s="4294"/>
      <c r="D210" s="4295"/>
      <c r="E210" s="4296">
        <f t="shared" si="123"/>
        <v>0</v>
      </c>
      <c r="F210" s="4297"/>
      <c r="G210" s="4298">
        <f t="shared" si="124"/>
        <v>0</v>
      </c>
      <c r="H210" s="4299">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4296">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3"/>
      <c r="AV210" s="1463">
        <f t="shared" si="127"/>
        <v>0</v>
      </c>
      <c r="AW210" s="1463">
        <f t="shared" si="128"/>
        <v>0</v>
      </c>
      <c r="AX210" s="1463">
        <f t="shared" si="129"/>
        <v>0</v>
      </c>
      <c r="AY210" s="4304">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305">
        <f t="shared" si="151"/>
        <v>0</v>
      </c>
    </row>
    <row r="211" spans="1:72">
      <c r="A211" s="4293"/>
      <c r="B211" s="4294"/>
      <c r="C211" s="4294"/>
      <c r="D211" s="4295"/>
      <c r="E211" s="4296">
        <f t="shared" si="123"/>
        <v>0</v>
      </c>
      <c r="F211" s="4297"/>
      <c r="G211" s="4298">
        <f t="shared" si="124"/>
        <v>0</v>
      </c>
      <c r="H211" s="4299">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4296">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3"/>
      <c r="AV211" s="1463">
        <f t="shared" si="127"/>
        <v>0</v>
      </c>
      <c r="AW211" s="1463">
        <f t="shared" si="128"/>
        <v>0</v>
      </c>
      <c r="AX211" s="1463">
        <f t="shared" si="129"/>
        <v>0</v>
      </c>
      <c r="AY211" s="4304">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305">
        <f t="shared" si="151"/>
        <v>0</v>
      </c>
    </row>
    <row r="212" spans="1:72">
      <c r="A212" s="4293"/>
      <c r="B212" s="4294"/>
      <c r="C212" s="4294"/>
      <c r="D212" s="4295"/>
      <c r="E212" s="4296">
        <f t="shared" si="123"/>
        <v>0</v>
      </c>
      <c r="F212" s="4297"/>
      <c r="G212" s="4298">
        <f t="shared" si="124"/>
        <v>0</v>
      </c>
      <c r="H212" s="4299">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4296">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3"/>
      <c r="AV212" s="1463">
        <f t="shared" si="127"/>
        <v>0</v>
      </c>
      <c r="AW212" s="1463">
        <f t="shared" si="128"/>
        <v>0</v>
      </c>
      <c r="AX212" s="1463">
        <f t="shared" si="129"/>
        <v>0</v>
      </c>
      <c r="AY212" s="4304">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305">
        <f t="shared" si="151"/>
        <v>0</v>
      </c>
    </row>
    <row r="213" spans="1:72">
      <c r="A213" s="4293"/>
      <c r="B213" s="4294"/>
      <c r="C213" s="4294"/>
      <c r="D213" s="4295"/>
      <c r="E213" s="4296">
        <f t="shared" si="123"/>
        <v>0</v>
      </c>
      <c r="F213" s="4297"/>
      <c r="G213" s="4298">
        <f t="shared" si="124"/>
        <v>0</v>
      </c>
      <c r="H213" s="4299">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4296">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3"/>
      <c r="AV213" s="1463">
        <f t="shared" si="127"/>
        <v>0</v>
      </c>
      <c r="AW213" s="1463">
        <f t="shared" si="128"/>
        <v>0</v>
      </c>
      <c r="AX213" s="1463">
        <f t="shared" si="129"/>
        <v>0</v>
      </c>
      <c r="AY213" s="4304">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305">
        <f t="shared" si="151"/>
        <v>0</v>
      </c>
    </row>
    <row r="214" spans="1:72">
      <c r="A214" s="4293"/>
      <c r="B214" s="4294"/>
      <c r="C214" s="4294"/>
      <c r="D214" s="4295"/>
      <c r="E214" s="4296">
        <f t="shared" si="123"/>
        <v>0</v>
      </c>
      <c r="F214" s="4297"/>
      <c r="G214" s="4298">
        <f t="shared" si="124"/>
        <v>0</v>
      </c>
      <c r="H214" s="4299">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4296">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3"/>
      <c r="AV214" s="1463">
        <f t="shared" si="127"/>
        <v>0</v>
      </c>
      <c r="AW214" s="1463">
        <f t="shared" si="128"/>
        <v>0</v>
      </c>
      <c r="AX214" s="1463">
        <f t="shared" si="129"/>
        <v>0</v>
      </c>
      <c r="AY214" s="4304">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305">
        <f t="shared" si="151"/>
        <v>0</v>
      </c>
    </row>
    <row r="215" spans="1:72">
      <c r="A215" s="4293"/>
      <c r="B215" s="4294"/>
      <c r="C215" s="4294"/>
      <c r="D215" s="4295"/>
      <c r="E215" s="4296">
        <f t="shared" si="123"/>
        <v>0</v>
      </c>
      <c r="F215" s="4297"/>
      <c r="G215" s="4298">
        <f t="shared" si="124"/>
        <v>0</v>
      </c>
      <c r="H215" s="4299">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4296">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3"/>
      <c r="AV215" s="1463">
        <f t="shared" si="127"/>
        <v>0</v>
      </c>
      <c r="AW215" s="1463">
        <f t="shared" si="128"/>
        <v>0</v>
      </c>
      <c r="AX215" s="1463">
        <f t="shared" si="129"/>
        <v>0</v>
      </c>
      <c r="AY215" s="4304">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305">
        <f t="shared" si="151"/>
        <v>0</v>
      </c>
    </row>
    <row r="216" spans="1:72">
      <c r="A216" s="4293"/>
      <c r="B216" s="4294"/>
      <c r="C216" s="4294"/>
      <c r="D216" s="4295"/>
      <c r="E216" s="4296">
        <f t="shared" si="123"/>
        <v>0</v>
      </c>
      <c r="F216" s="4297"/>
      <c r="G216" s="4298">
        <f t="shared" si="124"/>
        <v>0</v>
      </c>
      <c r="H216" s="4299">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4296">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3"/>
      <c r="AV216" s="1463">
        <f t="shared" si="127"/>
        <v>0</v>
      </c>
      <c r="AW216" s="1463">
        <f t="shared" si="128"/>
        <v>0</v>
      </c>
      <c r="AX216" s="1463">
        <f t="shared" si="129"/>
        <v>0</v>
      </c>
      <c r="AY216" s="4304">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305">
        <f t="shared" si="151"/>
        <v>0</v>
      </c>
    </row>
    <row r="217" spans="1:72">
      <c r="A217" s="4293"/>
      <c r="B217" s="4294"/>
      <c r="C217" s="4294"/>
      <c r="D217" s="4295"/>
      <c r="E217" s="4296">
        <f t="shared" si="123"/>
        <v>0</v>
      </c>
      <c r="F217" s="4297"/>
      <c r="G217" s="4298">
        <f t="shared" si="124"/>
        <v>0</v>
      </c>
      <c r="H217" s="4299">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4296">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3"/>
      <c r="AV217" s="1463">
        <f t="shared" si="127"/>
        <v>0</v>
      </c>
      <c r="AW217" s="1463">
        <f t="shared" si="128"/>
        <v>0</v>
      </c>
      <c r="AX217" s="1463">
        <f t="shared" si="129"/>
        <v>0</v>
      </c>
      <c r="AY217" s="4304">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305">
        <f t="shared" si="151"/>
        <v>0</v>
      </c>
    </row>
    <row r="218" spans="1:72">
      <c r="A218" s="4293"/>
      <c r="B218" s="4294"/>
      <c r="C218" s="4294"/>
      <c r="D218" s="4295"/>
      <c r="E218" s="4296">
        <f t="shared" si="123"/>
        <v>0</v>
      </c>
      <c r="F218" s="4297"/>
      <c r="G218" s="4298">
        <f t="shared" si="124"/>
        <v>0</v>
      </c>
      <c r="H218" s="4299">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4296">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3"/>
      <c r="AV218" s="1463">
        <f t="shared" si="127"/>
        <v>0</v>
      </c>
      <c r="AW218" s="1463">
        <f t="shared" si="128"/>
        <v>0</v>
      </c>
      <c r="AX218" s="1463">
        <f t="shared" si="129"/>
        <v>0</v>
      </c>
      <c r="AY218" s="4304">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305">
        <f t="shared" si="151"/>
        <v>0</v>
      </c>
    </row>
    <row r="219" spans="1:72">
      <c r="A219" s="4293"/>
      <c r="B219" s="4294"/>
      <c r="C219" s="4294"/>
      <c r="D219" s="4295"/>
      <c r="E219" s="4296">
        <f t="shared" si="123"/>
        <v>0</v>
      </c>
      <c r="F219" s="4297"/>
      <c r="G219" s="4298">
        <f t="shared" si="124"/>
        <v>0</v>
      </c>
      <c r="H219" s="4299">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4296">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3"/>
      <c r="AV219" s="1463">
        <f t="shared" si="127"/>
        <v>0</v>
      </c>
      <c r="AW219" s="1463">
        <f t="shared" si="128"/>
        <v>0</v>
      </c>
      <c r="AX219" s="1463">
        <f t="shared" si="129"/>
        <v>0</v>
      </c>
      <c r="AY219" s="4304">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305">
        <f t="shared" si="151"/>
        <v>0</v>
      </c>
    </row>
    <row r="220" spans="1:72">
      <c r="A220" s="4293"/>
      <c r="B220" s="4294"/>
      <c r="C220" s="4294"/>
      <c r="D220" s="4295"/>
      <c r="E220" s="4296">
        <f t="shared" si="123"/>
        <v>0</v>
      </c>
      <c r="F220" s="4297"/>
      <c r="G220" s="4298">
        <f t="shared" si="124"/>
        <v>0</v>
      </c>
      <c r="H220" s="4299">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4296">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3"/>
      <c r="AV220" s="1463">
        <f t="shared" si="127"/>
        <v>0</v>
      </c>
      <c r="AW220" s="1463">
        <f t="shared" si="128"/>
        <v>0</v>
      </c>
      <c r="AX220" s="1463">
        <f t="shared" si="129"/>
        <v>0</v>
      </c>
      <c r="AY220" s="4304">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305">
        <f t="shared" si="151"/>
        <v>0</v>
      </c>
    </row>
    <row r="221" spans="1:72">
      <c r="A221" s="4293"/>
      <c r="B221" s="4294"/>
      <c r="C221" s="4294"/>
      <c r="D221" s="4295"/>
      <c r="E221" s="4296">
        <f t="shared" si="123"/>
        <v>0</v>
      </c>
      <c r="F221" s="4297"/>
      <c r="G221" s="4298">
        <f t="shared" si="124"/>
        <v>0</v>
      </c>
      <c r="H221" s="4299">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4296">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3"/>
      <c r="AV221" s="1463">
        <f t="shared" si="127"/>
        <v>0</v>
      </c>
      <c r="AW221" s="1463">
        <f t="shared" si="128"/>
        <v>0</v>
      </c>
      <c r="AX221" s="1463">
        <f t="shared" si="129"/>
        <v>0</v>
      </c>
      <c r="AY221" s="4304">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305">
        <f t="shared" si="151"/>
        <v>0</v>
      </c>
    </row>
    <row r="222" spans="1:72">
      <c r="A222" s="4293"/>
      <c r="B222" s="4294"/>
      <c r="C222" s="4294"/>
      <c r="D222" s="4295"/>
      <c r="E222" s="4296">
        <f t="shared" si="123"/>
        <v>0</v>
      </c>
      <c r="F222" s="4297"/>
      <c r="G222" s="4298">
        <f t="shared" si="124"/>
        <v>0</v>
      </c>
      <c r="H222" s="4299">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4296">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3"/>
      <c r="AV222" s="1463">
        <f t="shared" si="127"/>
        <v>0</v>
      </c>
      <c r="AW222" s="1463">
        <f t="shared" si="128"/>
        <v>0</v>
      </c>
      <c r="AX222" s="1463">
        <f t="shared" si="129"/>
        <v>0</v>
      </c>
      <c r="AY222" s="4304">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305">
        <f t="shared" si="151"/>
        <v>0</v>
      </c>
    </row>
    <row r="223" spans="1:72">
      <c r="A223" s="4293"/>
      <c r="B223" s="4294"/>
      <c r="C223" s="4294"/>
      <c r="D223" s="4295"/>
      <c r="E223" s="4296">
        <f t="shared" si="123"/>
        <v>0</v>
      </c>
      <c r="F223" s="4297"/>
      <c r="G223" s="4298">
        <f t="shared" si="124"/>
        <v>0</v>
      </c>
      <c r="H223" s="4299">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4296">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3"/>
      <c r="AV223" s="1463">
        <f t="shared" si="127"/>
        <v>0</v>
      </c>
      <c r="AW223" s="1463">
        <f t="shared" si="128"/>
        <v>0</v>
      </c>
      <c r="AX223" s="1463">
        <f t="shared" si="129"/>
        <v>0</v>
      </c>
      <c r="AY223" s="4304">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305">
        <f t="shared" si="151"/>
        <v>0</v>
      </c>
    </row>
    <row r="224" spans="1:72">
      <c r="A224" s="4293"/>
      <c r="B224" s="4294"/>
      <c r="C224" s="4294"/>
      <c r="D224" s="4295"/>
      <c r="E224" s="4296">
        <f t="shared" si="123"/>
        <v>0</v>
      </c>
      <c r="F224" s="4297"/>
      <c r="G224" s="4298">
        <f t="shared" si="124"/>
        <v>0</v>
      </c>
      <c r="H224" s="4299">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4296">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3"/>
      <c r="AV224" s="1463">
        <f t="shared" si="127"/>
        <v>0</v>
      </c>
      <c r="AW224" s="1463">
        <f t="shared" si="128"/>
        <v>0</v>
      </c>
      <c r="AX224" s="1463">
        <f t="shared" si="129"/>
        <v>0</v>
      </c>
      <c r="AY224" s="4304">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305">
        <f t="shared" si="151"/>
        <v>0</v>
      </c>
    </row>
    <row r="225" spans="1:72">
      <c r="A225" s="4293"/>
      <c r="B225" s="4294"/>
      <c r="C225" s="4294"/>
      <c r="D225" s="4295"/>
      <c r="E225" s="4296">
        <f t="shared" si="123"/>
        <v>0</v>
      </c>
      <c r="F225" s="4297"/>
      <c r="G225" s="4298">
        <f t="shared" si="124"/>
        <v>0</v>
      </c>
      <c r="H225" s="4299">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4296">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3"/>
      <c r="AV225" s="1463">
        <f t="shared" si="127"/>
        <v>0</v>
      </c>
      <c r="AW225" s="1463">
        <f t="shared" si="128"/>
        <v>0</v>
      </c>
      <c r="AX225" s="1463">
        <f t="shared" si="129"/>
        <v>0</v>
      </c>
      <c r="AY225" s="4304">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305">
        <f t="shared" si="151"/>
        <v>0</v>
      </c>
    </row>
    <row r="226" spans="1:72">
      <c r="A226" s="4293"/>
      <c r="B226" s="4294"/>
      <c r="C226" s="4294"/>
      <c r="D226" s="4295"/>
      <c r="E226" s="4296">
        <f t="shared" si="123"/>
        <v>0</v>
      </c>
      <c r="F226" s="4297"/>
      <c r="G226" s="4298">
        <f t="shared" si="124"/>
        <v>0</v>
      </c>
      <c r="H226" s="4299">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4296">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3"/>
      <c r="AV226" s="1463">
        <f t="shared" si="127"/>
        <v>0</v>
      </c>
      <c r="AW226" s="1463">
        <f t="shared" si="128"/>
        <v>0</v>
      </c>
      <c r="AX226" s="1463">
        <f t="shared" si="129"/>
        <v>0</v>
      </c>
      <c r="AY226" s="4304">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305">
        <f t="shared" si="151"/>
        <v>0</v>
      </c>
    </row>
    <row r="227" spans="1:72">
      <c r="A227" s="4293"/>
      <c r="B227" s="4294"/>
      <c r="C227" s="4294"/>
      <c r="D227" s="4295"/>
      <c r="E227" s="4296">
        <f t="shared" si="123"/>
        <v>0</v>
      </c>
      <c r="F227" s="4297"/>
      <c r="G227" s="4298">
        <f t="shared" si="124"/>
        <v>0</v>
      </c>
      <c r="H227" s="4299">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4296">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3"/>
      <c r="AV227" s="1463">
        <f t="shared" si="127"/>
        <v>0</v>
      </c>
      <c r="AW227" s="1463">
        <f t="shared" si="128"/>
        <v>0</v>
      </c>
      <c r="AX227" s="1463">
        <f t="shared" si="129"/>
        <v>0</v>
      </c>
      <c r="AY227" s="4304">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305">
        <f t="shared" si="151"/>
        <v>0</v>
      </c>
    </row>
    <row r="228" spans="1:72">
      <c r="A228" s="4293"/>
      <c r="B228" s="4294"/>
      <c r="C228" s="4294"/>
      <c r="D228" s="4295"/>
      <c r="E228" s="4296">
        <f t="shared" si="123"/>
        <v>0</v>
      </c>
      <c r="F228" s="4297"/>
      <c r="G228" s="4298">
        <f t="shared" si="124"/>
        <v>0</v>
      </c>
      <c r="H228" s="4299">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4296">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3"/>
      <c r="AV228" s="1463">
        <f t="shared" si="127"/>
        <v>0</v>
      </c>
      <c r="AW228" s="1463">
        <f t="shared" si="128"/>
        <v>0</v>
      </c>
      <c r="AX228" s="1463">
        <f t="shared" si="129"/>
        <v>0</v>
      </c>
      <c r="AY228" s="4304">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305">
        <f t="shared" si="151"/>
        <v>0</v>
      </c>
    </row>
    <row r="229" spans="1:72">
      <c r="A229" s="4293"/>
      <c r="B229" s="4294"/>
      <c r="C229" s="4294"/>
      <c r="D229" s="4295"/>
      <c r="E229" s="4296">
        <f t="shared" si="123"/>
        <v>0</v>
      </c>
      <c r="F229" s="4297"/>
      <c r="G229" s="4298">
        <f t="shared" si="124"/>
        <v>0</v>
      </c>
      <c r="H229" s="4299">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4296">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3"/>
      <c r="AV229" s="1463">
        <f t="shared" si="127"/>
        <v>0</v>
      </c>
      <c r="AW229" s="1463">
        <f t="shared" si="128"/>
        <v>0</v>
      </c>
      <c r="AX229" s="1463">
        <f t="shared" si="129"/>
        <v>0</v>
      </c>
      <c r="AY229" s="4304">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305">
        <f t="shared" si="151"/>
        <v>0</v>
      </c>
    </row>
    <row r="230" spans="1:72">
      <c r="A230" s="4293"/>
      <c r="B230" s="4294"/>
      <c r="C230" s="4294"/>
      <c r="D230" s="4295"/>
      <c r="E230" s="4296">
        <f t="shared" si="123"/>
        <v>0</v>
      </c>
      <c r="F230" s="4297"/>
      <c r="G230" s="4298">
        <f t="shared" si="124"/>
        <v>0</v>
      </c>
      <c r="H230" s="4299">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4296">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3"/>
      <c r="AV230" s="1463">
        <f t="shared" si="127"/>
        <v>0</v>
      </c>
      <c r="AW230" s="1463">
        <f t="shared" si="128"/>
        <v>0</v>
      </c>
      <c r="AX230" s="1463">
        <f t="shared" si="129"/>
        <v>0</v>
      </c>
      <c r="AY230" s="4304">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305">
        <f t="shared" si="151"/>
        <v>0</v>
      </c>
    </row>
    <row r="231" spans="1:72">
      <c r="A231" s="4293"/>
      <c r="B231" s="4294"/>
      <c r="C231" s="4294"/>
      <c r="D231" s="4295"/>
      <c r="E231" s="4296">
        <f t="shared" si="123"/>
        <v>0</v>
      </c>
      <c r="F231" s="4297"/>
      <c r="G231" s="4298">
        <f t="shared" si="124"/>
        <v>0</v>
      </c>
      <c r="H231" s="4299">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4296">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3"/>
      <c r="AV231" s="1463">
        <f t="shared" si="127"/>
        <v>0</v>
      </c>
      <c r="AW231" s="1463">
        <f t="shared" si="128"/>
        <v>0</v>
      </c>
      <c r="AX231" s="1463">
        <f t="shared" si="129"/>
        <v>0</v>
      </c>
      <c r="AY231" s="4304">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305">
        <f t="shared" si="151"/>
        <v>0</v>
      </c>
    </row>
    <row r="232" spans="1:72">
      <c r="A232" s="4293"/>
      <c r="B232" s="4294"/>
      <c r="C232" s="4294"/>
      <c r="D232" s="4295"/>
      <c r="E232" s="4296">
        <f t="shared" si="123"/>
        <v>0</v>
      </c>
      <c r="F232" s="4297"/>
      <c r="G232" s="4298">
        <f t="shared" si="124"/>
        <v>0</v>
      </c>
      <c r="H232" s="4299">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4296">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3"/>
      <c r="AV232" s="1463">
        <f t="shared" si="127"/>
        <v>0</v>
      </c>
      <c r="AW232" s="1463">
        <f t="shared" si="128"/>
        <v>0</v>
      </c>
      <c r="AX232" s="1463">
        <f t="shared" si="129"/>
        <v>0</v>
      </c>
      <c r="AY232" s="4304">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305">
        <f t="shared" si="151"/>
        <v>0</v>
      </c>
    </row>
    <row r="233" spans="1:72">
      <c r="A233" s="4293"/>
      <c r="B233" s="4294"/>
      <c r="C233" s="4294"/>
      <c r="D233" s="4295"/>
      <c r="E233" s="4296">
        <f t="shared" si="123"/>
        <v>0</v>
      </c>
      <c r="F233" s="4297"/>
      <c r="G233" s="4298">
        <f t="shared" si="124"/>
        <v>0</v>
      </c>
      <c r="H233" s="4299">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4296">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3"/>
      <c r="AV233" s="1463">
        <f t="shared" si="127"/>
        <v>0</v>
      </c>
      <c r="AW233" s="1463">
        <f t="shared" si="128"/>
        <v>0</v>
      </c>
      <c r="AX233" s="1463">
        <f t="shared" si="129"/>
        <v>0</v>
      </c>
      <c r="AY233" s="4304">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305">
        <f t="shared" si="151"/>
        <v>0</v>
      </c>
    </row>
    <row r="234" spans="1:72">
      <c r="A234" s="4293"/>
      <c r="B234" s="4294"/>
      <c r="C234" s="4294"/>
      <c r="D234" s="4295"/>
      <c r="E234" s="4296">
        <f t="shared" si="123"/>
        <v>0</v>
      </c>
      <c r="F234" s="4297"/>
      <c r="G234" s="4298">
        <f t="shared" si="124"/>
        <v>0</v>
      </c>
      <c r="H234" s="4299">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4296">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3"/>
      <c r="AV234" s="1463">
        <f t="shared" si="127"/>
        <v>0</v>
      </c>
      <c r="AW234" s="1463">
        <f t="shared" si="128"/>
        <v>0</v>
      </c>
      <c r="AX234" s="1463">
        <f t="shared" si="129"/>
        <v>0</v>
      </c>
      <c r="AY234" s="4304">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305">
        <f t="shared" si="151"/>
        <v>0</v>
      </c>
    </row>
    <row r="235" spans="1:72">
      <c r="A235" s="4293"/>
      <c r="B235" s="4294"/>
      <c r="C235" s="4294"/>
      <c r="D235" s="4295"/>
      <c r="E235" s="4296">
        <f t="shared" si="123"/>
        <v>0</v>
      </c>
      <c r="F235" s="4297"/>
      <c r="G235" s="4298">
        <f t="shared" si="124"/>
        <v>0</v>
      </c>
      <c r="H235" s="4299">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4296">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3"/>
      <c r="AV235" s="1463">
        <f t="shared" si="127"/>
        <v>0</v>
      </c>
      <c r="AW235" s="1463">
        <f t="shared" si="128"/>
        <v>0</v>
      </c>
      <c r="AX235" s="1463">
        <f t="shared" si="129"/>
        <v>0</v>
      </c>
      <c r="AY235" s="4304">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305">
        <f t="shared" si="151"/>
        <v>0</v>
      </c>
    </row>
    <row r="236" spans="1:72">
      <c r="A236" s="4293"/>
      <c r="B236" s="4294"/>
      <c r="C236" s="4294"/>
      <c r="D236" s="4295"/>
      <c r="E236" s="4296">
        <f t="shared" si="123"/>
        <v>0</v>
      </c>
      <c r="F236" s="4297"/>
      <c r="G236" s="4298">
        <f t="shared" si="124"/>
        <v>0</v>
      </c>
      <c r="H236" s="4299">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4296">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3"/>
      <c r="AV236" s="1463">
        <f t="shared" si="127"/>
        <v>0</v>
      </c>
      <c r="AW236" s="1463">
        <f t="shared" si="128"/>
        <v>0</v>
      </c>
      <c r="AX236" s="1463">
        <f t="shared" si="129"/>
        <v>0</v>
      </c>
      <c r="AY236" s="4304">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305">
        <f t="shared" si="151"/>
        <v>0</v>
      </c>
    </row>
    <row r="237" spans="1:72">
      <c r="A237" s="4293"/>
      <c r="B237" s="4294"/>
      <c r="C237" s="4294"/>
      <c r="D237" s="4295"/>
      <c r="E237" s="4296">
        <f t="shared" si="123"/>
        <v>0</v>
      </c>
      <c r="F237" s="4297"/>
      <c r="G237" s="4298">
        <f t="shared" si="124"/>
        <v>0</v>
      </c>
      <c r="H237" s="4299">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4296">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3"/>
      <c r="AV237" s="1463">
        <f t="shared" si="127"/>
        <v>0</v>
      </c>
      <c r="AW237" s="1463">
        <f t="shared" si="128"/>
        <v>0</v>
      </c>
      <c r="AX237" s="1463">
        <f t="shared" si="129"/>
        <v>0</v>
      </c>
      <c r="AY237" s="4304">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305">
        <f t="shared" si="151"/>
        <v>0</v>
      </c>
    </row>
    <row r="238" spans="1:72">
      <c r="A238" s="4293"/>
      <c r="B238" s="4294"/>
      <c r="C238" s="4294"/>
      <c r="D238" s="4295"/>
      <c r="E238" s="4296">
        <f t="shared" si="123"/>
        <v>0</v>
      </c>
      <c r="F238" s="4297"/>
      <c r="G238" s="4298">
        <f t="shared" si="124"/>
        <v>0</v>
      </c>
      <c r="H238" s="4299">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4296">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3"/>
      <c r="AV238" s="1463">
        <f t="shared" si="127"/>
        <v>0</v>
      </c>
      <c r="AW238" s="1463">
        <f t="shared" si="128"/>
        <v>0</v>
      </c>
      <c r="AX238" s="1463">
        <f t="shared" si="129"/>
        <v>0</v>
      </c>
      <c r="AY238" s="4304">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305">
        <f t="shared" si="151"/>
        <v>0</v>
      </c>
    </row>
    <row r="239" spans="1:72">
      <c r="A239" s="4293"/>
      <c r="B239" s="4294"/>
      <c r="C239" s="4294"/>
      <c r="D239" s="4295"/>
      <c r="E239" s="4296">
        <f t="shared" si="123"/>
        <v>0</v>
      </c>
      <c r="F239" s="4297"/>
      <c r="G239" s="4298">
        <f t="shared" si="124"/>
        <v>0</v>
      </c>
      <c r="H239" s="4299">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4296">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3"/>
      <c r="AV239" s="1463">
        <f t="shared" si="127"/>
        <v>0</v>
      </c>
      <c r="AW239" s="1463">
        <f t="shared" si="128"/>
        <v>0</v>
      </c>
      <c r="AX239" s="1463">
        <f t="shared" si="129"/>
        <v>0</v>
      </c>
      <c r="AY239" s="4304">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305">
        <f t="shared" si="151"/>
        <v>0</v>
      </c>
    </row>
    <row r="240" spans="1:72">
      <c r="A240" s="4293"/>
      <c r="B240" s="4294"/>
      <c r="C240" s="4294"/>
      <c r="D240" s="4295"/>
      <c r="E240" s="4296">
        <f t="shared" si="123"/>
        <v>0</v>
      </c>
      <c r="F240" s="4297"/>
      <c r="G240" s="4298">
        <f t="shared" si="124"/>
        <v>0</v>
      </c>
      <c r="H240" s="4299">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4296">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3"/>
      <c r="AV240" s="1463">
        <f t="shared" si="127"/>
        <v>0</v>
      </c>
      <c r="AW240" s="1463">
        <f t="shared" si="128"/>
        <v>0</v>
      </c>
      <c r="AX240" s="1463">
        <f t="shared" si="129"/>
        <v>0</v>
      </c>
      <c r="AY240" s="4304">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305">
        <f t="shared" si="151"/>
        <v>0</v>
      </c>
    </row>
    <row r="241" spans="1:72">
      <c r="A241" s="4293"/>
      <c r="B241" s="4294"/>
      <c r="C241" s="4294"/>
      <c r="D241" s="4295"/>
      <c r="E241" s="4296">
        <f t="shared" si="123"/>
        <v>0</v>
      </c>
      <c r="F241" s="4297"/>
      <c r="G241" s="4298">
        <f t="shared" si="124"/>
        <v>0</v>
      </c>
      <c r="H241" s="4299">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4296">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3"/>
      <c r="AV241" s="1463">
        <f t="shared" si="127"/>
        <v>0</v>
      </c>
      <c r="AW241" s="1463">
        <f t="shared" si="128"/>
        <v>0</v>
      </c>
      <c r="AX241" s="1463">
        <f t="shared" si="129"/>
        <v>0</v>
      </c>
      <c r="AY241" s="4304">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305">
        <f t="shared" si="151"/>
        <v>0</v>
      </c>
    </row>
    <row r="242" spans="1:72">
      <c r="A242" s="4293"/>
      <c r="B242" s="4294"/>
      <c r="C242" s="4294"/>
      <c r="D242" s="4295"/>
      <c r="E242" s="4296">
        <f t="shared" si="123"/>
        <v>0</v>
      </c>
      <c r="F242" s="4297"/>
      <c r="G242" s="4298">
        <f t="shared" si="124"/>
        <v>0</v>
      </c>
      <c r="H242" s="4299">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4296">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3"/>
      <c r="AV242" s="1463">
        <f t="shared" si="127"/>
        <v>0</v>
      </c>
      <c r="AW242" s="1463">
        <f t="shared" si="128"/>
        <v>0</v>
      </c>
      <c r="AX242" s="1463">
        <f t="shared" si="129"/>
        <v>0</v>
      </c>
      <c r="AY242" s="4304">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305">
        <f t="shared" si="151"/>
        <v>0</v>
      </c>
    </row>
    <row r="243" spans="1:72">
      <c r="A243" s="4293"/>
      <c r="B243" s="4294"/>
      <c r="C243" s="4294"/>
      <c r="D243" s="4295"/>
      <c r="E243" s="4296">
        <f t="shared" si="123"/>
        <v>0</v>
      </c>
      <c r="F243" s="4297"/>
      <c r="G243" s="4298">
        <f t="shared" si="124"/>
        <v>0</v>
      </c>
      <c r="H243" s="4299">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4296">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3"/>
      <c r="AV243" s="1463">
        <f t="shared" si="127"/>
        <v>0</v>
      </c>
      <c r="AW243" s="1463">
        <f t="shared" si="128"/>
        <v>0</v>
      </c>
      <c r="AX243" s="1463">
        <f t="shared" si="129"/>
        <v>0</v>
      </c>
      <c r="AY243" s="4304">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305">
        <f t="shared" si="151"/>
        <v>0</v>
      </c>
    </row>
    <row r="244" spans="1:72">
      <c r="A244" s="4293"/>
      <c r="B244" s="4294"/>
      <c r="C244" s="4294"/>
      <c r="D244" s="4295"/>
      <c r="E244" s="4296">
        <f t="shared" si="123"/>
        <v>0</v>
      </c>
      <c r="F244" s="4297"/>
      <c r="G244" s="4298">
        <f t="shared" si="124"/>
        <v>0</v>
      </c>
      <c r="H244" s="4299">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4296">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3"/>
      <c r="AV244" s="1463">
        <f t="shared" si="127"/>
        <v>0</v>
      </c>
      <c r="AW244" s="1463">
        <f t="shared" si="128"/>
        <v>0</v>
      </c>
      <c r="AX244" s="1463">
        <f t="shared" si="129"/>
        <v>0</v>
      </c>
      <c r="AY244" s="4304">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305">
        <f t="shared" si="151"/>
        <v>0</v>
      </c>
    </row>
    <row r="245" spans="1:72">
      <c r="A245" s="4293"/>
      <c r="B245" s="4294"/>
      <c r="C245" s="4294"/>
      <c r="D245" s="4295"/>
      <c r="E245" s="4296">
        <f t="shared" si="123"/>
        <v>0</v>
      </c>
      <c r="F245" s="4297"/>
      <c r="G245" s="4298">
        <f t="shared" si="124"/>
        <v>0</v>
      </c>
      <c r="H245" s="4299">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4296">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3"/>
      <c r="AV245" s="1463">
        <f t="shared" si="127"/>
        <v>0</v>
      </c>
      <c r="AW245" s="1463">
        <f t="shared" si="128"/>
        <v>0</v>
      </c>
      <c r="AX245" s="1463">
        <f t="shared" si="129"/>
        <v>0</v>
      </c>
      <c r="AY245" s="4304">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305">
        <f t="shared" si="151"/>
        <v>0</v>
      </c>
    </row>
    <row r="246" spans="1:72">
      <c r="A246" s="4293"/>
      <c r="B246" s="4294"/>
      <c r="C246" s="4294"/>
      <c r="D246" s="4295"/>
      <c r="E246" s="4296">
        <f t="shared" si="123"/>
        <v>0</v>
      </c>
      <c r="F246" s="4297"/>
      <c r="G246" s="4298">
        <f t="shared" si="124"/>
        <v>0</v>
      </c>
      <c r="H246" s="4299">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4296">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3"/>
      <c r="AV246" s="1463">
        <f t="shared" si="127"/>
        <v>0</v>
      </c>
      <c r="AW246" s="1463">
        <f t="shared" si="128"/>
        <v>0</v>
      </c>
      <c r="AX246" s="1463">
        <f t="shared" si="129"/>
        <v>0</v>
      </c>
      <c r="AY246" s="4304">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305">
        <f t="shared" si="151"/>
        <v>0</v>
      </c>
    </row>
    <row r="247" spans="1:72">
      <c r="A247" s="4293"/>
      <c r="B247" s="4294"/>
      <c r="C247" s="4294"/>
      <c r="D247" s="4295"/>
      <c r="E247" s="4296">
        <f t="shared" si="123"/>
        <v>0</v>
      </c>
      <c r="F247" s="4297"/>
      <c r="G247" s="4298">
        <f t="shared" si="124"/>
        <v>0</v>
      </c>
      <c r="H247" s="4299">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4296">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3"/>
      <c r="AV247" s="1463">
        <f t="shared" si="127"/>
        <v>0</v>
      </c>
      <c r="AW247" s="1463">
        <f t="shared" si="128"/>
        <v>0</v>
      </c>
      <c r="AX247" s="1463">
        <f t="shared" si="129"/>
        <v>0</v>
      </c>
      <c r="AY247" s="4304">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305">
        <f t="shared" si="151"/>
        <v>0</v>
      </c>
    </row>
    <row r="248" spans="1:72">
      <c r="A248" s="4293"/>
      <c r="B248" s="4294"/>
      <c r="C248" s="4294"/>
      <c r="D248" s="4295"/>
      <c r="E248" s="4296">
        <f t="shared" si="123"/>
        <v>0</v>
      </c>
      <c r="F248" s="4297"/>
      <c r="G248" s="4298">
        <f t="shared" si="124"/>
        <v>0</v>
      </c>
      <c r="H248" s="4299">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4296">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3"/>
      <c r="AV248" s="1463">
        <f t="shared" si="127"/>
        <v>0</v>
      </c>
      <c r="AW248" s="1463">
        <f t="shared" si="128"/>
        <v>0</v>
      </c>
      <c r="AX248" s="1463">
        <f t="shared" si="129"/>
        <v>0</v>
      </c>
      <c r="AY248" s="4304">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305">
        <f t="shared" si="151"/>
        <v>0</v>
      </c>
    </row>
    <row r="249" spans="1:72">
      <c r="A249" s="4293"/>
      <c r="B249" s="4294"/>
      <c r="C249" s="4294"/>
      <c r="D249" s="4295"/>
      <c r="E249" s="4296">
        <f t="shared" si="123"/>
        <v>0</v>
      </c>
      <c r="F249" s="4297"/>
      <c r="G249" s="4298">
        <f t="shared" si="124"/>
        <v>0</v>
      </c>
      <c r="H249" s="4299">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4296">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3"/>
      <c r="AV249" s="1463">
        <f t="shared" si="127"/>
        <v>0</v>
      </c>
      <c r="AW249" s="1463">
        <f t="shared" si="128"/>
        <v>0</v>
      </c>
      <c r="AX249" s="1463">
        <f t="shared" si="129"/>
        <v>0</v>
      </c>
      <c r="AY249" s="4304">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305">
        <f t="shared" si="151"/>
        <v>0</v>
      </c>
    </row>
    <row r="250" spans="1:72">
      <c r="A250" s="4293"/>
      <c r="B250" s="4294"/>
      <c r="C250" s="4294"/>
      <c r="D250" s="4295"/>
      <c r="E250" s="4296">
        <f t="shared" si="123"/>
        <v>0</v>
      </c>
      <c r="F250" s="4297"/>
      <c r="G250" s="4298">
        <f t="shared" si="124"/>
        <v>0</v>
      </c>
      <c r="H250" s="4299">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4296">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3"/>
      <c r="AV250" s="1463">
        <f t="shared" si="127"/>
        <v>0</v>
      </c>
      <c r="AW250" s="1463">
        <f t="shared" si="128"/>
        <v>0</v>
      </c>
      <c r="AX250" s="1463">
        <f t="shared" si="129"/>
        <v>0</v>
      </c>
      <c r="AY250" s="4304">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305">
        <f t="shared" si="151"/>
        <v>0</v>
      </c>
    </row>
    <row r="251" spans="1:72">
      <c r="A251" s="4293"/>
      <c r="B251" s="4294"/>
      <c r="C251" s="4294"/>
      <c r="D251" s="4295"/>
      <c r="E251" s="4296">
        <f t="shared" si="123"/>
        <v>0</v>
      </c>
      <c r="F251" s="4297"/>
      <c r="G251" s="4298">
        <f t="shared" si="124"/>
        <v>0</v>
      </c>
      <c r="H251" s="4299">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4296">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3"/>
      <c r="AV251" s="1463">
        <f t="shared" si="127"/>
        <v>0</v>
      </c>
      <c r="AW251" s="1463">
        <f t="shared" si="128"/>
        <v>0</v>
      </c>
      <c r="AX251" s="1463">
        <f t="shared" si="129"/>
        <v>0</v>
      </c>
      <c r="AY251" s="4304">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305">
        <f t="shared" si="151"/>
        <v>0</v>
      </c>
    </row>
    <row r="252" spans="1:72">
      <c r="A252" s="4293"/>
      <c r="B252" s="4294"/>
      <c r="C252" s="4294"/>
      <c r="D252" s="4295"/>
      <c r="E252" s="4296">
        <f t="shared" si="123"/>
        <v>0</v>
      </c>
      <c r="F252" s="4297"/>
      <c r="G252" s="4298">
        <f t="shared" si="124"/>
        <v>0</v>
      </c>
      <c r="H252" s="4299">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4296">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3"/>
      <c r="AV252" s="1463">
        <f t="shared" si="127"/>
        <v>0</v>
      </c>
      <c r="AW252" s="1463">
        <f t="shared" si="128"/>
        <v>0</v>
      </c>
      <c r="AX252" s="1463">
        <f t="shared" si="129"/>
        <v>0</v>
      </c>
      <c r="AY252" s="4304">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305">
        <f t="shared" si="151"/>
        <v>0</v>
      </c>
    </row>
    <row r="253" spans="1:72">
      <c r="A253" s="4293"/>
      <c r="B253" s="4294"/>
      <c r="C253" s="4294"/>
      <c r="D253" s="4295"/>
      <c r="E253" s="4296">
        <f t="shared" si="123"/>
        <v>0</v>
      </c>
      <c r="F253" s="4297"/>
      <c r="G253" s="4298">
        <f t="shared" si="124"/>
        <v>0</v>
      </c>
      <c r="H253" s="4299">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4296">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3"/>
      <c r="AV253" s="1463">
        <f t="shared" si="127"/>
        <v>0</v>
      </c>
      <c r="AW253" s="1463">
        <f t="shared" si="128"/>
        <v>0</v>
      </c>
      <c r="AX253" s="1463">
        <f t="shared" si="129"/>
        <v>0</v>
      </c>
      <c r="AY253" s="4304">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305">
        <f t="shared" si="151"/>
        <v>0</v>
      </c>
    </row>
    <row r="254" spans="1:72">
      <c r="A254" s="4293"/>
      <c r="B254" s="4294"/>
      <c r="C254" s="4294"/>
      <c r="D254" s="4295"/>
      <c r="E254" s="4296">
        <f t="shared" si="123"/>
        <v>0</v>
      </c>
      <c r="F254" s="4297"/>
      <c r="G254" s="4298">
        <f t="shared" si="124"/>
        <v>0</v>
      </c>
      <c r="H254" s="4299">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4296">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3"/>
      <c r="AV254" s="1463">
        <f t="shared" si="127"/>
        <v>0</v>
      </c>
      <c r="AW254" s="1463">
        <f t="shared" si="128"/>
        <v>0</v>
      </c>
      <c r="AX254" s="1463">
        <f t="shared" si="129"/>
        <v>0</v>
      </c>
      <c r="AY254" s="4304">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305">
        <f t="shared" si="151"/>
        <v>0</v>
      </c>
    </row>
    <row r="255" spans="1:72">
      <c r="A255" s="4293"/>
      <c r="B255" s="4294"/>
      <c r="C255" s="4294"/>
      <c r="D255" s="4295"/>
      <c r="E255" s="4296">
        <f t="shared" si="123"/>
        <v>0</v>
      </c>
      <c r="F255" s="4297"/>
      <c r="G255" s="4298">
        <f t="shared" si="124"/>
        <v>0</v>
      </c>
      <c r="H255" s="4299">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4296">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3"/>
      <c r="AV255" s="1463">
        <f t="shared" si="127"/>
        <v>0</v>
      </c>
      <c r="AW255" s="1463">
        <f t="shared" si="128"/>
        <v>0</v>
      </c>
      <c r="AX255" s="1463">
        <f t="shared" si="129"/>
        <v>0</v>
      </c>
      <c r="AY255" s="4304">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305">
        <f t="shared" si="151"/>
        <v>0</v>
      </c>
    </row>
    <row r="256" spans="1:72">
      <c r="A256" s="4293"/>
      <c r="B256" s="4294"/>
      <c r="C256" s="4294"/>
      <c r="D256" s="4295"/>
      <c r="E256" s="4296">
        <f t="shared" si="123"/>
        <v>0</v>
      </c>
      <c r="F256" s="4297"/>
      <c r="G256" s="4298">
        <f t="shared" si="124"/>
        <v>0</v>
      </c>
      <c r="H256" s="4299">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4296">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3"/>
      <c r="AV256" s="1463">
        <f t="shared" si="127"/>
        <v>0</v>
      </c>
      <c r="AW256" s="1463">
        <f t="shared" si="128"/>
        <v>0</v>
      </c>
      <c r="AX256" s="1463">
        <f t="shared" si="129"/>
        <v>0</v>
      </c>
      <c r="AY256" s="4304">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305">
        <f t="shared" si="151"/>
        <v>0</v>
      </c>
    </row>
    <row r="257" spans="1:72">
      <c r="A257" s="4293"/>
      <c r="B257" s="4294"/>
      <c r="C257" s="4294"/>
      <c r="D257" s="4295"/>
      <c r="E257" s="4296">
        <f t="shared" si="123"/>
        <v>0</v>
      </c>
      <c r="F257" s="4297"/>
      <c r="G257" s="4298">
        <f t="shared" si="124"/>
        <v>0</v>
      </c>
      <c r="H257" s="4299">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4296">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3"/>
      <c r="AV257" s="1463">
        <f t="shared" si="127"/>
        <v>0</v>
      </c>
      <c r="AW257" s="1463">
        <f t="shared" si="128"/>
        <v>0</v>
      </c>
      <c r="AX257" s="1463">
        <f t="shared" si="129"/>
        <v>0</v>
      </c>
      <c r="AY257" s="4304">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305">
        <f t="shared" si="151"/>
        <v>0</v>
      </c>
    </row>
    <row r="258" spans="1:72">
      <c r="A258" s="4293"/>
      <c r="B258" s="4294"/>
      <c r="C258" s="4294"/>
      <c r="D258" s="4295"/>
      <c r="E258" s="4296">
        <f t="shared" si="123"/>
        <v>0</v>
      </c>
      <c r="F258" s="4297"/>
      <c r="G258" s="4298">
        <f t="shared" si="124"/>
        <v>0</v>
      </c>
      <c r="H258" s="4299">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4296">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3"/>
      <c r="AV258" s="1463">
        <f t="shared" si="127"/>
        <v>0</v>
      </c>
      <c r="AW258" s="1463">
        <f t="shared" si="128"/>
        <v>0</v>
      </c>
      <c r="AX258" s="1463">
        <f t="shared" si="129"/>
        <v>0</v>
      </c>
      <c r="AY258" s="4304">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305">
        <f t="shared" si="151"/>
        <v>0</v>
      </c>
    </row>
    <row r="259" spans="1:72">
      <c r="A259" s="4293"/>
      <c r="B259" s="4294"/>
      <c r="C259" s="4294"/>
      <c r="D259" s="4295"/>
      <c r="E259" s="4296">
        <f t="shared" si="123"/>
        <v>0</v>
      </c>
      <c r="F259" s="4297"/>
      <c r="G259" s="4298">
        <f t="shared" si="124"/>
        <v>0</v>
      </c>
      <c r="H259" s="4299">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4296">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3"/>
      <c r="AV259" s="1463">
        <f t="shared" si="127"/>
        <v>0</v>
      </c>
      <c r="AW259" s="1463">
        <f t="shared" si="128"/>
        <v>0</v>
      </c>
      <c r="AX259" s="1463">
        <f t="shared" si="129"/>
        <v>0</v>
      </c>
      <c r="AY259" s="4304">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305">
        <f t="shared" si="151"/>
        <v>0</v>
      </c>
    </row>
    <row r="260" spans="1:72">
      <c r="A260" s="4293"/>
      <c r="B260" s="4294"/>
      <c r="C260" s="4294"/>
      <c r="D260" s="4295"/>
      <c r="E260" s="4296">
        <f t="shared" si="123"/>
        <v>0</v>
      </c>
      <c r="F260" s="4297"/>
      <c r="G260" s="4298">
        <f t="shared" si="124"/>
        <v>0</v>
      </c>
      <c r="H260" s="4299">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4296">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3"/>
      <c r="AV260" s="1463">
        <f t="shared" si="127"/>
        <v>0</v>
      </c>
      <c r="AW260" s="1463">
        <f t="shared" si="128"/>
        <v>0</v>
      </c>
      <c r="AX260" s="1463">
        <f t="shared" si="129"/>
        <v>0</v>
      </c>
      <c r="AY260" s="4304">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305">
        <f t="shared" si="151"/>
        <v>0</v>
      </c>
    </row>
    <row r="261" spans="1:72">
      <c r="A261" s="4293"/>
      <c r="B261" s="4294"/>
      <c r="C261" s="4294"/>
      <c r="D261" s="4295"/>
      <c r="E261" s="4296">
        <f t="shared" si="123"/>
        <v>0</v>
      </c>
      <c r="F261" s="4297"/>
      <c r="G261" s="4298">
        <f t="shared" si="124"/>
        <v>0</v>
      </c>
      <c r="H261" s="4299">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4296">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3"/>
      <c r="AV261" s="1463">
        <f t="shared" si="127"/>
        <v>0</v>
      </c>
      <c r="AW261" s="1463">
        <f t="shared" si="128"/>
        <v>0</v>
      </c>
      <c r="AX261" s="1463">
        <f t="shared" si="129"/>
        <v>0</v>
      </c>
      <c r="AY261" s="4304">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305">
        <f t="shared" si="151"/>
        <v>0</v>
      </c>
    </row>
    <row r="262" spans="1:72">
      <c r="A262" s="4293"/>
      <c r="B262" s="4294"/>
      <c r="C262" s="4294"/>
      <c r="D262" s="4295"/>
      <c r="E262" s="4296">
        <f t="shared" si="123"/>
        <v>0</v>
      </c>
      <c r="F262" s="4297"/>
      <c r="G262" s="4298">
        <f t="shared" si="124"/>
        <v>0</v>
      </c>
      <c r="H262" s="4299">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4296">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3"/>
      <c r="AV262" s="1463">
        <f t="shared" si="127"/>
        <v>0</v>
      </c>
      <c r="AW262" s="1463">
        <f t="shared" si="128"/>
        <v>0</v>
      </c>
      <c r="AX262" s="1463">
        <f t="shared" si="129"/>
        <v>0</v>
      </c>
      <c r="AY262" s="4304">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305">
        <f t="shared" si="151"/>
        <v>0</v>
      </c>
    </row>
    <row r="263" spans="1:72">
      <c r="A263" s="4293"/>
      <c r="B263" s="4294"/>
      <c r="C263" s="4294"/>
      <c r="D263" s="4295"/>
      <c r="E263" s="4296">
        <f t="shared" si="123"/>
        <v>0</v>
      </c>
      <c r="F263" s="4297"/>
      <c r="G263" s="4298">
        <f t="shared" si="124"/>
        <v>0</v>
      </c>
      <c r="H263" s="4299">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4296">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3"/>
      <c r="AV263" s="1463">
        <f t="shared" si="127"/>
        <v>0</v>
      </c>
      <c r="AW263" s="1463">
        <f t="shared" si="128"/>
        <v>0</v>
      </c>
      <c r="AX263" s="1463">
        <f t="shared" si="129"/>
        <v>0</v>
      </c>
      <c r="AY263" s="4304">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305">
        <f t="shared" si="151"/>
        <v>0</v>
      </c>
    </row>
    <row r="264" spans="1:72">
      <c r="A264" s="4293"/>
      <c r="B264" s="4294"/>
      <c r="C264" s="4294"/>
      <c r="D264" s="4295"/>
      <c r="E264" s="4296">
        <f t="shared" si="123"/>
        <v>0</v>
      </c>
      <c r="F264" s="4297"/>
      <c r="G264" s="4298">
        <f t="shared" si="124"/>
        <v>0</v>
      </c>
      <c r="H264" s="4299">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4296">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3"/>
      <c r="AV264" s="1463">
        <f t="shared" si="127"/>
        <v>0</v>
      </c>
      <c r="AW264" s="1463">
        <f t="shared" si="128"/>
        <v>0</v>
      </c>
      <c r="AX264" s="1463">
        <f t="shared" si="129"/>
        <v>0</v>
      </c>
      <c r="AY264" s="4304">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305">
        <f t="shared" si="151"/>
        <v>0</v>
      </c>
    </row>
    <row r="265" spans="1:72">
      <c r="A265" s="4293"/>
      <c r="B265" s="4294"/>
      <c r="C265" s="4294"/>
      <c r="D265" s="4295"/>
      <c r="E265" s="4296">
        <f t="shared" si="123"/>
        <v>0</v>
      </c>
      <c r="F265" s="4297"/>
      <c r="G265" s="4298">
        <f t="shared" si="124"/>
        <v>0</v>
      </c>
      <c r="H265" s="4299">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4296">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3"/>
      <c r="AV265" s="1463">
        <f t="shared" si="127"/>
        <v>0</v>
      </c>
      <c r="AW265" s="1463">
        <f t="shared" si="128"/>
        <v>0</v>
      </c>
      <c r="AX265" s="1463">
        <f t="shared" si="129"/>
        <v>0</v>
      </c>
      <c r="AY265" s="4304">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305">
        <f t="shared" si="151"/>
        <v>0</v>
      </c>
    </row>
    <row r="266" spans="1:72">
      <c r="A266" s="4293"/>
      <c r="B266" s="4294"/>
      <c r="C266" s="4294"/>
      <c r="D266" s="4295"/>
      <c r="E266" s="4296">
        <f t="shared" si="123"/>
        <v>0</v>
      </c>
      <c r="F266" s="4297"/>
      <c r="G266" s="4298">
        <f t="shared" si="124"/>
        <v>0</v>
      </c>
      <c r="H266" s="4299">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4296">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3"/>
      <c r="AV266" s="1463">
        <f t="shared" si="127"/>
        <v>0</v>
      </c>
      <c r="AW266" s="1463">
        <f t="shared" si="128"/>
        <v>0</v>
      </c>
      <c r="AX266" s="1463">
        <f t="shared" si="129"/>
        <v>0</v>
      </c>
      <c r="AY266" s="4304">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305">
        <f t="shared" si="151"/>
        <v>0</v>
      </c>
    </row>
    <row r="267" spans="1:72">
      <c r="A267" s="4293"/>
      <c r="B267" s="4294"/>
      <c r="C267" s="4294"/>
      <c r="D267" s="4295"/>
      <c r="E267" s="4296">
        <f t="shared" si="123"/>
        <v>0</v>
      </c>
      <c r="F267" s="4297"/>
      <c r="G267" s="4298">
        <f t="shared" si="124"/>
        <v>0</v>
      </c>
      <c r="H267" s="4299">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4296">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3"/>
      <c r="AV267" s="1463">
        <f t="shared" si="127"/>
        <v>0</v>
      </c>
      <c r="AW267" s="1463">
        <f t="shared" si="128"/>
        <v>0</v>
      </c>
      <c r="AX267" s="1463">
        <f t="shared" si="129"/>
        <v>0</v>
      </c>
      <c r="AY267" s="4304">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305">
        <f t="shared" si="151"/>
        <v>0</v>
      </c>
    </row>
    <row r="268" spans="1:72">
      <c r="A268" s="4293"/>
      <c r="B268" s="4294"/>
      <c r="C268" s="4294"/>
      <c r="D268" s="4295"/>
      <c r="E268" s="4296">
        <f t="shared" si="123"/>
        <v>0</v>
      </c>
      <c r="F268" s="4297"/>
      <c r="G268" s="4298">
        <f t="shared" si="124"/>
        <v>0</v>
      </c>
      <c r="H268" s="4299">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4296">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3"/>
      <c r="AV268" s="1463">
        <f t="shared" si="127"/>
        <v>0</v>
      </c>
      <c r="AW268" s="1463">
        <f t="shared" si="128"/>
        <v>0</v>
      </c>
      <c r="AX268" s="1463">
        <f t="shared" si="129"/>
        <v>0</v>
      </c>
      <c r="AY268" s="4304">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305">
        <f t="shared" si="151"/>
        <v>0</v>
      </c>
    </row>
    <row r="269" spans="1:72">
      <c r="A269" s="4293"/>
      <c r="B269" s="4294"/>
      <c r="C269" s="4294"/>
      <c r="D269" s="4295"/>
      <c r="E269" s="4296">
        <f t="shared" si="123"/>
        <v>0</v>
      </c>
      <c r="F269" s="4297"/>
      <c r="G269" s="4298">
        <f t="shared" si="124"/>
        <v>0</v>
      </c>
      <c r="H269" s="4299">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4296">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3"/>
      <c r="AV269" s="1463">
        <f t="shared" si="127"/>
        <v>0</v>
      </c>
      <c r="AW269" s="1463">
        <f t="shared" si="128"/>
        <v>0</v>
      </c>
      <c r="AX269" s="1463">
        <f t="shared" si="129"/>
        <v>0</v>
      </c>
      <c r="AY269" s="4304">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305">
        <f t="shared" si="151"/>
        <v>0</v>
      </c>
    </row>
    <row r="270" spans="1:72">
      <c r="A270" s="4293"/>
      <c r="B270" s="4294"/>
      <c r="C270" s="4294"/>
      <c r="D270" s="4295"/>
      <c r="E270" s="4296">
        <f t="shared" si="123"/>
        <v>0</v>
      </c>
      <c r="F270" s="4297"/>
      <c r="G270" s="4298">
        <f t="shared" si="124"/>
        <v>0</v>
      </c>
      <c r="H270" s="4299">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4296">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3"/>
      <c r="AV270" s="1463">
        <f t="shared" si="127"/>
        <v>0</v>
      </c>
      <c r="AW270" s="1463">
        <f t="shared" si="128"/>
        <v>0</v>
      </c>
      <c r="AX270" s="1463">
        <f t="shared" si="129"/>
        <v>0</v>
      </c>
      <c r="AY270" s="4304">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305">
        <f t="shared" si="151"/>
        <v>0</v>
      </c>
    </row>
    <row r="271" spans="1:72">
      <c r="A271" s="4293"/>
      <c r="B271" s="4294"/>
      <c r="C271" s="4294"/>
      <c r="D271" s="4295"/>
      <c r="E271" s="4296">
        <f t="shared" si="123"/>
        <v>0</v>
      </c>
      <c r="F271" s="4297"/>
      <c r="G271" s="4298">
        <f t="shared" si="124"/>
        <v>0</v>
      </c>
      <c r="H271" s="4299">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4296">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3"/>
      <c r="AV271" s="1463">
        <f t="shared" si="127"/>
        <v>0</v>
      </c>
      <c r="AW271" s="1463">
        <f t="shared" si="128"/>
        <v>0</v>
      </c>
      <c r="AX271" s="1463">
        <f t="shared" si="129"/>
        <v>0</v>
      </c>
      <c r="AY271" s="4304">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305">
        <f t="shared" si="151"/>
        <v>0</v>
      </c>
    </row>
    <row r="272" spans="1:72">
      <c r="A272" s="4293"/>
      <c r="B272" s="4294"/>
      <c r="C272" s="4294"/>
      <c r="D272" s="4295"/>
      <c r="E272" s="4296">
        <f t="shared" si="123"/>
        <v>0</v>
      </c>
      <c r="F272" s="4297"/>
      <c r="G272" s="4298">
        <f t="shared" si="124"/>
        <v>0</v>
      </c>
      <c r="H272" s="4299">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4296">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3"/>
      <c r="AV272" s="1463">
        <f t="shared" si="127"/>
        <v>0</v>
      </c>
      <c r="AW272" s="1463">
        <f t="shared" si="128"/>
        <v>0</v>
      </c>
      <c r="AX272" s="1463">
        <f t="shared" si="129"/>
        <v>0</v>
      </c>
      <c r="AY272" s="4304">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305">
        <f t="shared" si="151"/>
        <v>0</v>
      </c>
    </row>
    <row r="273" spans="1:72">
      <c r="A273" s="4293"/>
      <c r="B273" s="4294"/>
      <c r="C273" s="4294"/>
      <c r="D273" s="4295"/>
      <c r="E273" s="4296">
        <f t="shared" si="123"/>
        <v>0</v>
      </c>
      <c r="F273" s="4297"/>
      <c r="G273" s="4298">
        <f t="shared" si="124"/>
        <v>0</v>
      </c>
      <c r="H273" s="4299">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4296">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3"/>
      <c r="AV273" s="1463">
        <f t="shared" si="127"/>
        <v>0</v>
      </c>
      <c r="AW273" s="1463">
        <f t="shared" si="128"/>
        <v>0</v>
      </c>
      <c r="AX273" s="1463">
        <f t="shared" si="129"/>
        <v>0</v>
      </c>
      <c r="AY273" s="4304">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305">
        <f t="shared" si="151"/>
        <v>0</v>
      </c>
    </row>
    <row r="274" spans="1:72">
      <c r="A274" s="4293"/>
      <c r="B274" s="4294"/>
      <c r="C274" s="4294"/>
      <c r="D274" s="4295"/>
      <c r="E274" s="4296">
        <f t="shared" si="123"/>
        <v>0</v>
      </c>
      <c r="F274" s="4297"/>
      <c r="G274" s="4298">
        <f t="shared" si="124"/>
        <v>0</v>
      </c>
      <c r="H274" s="4299">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4296">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3"/>
      <c r="AV274" s="1463">
        <f t="shared" si="127"/>
        <v>0</v>
      </c>
      <c r="AW274" s="1463">
        <f t="shared" si="128"/>
        <v>0</v>
      </c>
      <c r="AX274" s="1463">
        <f t="shared" si="129"/>
        <v>0</v>
      </c>
      <c r="AY274" s="4304">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305">
        <f t="shared" si="151"/>
        <v>0</v>
      </c>
    </row>
    <row r="275" spans="1:72">
      <c r="A275" s="4293"/>
      <c r="B275" s="4294"/>
      <c r="C275" s="4294"/>
      <c r="D275" s="4295"/>
      <c r="E275" s="4296">
        <f t="shared" si="123"/>
        <v>0</v>
      </c>
      <c r="F275" s="4297"/>
      <c r="G275" s="4298">
        <f t="shared" si="124"/>
        <v>0</v>
      </c>
      <c r="H275" s="4299">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4296">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3"/>
      <c r="AV275" s="1463">
        <f t="shared" si="127"/>
        <v>0</v>
      </c>
      <c r="AW275" s="1463">
        <f t="shared" si="128"/>
        <v>0</v>
      </c>
      <c r="AX275" s="1463">
        <f t="shared" si="129"/>
        <v>0</v>
      </c>
      <c r="AY275" s="4304">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305">
        <f t="shared" si="151"/>
        <v>0</v>
      </c>
    </row>
    <row r="276" spans="1:72">
      <c r="A276" s="4293"/>
      <c r="B276" s="4294"/>
      <c r="C276" s="4294"/>
      <c r="D276" s="4295"/>
      <c r="E276" s="4296">
        <f t="shared" si="123"/>
        <v>0</v>
      </c>
      <c r="F276" s="4297"/>
      <c r="G276" s="4298">
        <f t="shared" si="124"/>
        <v>0</v>
      </c>
      <c r="H276" s="4299">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4296">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3"/>
      <c r="AV276" s="1463">
        <f t="shared" si="127"/>
        <v>0</v>
      </c>
      <c r="AW276" s="1463">
        <f t="shared" si="128"/>
        <v>0</v>
      </c>
      <c r="AX276" s="1463">
        <f t="shared" si="129"/>
        <v>0</v>
      </c>
      <c r="AY276" s="4304">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305">
        <f t="shared" si="151"/>
        <v>0</v>
      </c>
    </row>
    <row r="277" spans="1:72">
      <c r="A277" s="4293"/>
      <c r="B277" s="4294"/>
      <c r="C277" s="4294"/>
      <c r="D277" s="4295"/>
      <c r="E277" s="4296">
        <f t="shared" si="123"/>
        <v>0</v>
      </c>
      <c r="F277" s="4297"/>
      <c r="G277" s="4298">
        <f t="shared" si="124"/>
        <v>0</v>
      </c>
      <c r="H277" s="4299">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4296">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3"/>
      <c r="AV277" s="1463">
        <f t="shared" si="127"/>
        <v>0</v>
      </c>
      <c r="AW277" s="1463">
        <f t="shared" si="128"/>
        <v>0</v>
      </c>
      <c r="AX277" s="1463">
        <f t="shared" si="129"/>
        <v>0</v>
      </c>
      <c r="AY277" s="4304">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305">
        <f t="shared" si="151"/>
        <v>0</v>
      </c>
    </row>
    <row r="278" spans="1:72">
      <c r="A278" s="4293"/>
      <c r="B278" s="4294"/>
      <c r="C278" s="4294"/>
      <c r="D278" s="4295"/>
      <c r="E278" s="4296">
        <f t="shared" si="123"/>
        <v>0</v>
      </c>
      <c r="F278" s="4297"/>
      <c r="G278" s="4298">
        <f t="shared" si="124"/>
        <v>0</v>
      </c>
      <c r="H278" s="4299">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4296">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3"/>
      <c r="AV278" s="1463">
        <f t="shared" si="127"/>
        <v>0</v>
      </c>
      <c r="AW278" s="1463">
        <f t="shared" si="128"/>
        <v>0</v>
      </c>
      <c r="AX278" s="1463">
        <f t="shared" si="129"/>
        <v>0</v>
      </c>
      <c r="AY278" s="4304">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305">
        <f t="shared" si="151"/>
        <v>0</v>
      </c>
    </row>
    <row r="279" spans="1:72">
      <c r="A279" s="4293"/>
      <c r="B279" s="4294"/>
      <c r="C279" s="4294"/>
      <c r="D279" s="4295"/>
      <c r="E279" s="4296">
        <f t="shared" si="123"/>
        <v>0</v>
      </c>
      <c r="F279" s="4297"/>
      <c r="G279" s="4298">
        <f t="shared" si="124"/>
        <v>0</v>
      </c>
      <c r="H279" s="4299">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4296">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3"/>
      <c r="AV279" s="1463">
        <f t="shared" si="127"/>
        <v>0</v>
      </c>
      <c r="AW279" s="1463">
        <f t="shared" si="128"/>
        <v>0</v>
      </c>
      <c r="AX279" s="1463">
        <f t="shared" si="129"/>
        <v>0</v>
      </c>
      <c r="AY279" s="4304">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305">
        <f t="shared" si="151"/>
        <v>0</v>
      </c>
    </row>
    <row r="280" spans="1:72">
      <c r="A280" s="4293"/>
      <c r="B280" s="4294"/>
      <c r="C280" s="4294"/>
      <c r="D280" s="4295"/>
      <c r="E280" s="4296">
        <f t="shared" si="123"/>
        <v>0</v>
      </c>
      <c r="F280" s="4297"/>
      <c r="G280" s="4298">
        <f t="shared" si="124"/>
        <v>0</v>
      </c>
      <c r="H280" s="4299">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4296">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3"/>
      <c r="AV280" s="1463">
        <f t="shared" si="127"/>
        <v>0</v>
      </c>
      <c r="AW280" s="1463">
        <f t="shared" si="128"/>
        <v>0</v>
      </c>
      <c r="AX280" s="1463">
        <f t="shared" si="129"/>
        <v>0</v>
      </c>
      <c r="AY280" s="4304">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305">
        <f t="shared" si="151"/>
        <v>0</v>
      </c>
    </row>
    <row r="281" spans="1:72">
      <c r="A281" s="4293"/>
      <c r="B281" s="4294"/>
      <c r="C281" s="4294"/>
      <c r="D281" s="4295"/>
      <c r="E281" s="4296">
        <f t="shared" si="123"/>
        <v>0</v>
      </c>
      <c r="F281" s="4297"/>
      <c r="G281" s="4298">
        <f t="shared" si="124"/>
        <v>0</v>
      </c>
      <c r="H281" s="4299">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4296">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3"/>
      <c r="AV281" s="1463">
        <f t="shared" si="127"/>
        <v>0</v>
      </c>
      <c r="AW281" s="1463">
        <f t="shared" si="128"/>
        <v>0</v>
      </c>
      <c r="AX281" s="1463">
        <f t="shared" si="129"/>
        <v>0</v>
      </c>
      <c r="AY281" s="4304">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305">
        <f t="shared" si="151"/>
        <v>0</v>
      </c>
    </row>
    <row r="282" spans="1:72">
      <c r="A282" s="4293"/>
      <c r="B282" s="4294"/>
      <c r="C282" s="4294"/>
      <c r="D282" s="4295"/>
      <c r="E282" s="4296">
        <f t="shared" si="123"/>
        <v>0</v>
      </c>
      <c r="F282" s="4297"/>
      <c r="G282" s="4298">
        <f t="shared" si="124"/>
        <v>0</v>
      </c>
      <c r="H282" s="4299">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4296">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3"/>
      <c r="AV282" s="1463">
        <f t="shared" si="127"/>
        <v>0</v>
      </c>
      <c r="AW282" s="1463">
        <f t="shared" si="128"/>
        <v>0</v>
      </c>
      <c r="AX282" s="1463">
        <f t="shared" si="129"/>
        <v>0</v>
      </c>
      <c r="AY282" s="4304">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305">
        <f t="shared" si="151"/>
        <v>0</v>
      </c>
    </row>
    <row r="283" spans="1:72">
      <c r="A283" s="4293"/>
      <c r="B283" s="4294"/>
      <c r="C283" s="4294"/>
      <c r="D283" s="4295"/>
      <c r="E283" s="4296">
        <f t="shared" si="123"/>
        <v>0</v>
      </c>
      <c r="F283" s="4297"/>
      <c r="G283" s="4298">
        <f t="shared" si="124"/>
        <v>0</v>
      </c>
      <c r="H283" s="4299">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4296">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3"/>
      <c r="AV283" s="1463">
        <f t="shared" si="127"/>
        <v>0</v>
      </c>
      <c r="AW283" s="1463">
        <f t="shared" si="128"/>
        <v>0</v>
      </c>
      <c r="AX283" s="1463">
        <f t="shared" si="129"/>
        <v>0</v>
      </c>
      <c r="AY283" s="4304">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305">
        <f t="shared" si="151"/>
        <v>0</v>
      </c>
    </row>
    <row r="284" spans="1:72">
      <c r="A284" s="4293"/>
      <c r="B284" s="4294"/>
      <c r="C284" s="4294"/>
      <c r="D284" s="4295"/>
      <c r="E284" s="4296">
        <f t="shared" si="123"/>
        <v>0</v>
      </c>
      <c r="F284" s="4297"/>
      <c r="G284" s="4298">
        <f t="shared" si="124"/>
        <v>0</v>
      </c>
      <c r="H284" s="4299">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4296">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3"/>
      <c r="AV284" s="1463">
        <f t="shared" si="127"/>
        <v>0</v>
      </c>
      <c r="AW284" s="1463">
        <f t="shared" si="128"/>
        <v>0</v>
      </c>
      <c r="AX284" s="1463">
        <f t="shared" si="129"/>
        <v>0</v>
      </c>
      <c r="AY284" s="4304">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305">
        <f t="shared" si="151"/>
        <v>0</v>
      </c>
    </row>
    <row r="285" spans="1:72">
      <c r="A285" s="4293"/>
      <c r="B285" s="4294"/>
      <c r="C285" s="4294"/>
      <c r="D285" s="4295"/>
      <c r="E285" s="4296">
        <f t="shared" si="123"/>
        <v>0</v>
      </c>
      <c r="F285" s="4297"/>
      <c r="G285" s="4298">
        <f t="shared" si="124"/>
        <v>0</v>
      </c>
      <c r="H285" s="4299">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4296">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3"/>
      <c r="AV285" s="1463">
        <f t="shared" si="127"/>
        <v>0</v>
      </c>
      <c r="AW285" s="1463">
        <f t="shared" si="128"/>
        <v>0</v>
      </c>
      <c r="AX285" s="1463">
        <f t="shared" si="129"/>
        <v>0</v>
      </c>
      <c r="AY285" s="4304">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305">
        <f t="shared" si="151"/>
        <v>0</v>
      </c>
    </row>
    <row r="286" spans="1:72">
      <c r="A286" s="4293"/>
      <c r="B286" s="4294"/>
      <c r="C286" s="4294"/>
      <c r="D286" s="4295"/>
      <c r="E286" s="4296">
        <f t="shared" si="123"/>
        <v>0</v>
      </c>
      <c r="F286" s="4297"/>
      <c r="G286" s="4298">
        <f t="shared" si="124"/>
        <v>0</v>
      </c>
      <c r="H286" s="4299">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4296">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3"/>
      <c r="AV286" s="1463">
        <f t="shared" si="127"/>
        <v>0</v>
      </c>
      <c r="AW286" s="1463">
        <f t="shared" si="128"/>
        <v>0</v>
      </c>
      <c r="AX286" s="1463">
        <f t="shared" si="129"/>
        <v>0</v>
      </c>
      <c r="AY286" s="4304">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305">
        <f t="shared" si="151"/>
        <v>0</v>
      </c>
    </row>
    <row r="287" spans="1:72">
      <c r="A287" s="4293"/>
      <c r="B287" s="4294"/>
      <c r="C287" s="4294"/>
      <c r="D287" s="4295"/>
      <c r="E287" s="4296">
        <f t="shared" si="123"/>
        <v>0</v>
      </c>
      <c r="F287" s="4297"/>
      <c r="G287" s="4298">
        <f t="shared" si="124"/>
        <v>0</v>
      </c>
      <c r="H287" s="4299">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4296">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3"/>
      <c r="AV287" s="1463">
        <f t="shared" si="127"/>
        <v>0</v>
      </c>
      <c r="AW287" s="1463">
        <f t="shared" si="128"/>
        <v>0</v>
      </c>
      <c r="AX287" s="1463">
        <f t="shared" si="129"/>
        <v>0</v>
      </c>
      <c r="AY287" s="4304">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305">
        <f t="shared" si="151"/>
        <v>0</v>
      </c>
    </row>
    <row r="288" spans="1:72">
      <c r="A288" s="4293"/>
      <c r="B288" s="4294"/>
      <c r="C288" s="4294"/>
      <c r="D288" s="4295"/>
      <c r="E288" s="4296">
        <f t="shared" si="123"/>
        <v>0</v>
      </c>
      <c r="F288" s="4297"/>
      <c r="G288" s="4298">
        <f t="shared" si="124"/>
        <v>0</v>
      </c>
      <c r="H288" s="4299">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4296">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3"/>
      <c r="AV288" s="1463">
        <f t="shared" si="127"/>
        <v>0</v>
      </c>
      <c r="AW288" s="1463">
        <f t="shared" si="128"/>
        <v>0</v>
      </c>
      <c r="AX288" s="1463">
        <f t="shared" si="129"/>
        <v>0</v>
      </c>
      <c r="AY288" s="4304">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305">
        <f t="shared" si="151"/>
        <v>0</v>
      </c>
    </row>
    <row r="289" spans="1:72">
      <c r="A289" s="4293"/>
      <c r="B289" s="4294"/>
      <c r="C289" s="4294"/>
      <c r="D289" s="4295"/>
      <c r="E289" s="4296">
        <f t="shared" si="123"/>
        <v>0</v>
      </c>
      <c r="F289" s="4297"/>
      <c r="G289" s="4298">
        <f t="shared" si="124"/>
        <v>0</v>
      </c>
      <c r="H289" s="4299">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4296">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3"/>
      <c r="AV289" s="1463">
        <f t="shared" si="127"/>
        <v>0</v>
      </c>
      <c r="AW289" s="1463">
        <f t="shared" si="128"/>
        <v>0</v>
      </c>
      <c r="AX289" s="1463">
        <f t="shared" si="129"/>
        <v>0</v>
      </c>
      <c r="AY289" s="4304">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305">
        <f t="shared" si="151"/>
        <v>0</v>
      </c>
    </row>
    <row r="290" spans="1:72">
      <c r="A290" s="4293"/>
      <c r="B290" s="4294"/>
      <c r="C290" s="4294"/>
      <c r="D290" s="4295"/>
      <c r="E290" s="4296">
        <f t="shared" si="123"/>
        <v>0</v>
      </c>
      <c r="F290" s="4297"/>
      <c r="G290" s="4298">
        <f t="shared" si="124"/>
        <v>0</v>
      </c>
      <c r="H290" s="4299">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4296">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3"/>
      <c r="AV290" s="1463">
        <f t="shared" si="127"/>
        <v>0</v>
      </c>
      <c r="AW290" s="1463">
        <f t="shared" si="128"/>
        <v>0</v>
      </c>
      <c r="AX290" s="1463">
        <f t="shared" si="129"/>
        <v>0</v>
      </c>
      <c r="AY290" s="4304">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305">
        <f t="shared" si="151"/>
        <v>0</v>
      </c>
    </row>
    <row r="291" spans="1:72">
      <c r="A291" s="4293"/>
      <c r="B291" s="4294"/>
      <c r="C291" s="4294"/>
      <c r="D291" s="4295"/>
      <c r="E291" s="4296">
        <f t="shared" si="123"/>
        <v>0</v>
      </c>
      <c r="F291" s="4297"/>
      <c r="G291" s="4298">
        <f t="shared" si="124"/>
        <v>0</v>
      </c>
      <c r="H291" s="4299">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4296">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3"/>
      <c r="AV291" s="1463">
        <f t="shared" si="127"/>
        <v>0</v>
      </c>
      <c r="AW291" s="1463">
        <f t="shared" si="128"/>
        <v>0</v>
      </c>
      <c r="AX291" s="1463">
        <f t="shared" si="129"/>
        <v>0</v>
      </c>
      <c r="AY291" s="4304">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305">
        <f t="shared" si="151"/>
        <v>0</v>
      </c>
    </row>
    <row r="292" spans="1:72">
      <c r="A292" s="4293"/>
      <c r="B292" s="4294"/>
      <c r="C292" s="4294"/>
      <c r="D292" s="4295"/>
      <c r="E292" s="4296">
        <f t="shared" si="123"/>
        <v>0</v>
      </c>
      <c r="F292" s="4297"/>
      <c r="G292" s="4298">
        <f t="shared" si="124"/>
        <v>0</v>
      </c>
      <c r="H292" s="4299">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4296">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3"/>
      <c r="AV292" s="1463">
        <f t="shared" si="127"/>
        <v>0</v>
      </c>
      <c r="AW292" s="1463">
        <f t="shared" si="128"/>
        <v>0</v>
      </c>
      <c r="AX292" s="1463">
        <f t="shared" si="129"/>
        <v>0</v>
      </c>
      <c r="AY292" s="4304">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305">
        <f t="shared" si="151"/>
        <v>0</v>
      </c>
    </row>
    <row r="293" spans="1:72">
      <c r="A293" s="4293"/>
      <c r="B293" s="4294"/>
      <c r="C293" s="4294"/>
      <c r="D293" s="4295"/>
      <c r="E293" s="4296">
        <f t="shared" si="123"/>
        <v>0</v>
      </c>
      <c r="F293" s="4297"/>
      <c r="G293" s="4298">
        <f t="shared" si="124"/>
        <v>0</v>
      </c>
      <c r="H293" s="4299">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4296">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3"/>
      <c r="AV293" s="1463">
        <f t="shared" si="127"/>
        <v>0</v>
      </c>
      <c r="AW293" s="1463">
        <f t="shared" si="128"/>
        <v>0</v>
      </c>
      <c r="AX293" s="1463">
        <f t="shared" si="129"/>
        <v>0</v>
      </c>
      <c r="AY293" s="4304">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305">
        <f t="shared" si="151"/>
        <v>0</v>
      </c>
    </row>
    <row r="294" spans="1:72">
      <c r="A294" s="4293"/>
      <c r="B294" s="4294"/>
      <c r="C294" s="4294"/>
      <c r="D294" s="4295"/>
      <c r="E294" s="4296">
        <f t="shared" si="123"/>
        <v>0</v>
      </c>
      <c r="F294" s="4297"/>
      <c r="G294" s="4298">
        <f t="shared" si="124"/>
        <v>0</v>
      </c>
      <c r="H294" s="4299">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4296">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3"/>
      <c r="AV294" s="1463">
        <f t="shared" si="127"/>
        <v>0</v>
      </c>
      <c r="AW294" s="1463">
        <f t="shared" si="128"/>
        <v>0</v>
      </c>
      <c r="AX294" s="1463">
        <f t="shared" si="129"/>
        <v>0</v>
      </c>
      <c r="AY294" s="4304">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305">
        <f t="shared" si="151"/>
        <v>0</v>
      </c>
    </row>
    <row r="295" spans="1:72">
      <c r="A295" s="4293"/>
      <c r="B295" s="4294"/>
      <c r="C295" s="4294"/>
      <c r="D295" s="4295"/>
      <c r="E295" s="4296">
        <f t="shared" si="123"/>
        <v>0</v>
      </c>
      <c r="F295" s="4297"/>
      <c r="G295" s="4298">
        <f t="shared" si="124"/>
        <v>0</v>
      </c>
      <c r="H295" s="4299">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4296">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3"/>
      <c r="AV295" s="1463">
        <f t="shared" si="127"/>
        <v>0</v>
      </c>
      <c r="AW295" s="1463">
        <f t="shared" si="128"/>
        <v>0</v>
      </c>
      <c r="AX295" s="1463">
        <f t="shared" si="129"/>
        <v>0</v>
      </c>
      <c r="AY295" s="4304">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305">
        <f t="shared" si="151"/>
        <v>0</v>
      </c>
    </row>
    <row r="296" spans="1:72">
      <c r="A296" s="4293"/>
      <c r="B296" s="4294"/>
      <c r="C296" s="4294"/>
      <c r="D296" s="4295"/>
      <c r="E296" s="4296">
        <f t="shared" si="123"/>
        <v>0</v>
      </c>
      <c r="F296" s="4297"/>
      <c r="G296" s="4298">
        <f t="shared" si="124"/>
        <v>0</v>
      </c>
      <c r="H296" s="4299">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4296">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3"/>
      <c r="AV296" s="1463">
        <f t="shared" si="127"/>
        <v>0</v>
      </c>
      <c r="AW296" s="1463">
        <f t="shared" si="128"/>
        <v>0</v>
      </c>
      <c r="AX296" s="1463">
        <f t="shared" si="129"/>
        <v>0</v>
      </c>
      <c r="AY296" s="4304">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305">
        <f t="shared" si="151"/>
        <v>0</v>
      </c>
    </row>
    <row r="297" spans="1:72">
      <c r="A297" s="4293"/>
      <c r="B297" s="4294"/>
      <c r="C297" s="4294"/>
      <c r="D297" s="4295"/>
      <c r="E297" s="4296">
        <f t="shared" si="123"/>
        <v>0</v>
      </c>
      <c r="F297" s="4297"/>
      <c r="G297" s="4298">
        <f t="shared" si="124"/>
        <v>0</v>
      </c>
      <c r="H297" s="4299">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4296">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3"/>
      <c r="AV297" s="1463">
        <f t="shared" si="127"/>
        <v>0</v>
      </c>
      <c r="AW297" s="1463">
        <f t="shared" si="128"/>
        <v>0</v>
      </c>
      <c r="AX297" s="1463">
        <f t="shared" si="129"/>
        <v>0</v>
      </c>
      <c r="AY297" s="4304">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305">
        <f t="shared" si="151"/>
        <v>0</v>
      </c>
    </row>
    <row r="298" spans="1:72">
      <c r="A298" s="4293"/>
      <c r="B298" s="4294"/>
      <c r="C298" s="4294"/>
      <c r="D298" s="4295"/>
      <c r="E298" s="4296">
        <f t="shared" si="123"/>
        <v>0</v>
      </c>
      <c r="F298" s="4297"/>
      <c r="G298" s="4298">
        <f t="shared" si="124"/>
        <v>0</v>
      </c>
      <c r="H298" s="4299">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4296">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3"/>
      <c r="AV298" s="1463">
        <f t="shared" si="127"/>
        <v>0</v>
      </c>
      <c r="AW298" s="1463">
        <f t="shared" si="128"/>
        <v>0</v>
      </c>
      <c r="AX298" s="1463">
        <f t="shared" si="129"/>
        <v>0</v>
      </c>
      <c r="AY298" s="4304">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305">
        <f t="shared" si="151"/>
        <v>0</v>
      </c>
    </row>
    <row r="299" spans="1:72">
      <c r="A299" s="4293"/>
      <c r="B299" s="4294"/>
      <c r="C299" s="4294"/>
      <c r="D299" s="4295"/>
      <c r="E299" s="4296">
        <f t="shared" si="123"/>
        <v>0</v>
      </c>
      <c r="F299" s="4297"/>
      <c r="G299" s="4298">
        <f t="shared" si="124"/>
        <v>0</v>
      </c>
      <c r="H299" s="4299">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4296">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3"/>
      <c r="AV299" s="1463">
        <f t="shared" si="127"/>
        <v>0</v>
      </c>
      <c r="AW299" s="1463">
        <f t="shared" si="128"/>
        <v>0</v>
      </c>
      <c r="AX299" s="1463">
        <f t="shared" si="129"/>
        <v>0</v>
      </c>
      <c r="AY299" s="4304">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305">
        <f t="shared" si="151"/>
        <v>0</v>
      </c>
    </row>
    <row r="300" spans="1:72">
      <c r="A300" s="4293"/>
      <c r="B300" s="4293"/>
      <c r="C300" s="4293"/>
      <c r="D300" s="4295"/>
      <c r="E300" s="4296">
        <f t="shared" si="123"/>
        <v>0</v>
      </c>
      <c r="F300" s="1850"/>
      <c r="G300" s="4298">
        <f t="shared" ref="G300:G331" si="152">H300+AC300+AT300</f>
        <v>0</v>
      </c>
      <c r="H300" s="4299">
        <f t="shared" ref="H300:H331" si="153">SUMIF(I$12:AB$12,"总值",I300:AB300)</f>
        <v>0</v>
      </c>
      <c r="I300" s="4306"/>
      <c r="J300" s="4306"/>
      <c r="K300" s="4300"/>
      <c r="L300" s="4300"/>
      <c r="M300" s="4300"/>
      <c r="N300" s="4300"/>
      <c r="O300" s="4300"/>
      <c r="P300" s="4300"/>
      <c r="Q300" s="4300"/>
      <c r="R300" s="4300"/>
      <c r="S300" s="4300"/>
      <c r="T300" s="4300"/>
      <c r="U300" s="4300"/>
      <c r="V300" s="4300"/>
      <c r="W300" s="4300"/>
      <c r="X300" s="4300"/>
      <c r="Y300" s="4300"/>
      <c r="Z300" s="4300"/>
      <c r="AA300" s="4300"/>
      <c r="AB300" s="4300"/>
      <c r="AC300" s="4296">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7"/>
      <c r="AV300" s="1463">
        <f t="shared" si="127"/>
        <v>0</v>
      </c>
      <c r="AW300" s="1463">
        <f t="shared" si="128"/>
        <v>0</v>
      </c>
      <c r="AX300" s="1463">
        <f t="shared" si="129"/>
        <v>0</v>
      </c>
      <c r="AY300" s="4304">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305">
        <f t="shared" ref="BT300:BT331" si="176">IF($D300="是",AR300-AS300,0)</f>
        <v>0</v>
      </c>
    </row>
    <row r="301" spans="1:72">
      <c r="A301" s="4293"/>
      <c r="B301" s="4293"/>
      <c r="C301" s="4293"/>
      <c r="D301" s="4295"/>
      <c r="E301" s="4296">
        <f t="shared" si="123"/>
        <v>0</v>
      </c>
      <c r="F301" s="1850"/>
      <c r="G301" s="4298">
        <f t="shared" si="152"/>
        <v>0</v>
      </c>
      <c r="H301" s="4299">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4296">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7"/>
      <c r="AV301" s="1463">
        <f t="shared" si="127"/>
        <v>0</v>
      </c>
      <c r="AW301" s="1463">
        <f t="shared" si="128"/>
        <v>0</v>
      </c>
      <c r="AX301" s="1463">
        <f t="shared" si="129"/>
        <v>0</v>
      </c>
      <c r="AY301" s="4304">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305">
        <f t="shared" si="176"/>
        <v>0</v>
      </c>
    </row>
    <row r="302" spans="1:72">
      <c r="A302" s="4293"/>
      <c r="B302" s="4293"/>
      <c r="C302" s="4293"/>
      <c r="D302" s="4295"/>
      <c r="E302" s="4296">
        <f t="shared" si="123"/>
        <v>0</v>
      </c>
      <c r="F302" s="1850"/>
      <c r="G302" s="4298">
        <f t="shared" si="152"/>
        <v>0</v>
      </c>
      <c r="H302" s="4299">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4296">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7"/>
      <c r="AV302" s="1463">
        <f t="shared" si="127"/>
        <v>0</v>
      </c>
      <c r="AW302" s="1463">
        <f t="shared" si="128"/>
        <v>0</v>
      </c>
      <c r="AX302" s="1463">
        <f t="shared" si="129"/>
        <v>0</v>
      </c>
      <c r="AY302" s="4304">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305">
        <f t="shared" si="176"/>
        <v>0</v>
      </c>
    </row>
    <row r="303" spans="1:72">
      <c r="A303" s="4293"/>
      <c r="B303" s="4294"/>
      <c r="C303" s="4294"/>
      <c r="D303" s="4295"/>
      <c r="E303" s="4296">
        <f t="shared" ref="E303:E334" si="177">IF($C$3="是",ROUND($A$3*G303/$B$3,2),ROUND($A$3*(G303-AT303)/$B$3,2))</f>
        <v>0</v>
      </c>
      <c r="F303" s="4297"/>
      <c r="G303" s="4298">
        <f t="shared" si="152"/>
        <v>0</v>
      </c>
      <c r="H303" s="4299">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4296">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3"/>
      <c r="AV303" s="1463">
        <f t="shared" ref="AV303:AV334" si="178">A303</f>
        <v>0</v>
      </c>
      <c r="AW303" s="1463">
        <f t="shared" ref="AW303:AW334" si="179">B303</f>
        <v>0</v>
      </c>
      <c r="AX303" s="1463">
        <f t="shared" ref="AX303:AX334" si="180">C303</f>
        <v>0</v>
      </c>
      <c r="AY303" s="4304">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305">
        <f t="shared" si="176"/>
        <v>0</v>
      </c>
    </row>
    <row r="304" spans="1:72">
      <c r="A304" s="4293"/>
      <c r="B304" s="4294"/>
      <c r="C304" s="4294"/>
      <c r="D304" s="4295"/>
      <c r="E304" s="4296">
        <f t="shared" si="177"/>
        <v>0</v>
      </c>
      <c r="F304" s="4297"/>
      <c r="G304" s="4298">
        <f t="shared" si="152"/>
        <v>0</v>
      </c>
      <c r="H304" s="4299">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4296">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3"/>
      <c r="AV304" s="1463">
        <f t="shared" si="178"/>
        <v>0</v>
      </c>
      <c r="AW304" s="1463">
        <f t="shared" si="179"/>
        <v>0</v>
      </c>
      <c r="AX304" s="1463">
        <f t="shared" si="180"/>
        <v>0</v>
      </c>
      <c r="AY304" s="4304">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305">
        <f t="shared" si="176"/>
        <v>0</v>
      </c>
    </row>
    <row r="305" spans="1:72">
      <c r="A305" s="4293"/>
      <c r="B305" s="4294"/>
      <c r="C305" s="4294"/>
      <c r="D305" s="4295"/>
      <c r="E305" s="4296">
        <f t="shared" si="177"/>
        <v>0</v>
      </c>
      <c r="F305" s="4297"/>
      <c r="G305" s="4298">
        <f t="shared" si="152"/>
        <v>0</v>
      </c>
      <c r="H305" s="4299">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4296">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3"/>
      <c r="AV305" s="1463">
        <f t="shared" si="178"/>
        <v>0</v>
      </c>
      <c r="AW305" s="1463">
        <f t="shared" si="179"/>
        <v>0</v>
      </c>
      <c r="AX305" s="1463">
        <f t="shared" si="180"/>
        <v>0</v>
      </c>
      <c r="AY305" s="4304">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305">
        <f t="shared" si="176"/>
        <v>0</v>
      </c>
    </row>
    <row r="306" spans="1:72">
      <c r="A306" s="4293"/>
      <c r="B306" s="4294"/>
      <c r="C306" s="4294"/>
      <c r="D306" s="4295"/>
      <c r="E306" s="4296">
        <f t="shared" si="177"/>
        <v>0</v>
      </c>
      <c r="F306" s="4297"/>
      <c r="G306" s="4298">
        <f t="shared" si="152"/>
        <v>0</v>
      </c>
      <c r="H306" s="4299">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4296">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3"/>
      <c r="AV306" s="1463">
        <f t="shared" si="178"/>
        <v>0</v>
      </c>
      <c r="AW306" s="1463">
        <f t="shared" si="179"/>
        <v>0</v>
      </c>
      <c r="AX306" s="1463">
        <f t="shared" si="180"/>
        <v>0</v>
      </c>
      <c r="AY306" s="4304">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305">
        <f t="shared" si="176"/>
        <v>0</v>
      </c>
    </row>
    <row r="307" spans="1:72">
      <c r="A307" s="4293"/>
      <c r="B307" s="4294"/>
      <c r="C307" s="4294"/>
      <c r="D307" s="4295"/>
      <c r="E307" s="4296">
        <f t="shared" si="177"/>
        <v>0</v>
      </c>
      <c r="F307" s="4297"/>
      <c r="G307" s="4298">
        <f t="shared" si="152"/>
        <v>0</v>
      </c>
      <c r="H307" s="4299">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4296">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3"/>
      <c r="AV307" s="1463">
        <f t="shared" si="178"/>
        <v>0</v>
      </c>
      <c r="AW307" s="1463">
        <f t="shared" si="179"/>
        <v>0</v>
      </c>
      <c r="AX307" s="1463">
        <f t="shared" si="180"/>
        <v>0</v>
      </c>
      <c r="AY307" s="4304">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305">
        <f t="shared" si="176"/>
        <v>0</v>
      </c>
    </row>
    <row r="308" spans="1:72">
      <c r="A308" s="4293"/>
      <c r="B308" s="4294"/>
      <c r="C308" s="4294"/>
      <c r="D308" s="4295"/>
      <c r="E308" s="4296">
        <f t="shared" si="177"/>
        <v>0</v>
      </c>
      <c r="F308" s="4297"/>
      <c r="G308" s="4298">
        <f t="shared" si="152"/>
        <v>0</v>
      </c>
      <c r="H308" s="4299">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4296">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3"/>
      <c r="AV308" s="1463">
        <f t="shared" si="178"/>
        <v>0</v>
      </c>
      <c r="AW308" s="1463">
        <f t="shared" si="179"/>
        <v>0</v>
      </c>
      <c r="AX308" s="1463">
        <f t="shared" si="180"/>
        <v>0</v>
      </c>
      <c r="AY308" s="4304">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305">
        <f t="shared" si="176"/>
        <v>0</v>
      </c>
    </row>
    <row r="309" spans="1:72">
      <c r="A309" s="4293"/>
      <c r="B309" s="4294"/>
      <c r="C309" s="4294"/>
      <c r="D309" s="4295"/>
      <c r="E309" s="4296">
        <f t="shared" si="177"/>
        <v>0</v>
      </c>
      <c r="F309" s="4297"/>
      <c r="G309" s="4298">
        <f t="shared" si="152"/>
        <v>0</v>
      </c>
      <c r="H309" s="4299">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4296">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3"/>
      <c r="AV309" s="1463">
        <f t="shared" si="178"/>
        <v>0</v>
      </c>
      <c r="AW309" s="1463">
        <f t="shared" si="179"/>
        <v>0</v>
      </c>
      <c r="AX309" s="1463">
        <f t="shared" si="180"/>
        <v>0</v>
      </c>
      <c r="AY309" s="4304">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305">
        <f t="shared" si="176"/>
        <v>0</v>
      </c>
    </row>
    <row r="310" spans="1:72">
      <c r="A310" s="4293"/>
      <c r="B310" s="4294"/>
      <c r="C310" s="4294"/>
      <c r="D310" s="4295"/>
      <c r="E310" s="4296">
        <f t="shared" si="177"/>
        <v>0</v>
      </c>
      <c r="F310" s="4297"/>
      <c r="G310" s="4298">
        <f t="shared" si="152"/>
        <v>0</v>
      </c>
      <c r="H310" s="4299">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4296">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3"/>
      <c r="AV310" s="1463">
        <f t="shared" si="178"/>
        <v>0</v>
      </c>
      <c r="AW310" s="1463">
        <f t="shared" si="179"/>
        <v>0</v>
      </c>
      <c r="AX310" s="1463">
        <f t="shared" si="180"/>
        <v>0</v>
      </c>
      <c r="AY310" s="4304">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305">
        <f t="shared" si="176"/>
        <v>0</v>
      </c>
    </row>
    <row r="311" spans="1:72">
      <c r="A311" s="4293"/>
      <c r="B311" s="4294"/>
      <c r="C311" s="4294"/>
      <c r="D311" s="4295"/>
      <c r="E311" s="4296">
        <f t="shared" si="177"/>
        <v>0</v>
      </c>
      <c r="F311" s="4297"/>
      <c r="G311" s="4298">
        <f t="shared" si="152"/>
        <v>0</v>
      </c>
      <c r="H311" s="4299">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4296">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3"/>
      <c r="AV311" s="1463">
        <f t="shared" si="178"/>
        <v>0</v>
      </c>
      <c r="AW311" s="1463">
        <f t="shared" si="179"/>
        <v>0</v>
      </c>
      <c r="AX311" s="1463">
        <f t="shared" si="180"/>
        <v>0</v>
      </c>
      <c r="AY311" s="4304">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305">
        <f t="shared" si="176"/>
        <v>0</v>
      </c>
    </row>
    <row r="312" spans="1:72">
      <c r="A312" s="4293"/>
      <c r="B312" s="4294"/>
      <c r="C312" s="4294"/>
      <c r="D312" s="4295"/>
      <c r="E312" s="4296">
        <f t="shared" si="177"/>
        <v>0</v>
      </c>
      <c r="F312" s="4297"/>
      <c r="G312" s="4298">
        <f t="shared" si="152"/>
        <v>0</v>
      </c>
      <c r="H312" s="4299">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4296">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3"/>
      <c r="AV312" s="1463">
        <f t="shared" si="178"/>
        <v>0</v>
      </c>
      <c r="AW312" s="1463">
        <f t="shared" si="179"/>
        <v>0</v>
      </c>
      <c r="AX312" s="1463">
        <f t="shared" si="180"/>
        <v>0</v>
      </c>
      <c r="AY312" s="4304">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305">
        <f t="shared" si="176"/>
        <v>0</v>
      </c>
    </row>
    <row r="313" spans="1:72">
      <c r="A313" s="4293"/>
      <c r="B313" s="4294"/>
      <c r="C313" s="4294"/>
      <c r="D313" s="4295"/>
      <c r="E313" s="4296">
        <f t="shared" si="177"/>
        <v>0</v>
      </c>
      <c r="F313" s="4297"/>
      <c r="G313" s="4298">
        <f t="shared" si="152"/>
        <v>0</v>
      </c>
      <c r="H313" s="4299">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4296">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3"/>
      <c r="AV313" s="1463">
        <f t="shared" si="178"/>
        <v>0</v>
      </c>
      <c r="AW313" s="1463">
        <f t="shared" si="179"/>
        <v>0</v>
      </c>
      <c r="AX313" s="1463">
        <f t="shared" si="180"/>
        <v>0</v>
      </c>
      <c r="AY313" s="4304">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305">
        <f t="shared" si="176"/>
        <v>0</v>
      </c>
    </row>
    <row r="314" spans="1:72">
      <c r="A314" s="4293"/>
      <c r="B314" s="4294"/>
      <c r="C314" s="4294"/>
      <c r="D314" s="4295"/>
      <c r="E314" s="4296">
        <f t="shared" si="177"/>
        <v>0</v>
      </c>
      <c r="F314" s="4297"/>
      <c r="G314" s="4298">
        <f t="shared" si="152"/>
        <v>0</v>
      </c>
      <c r="H314" s="4299">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4296">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3"/>
      <c r="AV314" s="1463">
        <f t="shared" si="178"/>
        <v>0</v>
      </c>
      <c r="AW314" s="1463">
        <f t="shared" si="179"/>
        <v>0</v>
      </c>
      <c r="AX314" s="1463">
        <f t="shared" si="180"/>
        <v>0</v>
      </c>
      <c r="AY314" s="4304">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305">
        <f t="shared" si="176"/>
        <v>0</v>
      </c>
    </row>
    <row r="315" spans="1:72">
      <c r="A315" s="4293"/>
      <c r="B315" s="4294"/>
      <c r="C315" s="4294"/>
      <c r="D315" s="4295"/>
      <c r="E315" s="4296">
        <f t="shared" si="177"/>
        <v>0</v>
      </c>
      <c r="F315" s="4297"/>
      <c r="G315" s="4298">
        <f t="shared" si="152"/>
        <v>0</v>
      </c>
      <c r="H315" s="4299">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4296">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3"/>
      <c r="AV315" s="1463">
        <f t="shared" si="178"/>
        <v>0</v>
      </c>
      <c r="AW315" s="1463">
        <f t="shared" si="179"/>
        <v>0</v>
      </c>
      <c r="AX315" s="1463">
        <f t="shared" si="180"/>
        <v>0</v>
      </c>
      <c r="AY315" s="4304">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305">
        <f t="shared" si="176"/>
        <v>0</v>
      </c>
    </row>
    <row r="316" spans="1:72">
      <c r="A316" s="4293"/>
      <c r="B316" s="4294"/>
      <c r="C316" s="4294"/>
      <c r="D316" s="4295"/>
      <c r="E316" s="4296">
        <f t="shared" si="177"/>
        <v>0</v>
      </c>
      <c r="F316" s="4297"/>
      <c r="G316" s="4298">
        <f t="shared" si="152"/>
        <v>0</v>
      </c>
      <c r="H316" s="4299">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4296">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3"/>
      <c r="AV316" s="1463">
        <f t="shared" si="178"/>
        <v>0</v>
      </c>
      <c r="AW316" s="1463">
        <f t="shared" si="179"/>
        <v>0</v>
      </c>
      <c r="AX316" s="1463">
        <f t="shared" si="180"/>
        <v>0</v>
      </c>
      <c r="AY316" s="4304">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305">
        <f t="shared" si="176"/>
        <v>0</v>
      </c>
    </row>
    <row r="317" spans="1:72">
      <c r="A317" s="4293"/>
      <c r="B317" s="4294"/>
      <c r="C317" s="4294"/>
      <c r="D317" s="4295"/>
      <c r="E317" s="4296">
        <f t="shared" si="177"/>
        <v>0</v>
      </c>
      <c r="F317" s="4297"/>
      <c r="G317" s="4298">
        <f t="shared" si="152"/>
        <v>0</v>
      </c>
      <c r="H317" s="4299">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4296">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3"/>
      <c r="AV317" s="1463">
        <f t="shared" si="178"/>
        <v>0</v>
      </c>
      <c r="AW317" s="1463">
        <f t="shared" si="179"/>
        <v>0</v>
      </c>
      <c r="AX317" s="1463">
        <f t="shared" si="180"/>
        <v>0</v>
      </c>
      <c r="AY317" s="4304">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305">
        <f t="shared" si="176"/>
        <v>0</v>
      </c>
    </row>
    <row r="318" spans="1:72">
      <c r="A318" s="4293"/>
      <c r="B318" s="4294"/>
      <c r="C318" s="4294"/>
      <c r="D318" s="4295"/>
      <c r="E318" s="4296">
        <f t="shared" si="177"/>
        <v>0</v>
      </c>
      <c r="F318" s="4297"/>
      <c r="G318" s="4298">
        <f t="shared" si="152"/>
        <v>0</v>
      </c>
      <c r="H318" s="4299">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4296">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3"/>
      <c r="AV318" s="1463">
        <f t="shared" si="178"/>
        <v>0</v>
      </c>
      <c r="AW318" s="1463">
        <f t="shared" si="179"/>
        <v>0</v>
      </c>
      <c r="AX318" s="1463">
        <f t="shared" si="180"/>
        <v>0</v>
      </c>
      <c r="AY318" s="4304">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305">
        <f t="shared" si="176"/>
        <v>0</v>
      </c>
    </row>
    <row r="319" spans="1:72">
      <c r="A319" s="4293"/>
      <c r="B319" s="4294"/>
      <c r="C319" s="4294"/>
      <c r="D319" s="4295"/>
      <c r="E319" s="4296">
        <f t="shared" si="177"/>
        <v>0</v>
      </c>
      <c r="F319" s="4297"/>
      <c r="G319" s="4298">
        <f t="shared" si="152"/>
        <v>0</v>
      </c>
      <c r="H319" s="4299">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4296">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3"/>
      <c r="AV319" s="1463">
        <f t="shared" si="178"/>
        <v>0</v>
      </c>
      <c r="AW319" s="1463">
        <f t="shared" si="179"/>
        <v>0</v>
      </c>
      <c r="AX319" s="1463">
        <f t="shared" si="180"/>
        <v>0</v>
      </c>
      <c r="AY319" s="4304">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305">
        <f t="shared" si="176"/>
        <v>0</v>
      </c>
    </row>
    <row r="320" spans="1:72">
      <c r="A320" s="4293"/>
      <c r="B320" s="4294"/>
      <c r="C320" s="4294"/>
      <c r="D320" s="4295"/>
      <c r="E320" s="4296">
        <f t="shared" si="177"/>
        <v>0</v>
      </c>
      <c r="F320" s="4297"/>
      <c r="G320" s="4298">
        <f t="shared" si="152"/>
        <v>0</v>
      </c>
      <c r="H320" s="4299">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4296">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3"/>
      <c r="AV320" s="1463">
        <f t="shared" si="178"/>
        <v>0</v>
      </c>
      <c r="AW320" s="1463">
        <f t="shared" si="179"/>
        <v>0</v>
      </c>
      <c r="AX320" s="1463">
        <f t="shared" si="180"/>
        <v>0</v>
      </c>
      <c r="AY320" s="4304">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305">
        <f t="shared" si="176"/>
        <v>0</v>
      </c>
    </row>
    <row r="321" spans="1:72">
      <c r="A321" s="4293"/>
      <c r="B321" s="4294"/>
      <c r="C321" s="4294"/>
      <c r="D321" s="4295"/>
      <c r="E321" s="4296">
        <f t="shared" si="177"/>
        <v>0</v>
      </c>
      <c r="F321" s="4297"/>
      <c r="G321" s="4298">
        <f t="shared" si="152"/>
        <v>0</v>
      </c>
      <c r="H321" s="4299">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4296">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3"/>
      <c r="AV321" s="1463">
        <f t="shared" si="178"/>
        <v>0</v>
      </c>
      <c r="AW321" s="1463">
        <f t="shared" si="179"/>
        <v>0</v>
      </c>
      <c r="AX321" s="1463">
        <f t="shared" si="180"/>
        <v>0</v>
      </c>
      <c r="AY321" s="4304">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305">
        <f t="shared" si="176"/>
        <v>0</v>
      </c>
    </row>
    <row r="322" spans="1:72">
      <c r="A322" s="4293"/>
      <c r="B322" s="4294"/>
      <c r="C322" s="4294"/>
      <c r="D322" s="4295"/>
      <c r="E322" s="4296">
        <f t="shared" si="177"/>
        <v>0</v>
      </c>
      <c r="F322" s="4297"/>
      <c r="G322" s="4298">
        <f t="shared" si="152"/>
        <v>0</v>
      </c>
      <c r="H322" s="4299">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4296">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3"/>
      <c r="AV322" s="1463">
        <f t="shared" si="178"/>
        <v>0</v>
      </c>
      <c r="AW322" s="1463">
        <f t="shared" si="179"/>
        <v>0</v>
      </c>
      <c r="AX322" s="1463">
        <f t="shared" si="180"/>
        <v>0</v>
      </c>
      <c r="AY322" s="4304">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305">
        <f t="shared" si="176"/>
        <v>0</v>
      </c>
    </row>
    <row r="323" spans="1:72">
      <c r="A323" s="4293"/>
      <c r="B323" s="4294"/>
      <c r="C323" s="4294"/>
      <c r="D323" s="4295"/>
      <c r="E323" s="4296">
        <f t="shared" si="177"/>
        <v>0</v>
      </c>
      <c r="F323" s="4297"/>
      <c r="G323" s="4298">
        <f t="shared" si="152"/>
        <v>0</v>
      </c>
      <c r="H323" s="4299">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4296">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3"/>
      <c r="AV323" s="1463">
        <f t="shared" si="178"/>
        <v>0</v>
      </c>
      <c r="AW323" s="1463">
        <f t="shared" si="179"/>
        <v>0</v>
      </c>
      <c r="AX323" s="1463">
        <f t="shared" si="180"/>
        <v>0</v>
      </c>
      <c r="AY323" s="4304">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305">
        <f t="shared" si="176"/>
        <v>0</v>
      </c>
    </row>
    <row r="324" spans="1:72">
      <c r="A324" s="4293"/>
      <c r="B324" s="4294"/>
      <c r="C324" s="4294"/>
      <c r="D324" s="4295"/>
      <c r="E324" s="4296">
        <f t="shared" si="177"/>
        <v>0</v>
      </c>
      <c r="F324" s="4297"/>
      <c r="G324" s="4298">
        <f t="shared" si="152"/>
        <v>0</v>
      </c>
      <c r="H324" s="4299">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4296">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3"/>
      <c r="AV324" s="1463">
        <f t="shared" si="178"/>
        <v>0</v>
      </c>
      <c r="AW324" s="1463">
        <f t="shared" si="179"/>
        <v>0</v>
      </c>
      <c r="AX324" s="1463">
        <f t="shared" si="180"/>
        <v>0</v>
      </c>
      <c r="AY324" s="4304">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305">
        <f t="shared" si="176"/>
        <v>0</v>
      </c>
    </row>
    <row r="325" spans="1:72">
      <c r="A325" s="4293"/>
      <c r="B325" s="4294"/>
      <c r="C325" s="4294"/>
      <c r="D325" s="4295"/>
      <c r="E325" s="4296">
        <f t="shared" si="177"/>
        <v>0</v>
      </c>
      <c r="F325" s="4297"/>
      <c r="G325" s="4298">
        <f t="shared" si="152"/>
        <v>0</v>
      </c>
      <c r="H325" s="4299">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4296">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3"/>
      <c r="AV325" s="1463">
        <f t="shared" si="178"/>
        <v>0</v>
      </c>
      <c r="AW325" s="1463">
        <f t="shared" si="179"/>
        <v>0</v>
      </c>
      <c r="AX325" s="1463">
        <f t="shared" si="180"/>
        <v>0</v>
      </c>
      <c r="AY325" s="4304">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305">
        <f t="shared" si="176"/>
        <v>0</v>
      </c>
    </row>
    <row r="326" spans="1:72">
      <c r="A326" s="4293"/>
      <c r="B326" s="4294"/>
      <c r="C326" s="4294"/>
      <c r="D326" s="4295"/>
      <c r="E326" s="4296">
        <f t="shared" si="177"/>
        <v>0</v>
      </c>
      <c r="F326" s="4297"/>
      <c r="G326" s="4298">
        <f t="shared" si="152"/>
        <v>0</v>
      </c>
      <c r="H326" s="4299">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4296">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3"/>
      <c r="AV326" s="1463">
        <f t="shared" si="178"/>
        <v>0</v>
      </c>
      <c r="AW326" s="1463">
        <f t="shared" si="179"/>
        <v>0</v>
      </c>
      <c r="AX326" s="1463">
        <f t="shared" si="180"/>
        <v>0</v>
      </c>
      <c r="AY326" s="4304">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305">
        <f t="shared" si="176"/>
        <v>0</v>
      </c>
    </row>
    <row r="327" spans="1:72">
      <c r="A327" s="4293"/>
      <c r="B327" s="4294"/>
      <c r="C327" s="4294"/>
      <c r="D327" s="4295"/>
      <c r="E327" s="4296">
        <f t="shared" si="177"/>
        <v>0</v>
      </c>
      <c r="F327" s="4297"/>
      <c r="G327" s="4298">
        <f t="shared" si="152"/>
        <v>0</v>
      </c>
      <c r="H327" s="4299">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4296">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3"/>
      <c r="AV327" s="1463">
        <f t="shared" si="178"/>
        <v>0</v>
      </c>
      <c r="AW327" s="1463">
        <f t="shared" si="179"/>
        <v>0</v>
      </c>
      <c r="AX327" s="1463">
        <f t="shared" si="180"/>
        <v>0</v>
      </c>
      <c r="AY327" s="4304">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305">
        <f t="shared" si="176"/>
        <v>0</v>
      </c>
    </row>
    <row r="328" spans="1:72">
      <c r="A328" s="4293"/>
      <c r="B328" s="4294"/>
      <c r="C328" s="4294"/>
      <c r="D328" s="4295"/>
      <c r="E328" s="4296">
        <f t="shared" si="177"/>
        <v>0</v>
      </c>
      <c r="F328" s="4297"/>
      <c r="G328" s="4298">
        <f t="shared" si="152"/>
        <v>0</v>
      </c>
      <c r="H328" s="4299">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4296">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3"/>
      <c r="AV328" s="1463">
        <f t="shared" si="178"/>
        <v>0</v>
      </c>
      <c r="AW328" s="1463">
        <f t="shared" si="179"/>
        <v>0</v>
      </c>
      <c r="AX328" s="1463">
        <f t="shared" si="180"/>
        <v>0</v>
      </c>
      <c r="AY328" s="4304">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305">
        <f t="shared" si="176"/>
        <v>0</v>
      </c>
    </row>
    <row r="329" spans="1:72">
      <c r="A329" s="4293"/>
      <c r="B329" s="4294"/>
      <c r="C329" s="4294"/>
      <c r="D329" s="4295"/>
      <c r="E329" s="4296">
        <f t="shared" si="177"/>
        <v>0</v>
      </c>
      <c r="F329" s="4297"/>
      <c r="G329" s="4298">
        <f t="shared" si="152"/>
        <v>0</v>
      </c>
      <c r="H329" s="4299">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4296">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3"/>
      <c r="AV329" s="1463">
        <f t="shared" si="178"/>
        <v>0</v>
      </c>
      <c r="AW329" s="1463">
        <f t="shared" si="179"/>
        <v>0</v>
      </c>
      <c r="AX329" s="1463">
        <f t="shared" si="180"/>
        <v>0</v>
      </c>
      <c r="AY329" s="4304">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305">
        <f t="shared" si="176"/>
        <v>0</v>
      </c>
    </row>
    <row r="330" spans="1:72">
      <c r="A330" s="4293"/>
      <c r="B330" s="4294"/>
      <c r="C330" s="4294"/>
      <c r="D330" s="4295"/>
      <c r="E330" s="4296">
        <f t="shared" si="177"/>
        <v>0</v>
      </c>
      <c r="F330" s="4297"/>
      <c r="G330" s="4298">
        <f t="shared" si="152"/>
        <v>0</v>
      </c>
      <c r="H330" s="4299">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4296">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3"/>
      <c r="AV330" s="1463">
        <f t="shared" si="178"/>
        <v>0</v>
      </c>
      <c r="AW330" s="1463">
        <f t="shared" si="179"/>
        <v>0</v>
      </c>
      <c r="AX330" s="1463">
        <f t="shared" si="180"/>
        <v>0</v>
      </c>
      <c r="AY330" s="4304">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305">
        <f t="shared" si="176"/>
        <v>0</v>
      </c>
    </row>
    <row r="331" spans="1:72">
      <c r="A331" s="4293"/>
      <c r="B331" s="4294"/>
      <c r="C331" s="4294"/>
      <c r="D331" s="4295"/>
      <c r="E331" s="4296">
        <f t="shared" si="177"/>
        <v>0</v>
      </c>
      <c r="F331" s="4297"/>
      <c r="G331" s="4298">
        <f t="shared" si="152"/>
        <v>0</v>
      </c>
      <c r="H331" s="4299">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4296">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3"/>
      <c r="AV331" s="1463">
        <f t="shared" si="178"/>
        <v>0</v>
      </c>
      <c r="AW331" s="1463">
        <f t="shared" si="179"/>
        <v>0</v>
      </c>
      <c r="AX331" s="1463">
        <f t="shared" si="180"/>
        <v>0</v>
      </c>
      <c r="AY331" s="4304">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305">
        <f t="shared" si="176"/>
        <v>0</v>
      </c>
    </row>
    <row r="332" spans="1:72">
      <c r="A332" s="4293"/>
      <c r="B332" s="4294"/>
      <c r="C332" s="4294"/>
      <c r="D332" s="4295"/>
      <c r="E332" s="4296">
        <f t="shared" si="177"/>
        <v>0</v>
      </c>
      <c r="F332" s="4297"/>
      <c r="G332" s="4298">
        <f t="shared" ref="G332:G363" si="181">H332+AC332+AT332</f>
        <v>0</v>
      </c>
      <c r="H332" s="4299">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4296">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3"/>
      <c r="AV332" s="1463">
        <f t="shared" si="178"/>
        <v>0</v>
      </c>
      <c r="AW332" s="1463">
        <f t="shared" si="179"/>
        <v>0</v>
      </c>
      <c r="AX332" s="1463">
        <f t="shared" si="180"/>
        <v>0</v>
      </c>
      <c r="AY332" s="4304">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305">
        <f t="shared" ref="BT332:BT363" si="205">IF($D332="是",AR332-AS332,0)</f>
        <v>0</v>
      </c>
    </row>
    <row r="333" spans="1:72">
      <c r="A333" s="4293"/>
      <c r="B333" s="4294"/>
      <c r="C333" s="4294"/>
      <c r="D333" s="4295"/>
      <c r="E333" s="4296">
        <f t="shared" si="177"/>
        <v>0</v>
      </c>
      <c r="F333" s="4297"/>
      <c r="G333" s="4298">
        <f t="shared" si="181"/>
        <v>0</v>
      </c>
      <c r="H333" s="4299">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4296">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3"/>
      <c r="AV333" s="1463">
        <f t="shared" si="178"/>
        <v>0</v>
      </c>
      <c r="AW333" s="1463">
        <f t="shared" si="179"/>
        <v>0</v>
      </c>
      <c r="AX333" s="1463">
        <f t="shared" si="180"/>
        <v>0</v>
      </c>
      <c r="AY333" s="4304">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305">
        <f t="shared" si="205"/>
        <v>0</v>
      </c>
    </row>
    <row r="334" spans="1:72">
      <c r="A334" s="4293"/>
      <c r="B334" s="4294"/>
      <c r="C334" s="4294"/>
      <c r="D334" s="4295"/>
      <c r="E334" s="4296">
        <f t="shared" si="177"/>
        <v>0</v>
      </c>
      <c r="F334" s="4297"/>
      <c r="G334" s="4298">
        <f t="shared" si="181"/>
        <v>0</v>
      </c>
      <c r="H334" s="4299">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4296">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3"/>
      <c r="AV334" s="1463">
        <f t="shared" si="178"/>
        <v>0</v>
      </c>
      <c r="AW334" s="1463">
        <f t="shared" si="179"/>
        <v>0</v>
      </c>
      <c r="AX334" s="1463">
        <f t="shared" si="180"/>
        <v>0</v>
      </c>
      <c r="AY334" s="4304">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305">
        <f t="shared" si="205"/>
        <v>0</v>
      </c>
    </row>
    <row r="335" spans="1:72">
      <c r="A335" s="4293"/>
      <c r="B335" s="4294"/>
      <c r="C335" s="4294"/>
      <c r="D335" s="4295"/>
      <c r="E335" s="4296">
        <f t="shared" ref="E335:E366" si="206">IF($C$3="是",ROUND($A$3*G335/$B$3,2),ROUND($A$3*(G335-AT335)/$B$3,2))</f>
        <v>0</v>
      </c>
      <c r="F335" s="4297"/>
      <c r="G335" s="4298">
        <f t="shared" si="181"/>
        <v>0</v>
      </c>
      <c r="H335" s="4299">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4296">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3"/>
      <c r="AV335" s="1463">
        <f t="shared" ref="AV335:AV366" si="207">A335</f>
        <v>0</v>
      </c>
      <c r="AW335" s="1463">
        <f t="shared" ref="AW335:AW366" si="208">B335</f>
        <v>0</v>
      </c>
      <c r="AX335" s="1463">
        <f t="shared" ref="AX335:AX366" si="209">C335</f>
        <v>0</v>
      </c>
      <c r="AY335" s="4304">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305">
        <f t="shared" si="205"/>
        <v>0</v>
      </c>
    </row>
    <row r="336" spans="1:72">
      <c r="A336" s="4293"/>
      <c r="B336" s="4294"/>
      <c r="C336" s="4294"/>
      <c r="D336" s="4295"/>
      <c r="E336" s="4296">
        <f t="shared" si="206"/>
        <v>0</v>
      </c>
      <c r="F336" s="4297"/>
      <c r="G336" s="4298">
        <f t="shared" si="181"/>
        <v>0</v>
      </c>
      <c r="H336" s="4299">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4296">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3"/>
      <c r="AV336" s="1463">
        <f t="shared" si="207"/>
        <v>0</v>
      </c>
      <c r="AW336" s="1463">
        <f t="shared" si="208"/>
        <v>0</v>
      </c>
      <c r="AX336" s="1463">
        <f t="shared" si="209"/>
        <v>0</v>
      </c>
      <c r="AY336" s="4304">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305">
        <f t="shared" si="205"/>
        <v>0</v>
      </c>
    </row>
    <row r="337" spans="1:72">
      <c r="A337" s="4293"/>
      <c r="B337" s="4294"/>
      <c r="C337" s="4294"/>
      <c r="D337" s="4295"/>
      <c r="E337" s="4296">
        <f t="shared" si="206"/>
        <v>0</v>
      </c>
      <c r="F337" s="4297"/>
      <c r="G337" s="4298">
        <f t="shared" si="181"/>
        <v>0</v>
      </c>
      <c r="H337" s="4299">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4296">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3"/>
      <c r="AV337" s="1463">
        <f t="shared" si="207"/>
        <v>0</v>
      </c>
      <c r="AW337" s="1463">
        <f t="shared" si="208"/>
        <v>0</v>
      </c>
      <c r="AX337" s="1463">
        <f t="shared" si="209"/>
        <v>0</v>
      </c>
      <c r="AY337" s="4304">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305">
        <f t="shared" si="205"/>
        <v>0</v>
      </c>
    </row>
    <row r="338" spans="1:72">
      <c r="A338" s="4293"/>
      <c r="B338" s="4294"/>
      <c r="C338" s="4294"/>
      <c r="D338" s="4295"/>
      <c r="E338" s="4296">
        <f t="shared" si="206"/>
        <v>0</v>
      </c>
      <c r="F338" s="4297"/>
      <c r="G338" s="4298">
        <f t="shared" si="181"/>
        <v>0</v>
      </c>
      <c r="H338" s="4299">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4296">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3"/>
      <c r="AV338" s="1463">
        <f t="shared" si="207"/>
        <v>0</v>
      </c>
      <c r="AW338" s="1463">
        <f t="shared" si="208"/>
        <v>0</v>
      </c>
      <c r="AX338" s="1463">
        <f t="shared" si="209"/>
        <v>0</v>
      </c>
      <c r="AY338" s="4304">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305">
        <f t="shared" si="205"/>
        <v>0</v>
      </c>
    </row>
    <row r="339" spans="1:72">
      <c r="A339" s="4293"/>
      <c r="B339" s="4294"/>
      <c r="C339" s="4294"/>
      <c r="D339" s="4295"/>
      <c r="E339" s="4296">
        <f t="shared" si="206"/>
        <v>0</v>
      </c>
      <c r="F339" s="4297"/>
      <c r="G339" s="4298">
        <f t="shared" si="181"/>
        <v>0</v>
      </c>
      <c r="H339" s="4299">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4296">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3"/>
      <c r="AV339" s="1463">
        <f t="shared" si="207"/>
        <v>0</v>
      </c>
      <c r="AW339" s="1463">
        <f t="shared" si="208"/>
        <v>0</v>
      </c>
      <c r="AX339" s="1463">
        <f t="shared" si="209"/>
        <v>0</v>
      </c>
      <c r="AY339" s="4304">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305">
        <f t="shared" si="205"/>
        <v>0</v>
      </c>
    </row>
    <row r="340" spans="1:72">
      <c r="A340" s="4293"/>
      <c r="B340" s="4294"/>
      <c r="C340" s="4294"/>
      <c r="D340" s="4295"/>
      <c r="E340" s="4296">
        <f t="shared" si="206"/>
        <v>0</v>
      </c>
      <c r="F340" s="4297"/>
      <c r="G340" s="4298">
        <f t="shared" si="181"/>
        <v>0</v>
      </c>
      <c r="H340" s="4299">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4296">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3"/>
      <c r="AV340" s="1463">
        <f t="shared" si="207"/>
        <v>0</v>
      </c>
      <c r="AW340" s="1463">
        <f t="shared" si="208"/>
        <v>0</v>
      </c>
      <c r="AX340" s="1463">
        <f t="shared" si="209"/>
        <v>0</v>
      </c>
      <c r="AY340" s="4304">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305">
        <f t="shared" si="205"/>
        <v>0</v>
      </c>
    </row>
    <row r="341" spans="1:72">
      <c r="A341" s="4293"/>
      <c r="B341" s="4294"/>
      <c r="C341" s="4294"/>
      <c r="D341" s="4295"/>
      <c r="E341" s="4296">
        <f t="shared" si="206"/>
        <v>0</v>
      </c>
      <c r="F341" s="4297"/>
      <c r="G341" s="4298">
        <f t="shared" si="181"/>
        <v>0</v>
      </c>
      <c r="H341" s="4299">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4296">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3"/>
      <c r="AV341" s="1463">
        <f t="shared" si="207"/>
        <v>0</v>
      </c>
      <c r="AW341" s="1463">
        <f t="shared" si="208"/>
        <v>0</v>
      </c>
      <c r="AX341" s="1463">
        <f t="shared" si="209"/>
        <v>0</v>
      </c>
      <c r="AY341" s="4304">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305">
        <f t="shared" si="205"/>
        <v>0</v>
      </c>
    </row>
    <row r="342" spans="1:72">
      <c r="A342" s="4293"/>
      <c r="B342" s="4294"/>
      <c r="C342" s="4294"/>
      <c r="D342" s="4295"/>
      <c r="E342" s="4296">
        <f t="shared" si="206"/>
        <v>0</v>
      </c>
      <c r="F342" s="4297"/>
      <c r="G342" s="4298">
        <f t="shared" si="181"/>
        <v>0</v>
      </c>
      <c r="H342" s="4299">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4296">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3"/>
      <c r="AV342" s="1463">
        <f t="shared" si="207"/>
        <v>0</v>
      </c>
      <c r="AW342" s="1463">
        <f t="shared" si="208"/>
        <v>0</v>
      </c>
      <c r="AX342" s="1463">
        <f t="shared" si="209"/>
        <v>0</v>
      </c>
      <c r="AY342" s="4304">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305">
        <f t="shared" si="205"/>
        <v>0</v>
      </c>
    </row>
    <row r="343" spans="1:72">
      <c r="A343" s="4293"/>
      <c r="B343" s="4294"/>
      <c r="C343" s="4294"/>
      <c r="D343" s="4295"/>
      <c r="E343" s="4296">
        <f t="shared" si="206"/>
        <v>0</v>
      </c>
      <c r="F343" s="4297"/>
      <c r="G343" s="4298">
        <f t="shared" si="181"/>
        <v>0</v>
      </c>
      <c r="H343" s="4299">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4296">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3"/>
      <c r="AV343" s="1463">
        <f t="shared" si="207"/>
        <v>0</v>
      </c>
      <c r="AW343" s="1463">
        <f t="shared" si="208"/>
        <v>0</v>
      </c>
      <c r="AX343" s="1463">
        <f t="shared" si="209"/>
        <v>0</v>
      </c>
      <c r="AY343" s="4304">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305">
        <f t="shared" si="205"/>
        <v>0</v>
      </c>
    </row>
    <row r="344" spans="1:72">
      <c r="A344" s="4293"/>
      <c r="B344" s="4294"/>
      <c r="C344" s="4294"/>
      <c r="D344" s="4295"/>
      <c r="E344" s="4296">
        <f t="shared" si="206"/>
        <v>0</v>
      </c>
      <c r="F344" s="4297"/>
      <c r="G344" s="4298">
        <f t="shared" si="181"/>
        <v>0</v>
      </c>
      <c r="H344" s="4299">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4296">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3"/>
      <c r="AV344" s="1463">
        <f t="shared" si="207"/>
        <v>0</v>
      </c>
      <c r="AW344" s="1463">
        <f t="shared" si="208"/>
        <v>0</v>
      </c>
      <c r="AX344" s="1463">
        <f t="shared" si="209"/>
        <v>0</v>
      </c>
      <c r="AY344" s="4304">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305">
        <f t="shared" si="205"/>
        <v>0</v>
      </c>
    </row>
    <row r="345" spans="1:72">
      <c r="A345" s="4293"/>
      <c r="B345" s="4294"/>
      <c r="C345" s="4294"/>
      <c r="D345" s="4295"/>
      <c r="E345" s="4296">
        <f t="shared" si="206"/>
        <v>0</v>
      </c>
      <c r="F345" s="4297"/>
      <c r="G345" s="4298">
        <f t="shared" si="181"/>
        <v>0</v>
      </c>
      <c r="H345" s="4299">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4296">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3"/>
      <c r="AV345" s="1463">
        <f t="shared" si="207"/>
        <v>0</v>
      </c>
      <c r="AW345" s="1463">
        <f t="shared" si="208"/>
        <v>0</v>
      </c>
      <c r="AX345" s="1463">
        <f t="shared" si="209"/>
        <v>0</v>
      </c>
      <c r="AY345" s="4304">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305">
        <f t="shared" si="205"/>
        <v>0</v>
      </c>
    </row>
    <row r="346" spans="1:72">
      <c r="A346" s="4293"/>
      <c r="B346" s="4294"/>
      <c r="C346" s="4294"/>
      <c r="D346" s="4295"/>
      <c r="E346" s="4296">
        <f t="shared" si="206"/>
        <v>0</v>
      </c>
      <c r="F346" s="4297"/>
      <c r="G346" s="4298">
        <f t="shared" si="181"/>
        <v>0</v>
      </c>
      <c r="H346" s="4299">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4296">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3"/>
      <c r="AV346" s="1463">
        <f t="shared" si="207"/>
        <v>0</v>
      </c>
      <c r="AW346" s="1463">
        <f t="shared" si="208"/>
        <v>0</v>
      </c>
      <c r="AX346" s="1463">
        <f t="shared" si="209"/>
        <v>0</v>
      </c>
      <c r="AY346" s="4304">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305">
        <f t="shared" si="205"/>
        <v>0</v>
      </c>
    </row>
    <row r="347" spans="1:72">
      <c r="A347" s="4293"/>
      <c r="B347" s="4294"/>
      <c r="C347" s="4294"/>
      <c r="D347" s="4295"/>
      <c r="E347" s="4296">
        <f t="shared" si="206"/>
        <v>0</v>
      </c>
      <c r="F347" s="4297"/>
      <c r="G347" s="4298">
        <f t="shared" si="181"/>
        <v>0</v>
      </c>
      <c r="H347" s="4299">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4296">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3"/>
      <c r="AV347" s="1463">
        <f t="shared" si="207"/>
        <v>0</v>
      </c>
      <c r="AW347" s="1463">
        <f t="shared" si="208"/>
        <v>0</v>
      </c>
      <c r="AX347" s="1463">
        <f t="shared" si="209"/>
        <v>0</v>
      </c>
      <c r="AY347" s="4304">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305">
        <f t="shared" si="205"/>
        <v>0</v>
      </c>
    </row>
    <row r="348" spans="1:72">
      <c r="A348" s="4293"/>
      <c r="B348" s="4294"/>
      <c r="C348" s="4294"/>
      <c r="D348" s="4295"/>
      <c r="E348" s="4296">
        <f t="shared" si="206"/>
        <v>0</v>
      </c>
      <c r="F348" s="4297"/>
      <c r="G348" s="4298">
        <f t="shared" si="181"/>
        <v>0</v>
      </c>
      <c r="H348" s="4299">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4296">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3"/>
      <c r="AV348" s="1463">
        <f t="shared" si="207"/>
        <v>0</v>
      </c>
      <c r="AW348" s="1463">
        <f t="shared" si="208"/>
        <v>0</v>
      </c>
      <c r="AX348" s="1463">
        <f t="shared" si="209"/>
        <v>0</v>
      </c>
      <c r="AY348" s="4304">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305">
        <f t="shared" si="205"/>
        <v>0</v>
      </c>
    </row>
    <row r="349" spans="1:72">
      <c r="A349" s="4293"/>
      <c r="B349" s="4294"/>
      <c r="C349" s="4294"/>
      <c r="D349" s="4295"/>
      <c r="E349" s="4296">
        <f t="shared" si="206"/>
        <v>0</v>
      </c>
      <c r="F349" s="4297"/>
      <c r="G349" s="4298">
        <f t="shared" si="181"/>
        <v>0</v>
      </c>
      <c r="H349" s="4299">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4296">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3"/>
      <c r="AV349" s="1463">
        <f t="shared" si="207"/>
        <v>0</v>
      </c>
      <c r="AW349" s="1463">
        <f t="shared" si="208"/>
        <v>0</v>
      </c>
      <c r="AX349" s="1463">
        <f t="shared" si="209"/>
        <v>0</v>
      </c>
      <c r="AY349" s="4304">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305">
        <f t="shared" si="205"/>
        <v>0</v>
      </c>
    </row>
    <row r="350" spans="1:72">
      <c r="A350" s="4293"/>
      <c r="B350" s="4294"/>
      <c r="C350" s="4294"/>
      <c r="D350" s="4295"/>
      <c r="E350" s="4296">
        <f t="shared" si="206"/>
        <v>0</v>
      </c>
      <c r="F350" s="4297"/>
      <c r="G350" s="4298">
        <f t="shared" si="181"/>
        <v>0</v>
      </c>
      <c r="H350" s="4299">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4296">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3"/>
      <c r="AV350" s="1463">
        <f t="shared" si="207"/>
        <v>0</v>
      </c>
      <c r="AW350" s="1463">
        <f t="shared" si="208"/>
        <v>0</v>
      </c>
      <c r="AX350" s="1463">
        <f t="shared" si="209"/>
        <v>0</v>
      </c>
      <c r="AY350" s="4304">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305">
        <f t="shared" si="205"/>
        <v>0</v>
      </c>
    </row>
    <row r="351" spans="1:72">
      <c r="A351" s="4293"/>
      <c r="B351" s="4294"/>
      <c r="C351" s="4294"/>
      <c r="D351" s="4295"/>
      <c r="E351" s="4296">
        <f t="shared" si="206"/>
        <v>0</v>
      </c>
      <c r="F351" s="4297"/>
      <c r="G351" s="4298">
        <f t="shared" si="181"/>
        <v>0</v>
      </c>
      <c r="H351" s="4299">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4296">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3"/>
      <c r="AV351" s="1463">
        <f t="shared" si="207"/>
        <v>0</v>
      </c>
      <c r="AW351" s="1463">
        <f t="shared" si="208"/>
        <v>0</v>
      </c>
      <c r="AX351" s="1463">
        <f t="shared" si="209"/>
        <v>0</v>
      </c>
      <c r="AY351" s="4304">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305">
        <f t="shared" si="205"/>
        <v>0</v>
      </c>
    </row>
    <row r="352" spans="1:72">
      <c r="A352" s="4293"/>
      <c r="B352" s="4294"/>
      <c r="C352" s="4294"/>
      <c r="D352" s="4295"/>
      <c r="E352" s="4296">
        <f t="shared" si="206"/>
        <v>0</v>
      </c>
      <c r="F352" s="4297"/>
      <c r="G352" s="4298">
        <f t="shared" si="181"/>
        <v>0</v>
      </c>
      <c r="H352" s="4299">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4296">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3"/>
      <c r="AV352" s="1463">
        <f t="shared" si="207"/>
        <v>0</v>
      </c>
      <c r="AW352" s="1463">
        <f t="shared" si="208"/>
        <v>0</v>
      </c>
      <c r="AX352" s="1463">
        <f t="shared" si="209"/>
        <v>0</v>
      </c>
      <c r="AY352" s="4304">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305">
        <f t="shared" si="205"/>
        <v>0</v>
      </c>
    </row>
    <row r="353" spans="1:72">
      <c r="A353" s="4293"/>
      <c r="B353" s="4294"/>
      <c r="C353" s="4294"/>
      <c r="D353" s="4295"/>
      <c r="E353" s="4296">
        <f t="shared" si="206"/>
        <v>0</v>
      </c>
      <c r="F353" s="4297"/>
      <c r="G353" s="4298">
        <f t="shared" si="181"/>
        <v>0</v>
      </c>
      <c r="H353" s="4299">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4296">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3"/>
      <c r="AV353" s="1463">
        <f t="shared" si="207"/>
        <v>0</v>
      </c>
      <c r="AW353" s="1463">
        <f t="shared" si="208"/>
        <v>0</v>
      </c>
      <c r="AX353" s="1463">
        <f t="shared" si="209"/>
        <v>0</v>
      </c>
      <c r="AY353" s="4304">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305">
        <f t="shared" si="205"/>
        <v>0</v>
      </c>
    </row>
    <row r="354" spans="1:72">
      <c r="A354" s="4293"/>
      <c r="B354" s="4294"/>
      <c r="C354" s="4294"/>
      <c r="D354" s="4295"/>
      <c r="E354" s="4296">
        <f t="shared" si="206"/>
        <v>0</v>
      </c>
      <c r="F354" s="4297"/>
      <c r="G354" s="4298">
        <f t="shared" si="181"/>
        <v>0</v>
      </c>
      <c r="H354" s="4299">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4296">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3"/>
      <c r="AV354" s="1463">
        <f t="shared" si="207"/>
        <v>0</v>
      </c>
      <c r="AW354" s="1463">
        <f t="shared" si="208"/>
        <v>0</v>
      </c>
      <c r="AX354" s="1463">
        <f t="shared" si="209"/>
        <v>0</v>
      </c>
      <c r="AY354" s="4304">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305">
        <f t="shared" si="205"/>
        <v>0</v>
      </c>
    </row>
    <row r="355" spans="1:72">
      <c r="A355" s="4293"/>
      <c r="B355" s="4294"/>
      <c r="C355" s="4294"/>
      <c r="D355" s="4295"/>
      <c r="E355" s="4296">
        <f t="shared" si="206"/>
        <v>0</v>
      </c>
      <c r="F355" s="4297"/>
      <c r="G355" s="4298">
        <f t="shared" si="181"/>
        <v>0</v>
      </c>
      <c r="H355" s="4299">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4296">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3"/>
      <c r="AV355" s="1463">
        <f t="shared" si="207"/>
        <v>0</v>
      </c>
      <c r="AW355" s="1463">
        <f t="shared" si="208"/>
        <v>0</v>
      </c>
      <c r="AX355" s="1463">
        <f t="shared" si="209"/>
        <v>0</v>
      </c>
      <c r="AY355" s="4304">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305">
        <f t="shared" si="205"/>
        <v>0</v>
      </c>
    </row>
    <row r="356" spans="1:72">
      <c r="A356" s="4293"/>
      <c r="B356" s="4294"/>
      <c r="C356" s="4294"/>
      <c r="D356" s="4295"/>
      <c r="E356" s="4296">
        <f t="shared" si="206"/>
        <v>0</v>
      </c>
      <c r="F356" s="4297"/>
      <c r="G356" s="4298">
        <f t="shared" si="181"/>
        <v>0</v>
      </c>
      <c r="H356" s="4299">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4296">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3"/>
      <c r="AV356" s="1463">
        <f t="shared" si="207"/>
        <v>0</v>
      </c>
      <c r="AW356" s="1463">
        <f t="shared" si="208"/>
        <v>0</v>
      </c>
      <c r="AX356" s="1463">
        <f t="shared" si="209"/>
        <v>0</v>
      </c>
      <c r="AY356" s="4304">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305">
        <f t="shared" si="205"/>
        <v>0</v>
      </c>
    </row>
    <row r="357" spans="1:72">
      <c r="A357" s="4293"/>
      <c r="B357" s="4294"/>
      <c r="C357" s="4294"/>
      <c r="D357" s="4295"/>
      <c r="E357" s="4296">
        <f t="shared" si="206"/>
        <v>0</v>
      </c>
      <c r="F357" s="4297"/>
      <c r="G357" s="4298">
        <f t="shared" si="181"/>
        <v>0</v>
      </c>
      <c r="H357" s="4299">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4296">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3"/>
      <c r="AV357" s="1463">
        <f t="shared" si="207"/>
        <v>0</v>
      </c>
      <c r="AW357" s="1463">
        <f t="shared" si="208"/>
        <v>0</v>
      </c>
      <c r="AX357" s="1463">
        <f t="shared" si="209"/>
        <v>0</v>
      </c>
      <c r="AY357" s="4304">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305">
        <f t="shared" si="205"/>
        <v>0</v>
      </c>
    </row>
    <row r="358" spans="1:72">
      <c r="A358" s="4293"/>
      <c r="B358" s="4294"/>
      <c r="C358" s="4294"/>
      <c r="D358" s="4295"/>
      <c r="E358" s="4296">
        <f t="shared" si="206"/>
        <v>0</v>
      </c>
      <c r="F358" s="4297"/>
      <c r="G358" s="4298">
        <f t="shared" si="181"/>
        <v>0</v>
      </c>
      <c r="H358" s="4299">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4296">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3"/>
      <c r="AV358" s="1463">
        <f t="shared" si="207"/>
        <v>0</v>
      </c>
      <c r="AW358" s="1463">
        <f t="shared" si="208"/>
        <v>0</v>
      </c>
      <c r="AX358" s="1463">
        <f t="shared" si="209"/>
        <v>0</v>
      </c>
      <c r="AY358" s="4304">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305">
        <f t="shared" si="205"/>
        <v>0</v>
      </c>
    </row>
    <row r="359" spans="1:72">
      <c r="A359" s="4293"/>
      <c r="B359" s="4294"/>
      <c r="C359" s="4294"/>
      <c r="D359" s="4295"/>
      <c r="E359" s="4296">
        <f t="shared" si="206"/>
        <v>0</v>
      </c>
      <c r="F359" s="4297"/>
      <c r="G359" s="4298">
        <f t="shared" si="181"/>
        <v>0</v>
      </c>
      <c r="H359" s="4299">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4296">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3"/>
      <c r="AV359" s="1463">
        <f t="shared" si="207"/>
        <v>0</v>
      </c>
      <c r="AW359" s="1463">
        <f t="shared" si="208"/>
        <v>0</v>
      </c>
      <c r="AX359" s="1463">
        <f t="shared" si="209"/>
        <v>0</v>
      </c>
      <c r="AY359" s="4304">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305">
        <f t="shared" si="205"/>
        <v>0</v>
      </c>
    </row>
    <row r="360" spans="1:72">
      <c r="A360" s="4293"/>
      <c r="B360" s="4294"/>
      <c r="C360" s="4294"/>
      <c r="D360" s="4295"/>
      <c r="E360" s="4296">
        <f t="shared" si="206"/>
        <v>0</v>
      </c>
      <c r="F360" s="4297"/>
      <c r="G360" s="4298">
        <f t="shared" si="181"/>
        <v>0</v>
      </c>
      <c r="H360" s="4299">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4296">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3"/>
      <c r="AV360" s="1463">
        <f t="shared" si="207"/>
        <v>0</v>
      </c>
      <c r="AW360" s="1463">
        <f t="shared" si="208"/>
        <v>0</v>
      </c>
      <c r="AX360" s="1463">
        <f t="shared" si="209"/>
        <v>0</v>
      </c>
      <c r="AY360" s="4304">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305">
        <f t="shared" si="205"/>
        <v>0</v>
      </c>
    </row>
    <row r="361" spans="1:72">
      <c r="A361" s="4293"/>
      <c r="B361" s="4294"/>
      <c r="C361" s="4294"/>
      <c r="D361" s="4295"/>
      <c r="E361" s="4296">
        <f t="shared" si="206"/>
        <v>0</v>
      </c>
      <c r="F361" s="4297"/>
      <c r="G361" s="4298">
        <f t="shared" si="181"/>
        <v>0</v>
      </c>
      <c r="H361" s="4299">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4296">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3"/>
      <c r="AV361" s="1463">
        <f t="shared" si="207"/>
        <v>0</v>
      </c>
      <c r="AW361" s="1463">
        <f t="shared" si="208"/>
        <v>0</v>
      </c>
      <c r="AX361" s="1463">
        <f t="shared" si="209"/>
        <v>0</v>
      </c>
      <c r="AY361" s="4304">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305">
        <f t="shared" si="205"/>
        <v>0</v>
      </c>
    </row>
    <row r="362" spans="1:72">
      <c r="A362" s="4293"/>
      <c r="B362" s="4294"/>
      <c r="C362" s="4294"/>
      <c r="D362" s="4295"/>
      <c r="E362" s="4296">
        <f t="shared" si="206"/>
        <v>0</v>
      </c>
      <c r="F362" s="4297"/>
      <c r="G362" s="4298">
        <f t="shared" si="181"/>
        <v>0</v>
      </c>
      <c r="H362" s="4299">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4296">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3"/>
      <c r="AV362" s="1463">
        <f t="shared" si="207"/>
        <v>0</v>
      </c>
      <c r="AW362" s="1463">
        <f t="shared" si="208"/>
        <v>0</v>
      </c>
      <c r="AX362" s="1463">
        <f t="shared" si="209"/>
        <v>0</v>
      </c>
      <c r="AY362" s="4304">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305">
        <f t="shared" si="205"/>
        <v>0</v>
      </c>
    </row>
    <row r="363" spans="1:72">
      <c r="A363" s="4293"/>
      <c r="B363" s="4294"/>
      <c r="C363" s="4294"/>
      <c r="D363" s="4295"/>
      <c r="E363" s="4296">
        <f t="shared" si="206"/>
        <v>0</v>
      </c>
      <c r="F363" s="4297"/>
      <c r="G363" s="4298">
        <f t="shared" si="181"/>
        <v>0</v>
      </c>
      <c r="H363" s="4299">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4296">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3"/>
      <c r="AV363" s="1463">
        <f t="shared" si="207"/>
        <v>0</v>
      </c>
      <c r="AW363" s="1463">
        <f t="shared" si="208"/>
        <v>0</v>
      </c>
      <c r="AX363" s="1463">
        <f t="shared" si="209"/>
        <v>0</v>
      </c>
      <c r="AY363" s="4304">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305">
        <f t="shared" si="205"/>
        <v>0</v>
      </c>
    </row>
    <row r="364" spans="1:72">
      <c r="A364" s="4293"/>
      <c r="B364" s="4294"/>
      <c r="C364" s="4294"/>
      <c r="D364" s="4295"/>
      <c r="E364" s="4296">
        <f t="shared" si="206"/>
        <v>0</v>
      </c>
      <c r="F364" s="4297"/>
      <c r="G364" s="4298">
        <f t="shared" ref="G364:G397" si="210">H364+AC364+AT364</f>
        <v>0</v>
      </c>
      <c r="H364" s="4299">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4296">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3"/>
      <c r="AV364" s="1463">
        <f t="shared" si="207"/>
        <v>0</v>
      </c>
      <c r="AW364" s="1463">
        <f t="shared" si="208"/>
        <v>0</v>
      </c>
      <c r="AX364" s="1463">
        <f t="shared" si="209"/>
        <v>0</v>
      </c>
      <c r="AY364" s="4304">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305">
        <f t="shared" ref="BT364:BT397" si="234">IF($D364="是",AR364-AS364,0)</f>
        <v>0</v>
      </c>
    </row>
    <row r="365" spans="1:72">
      <c r="A365" s="4293"/>
      <c r="B365" s="4294"/>
      <c r="C365" s="4294"/>
      <c r="D365" s="4295"/>
      <c r="E365" s="4296">
        <f t="shared" si="206"/>
        <v>0</v>
      </c>
      <c r="F365" s="4297"/>
      <c r="G365" s="4298">
        <f t="shared" si="210"/>
        <v>0</v>
      </c>
      <c r="H365" s="4299">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4296">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3"/>
      <c r="AV365" s="1463">
        <f t="shared" si="207"/>
        <v>0</v>
      </c>
      <c r="AW365" s="1463">
        <f t="shared" si="208"/>
        <v>0</v>
      </c>
      <c r="AX365" s="1463">
        <f t="shared" si="209"/>
        <v>0</v>
      </c>
      <c r="AY365" s="4304">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305">
        <f t="shared" si="234"/>
        <v>0</v>
      </c>
    </row>
    <row r="366" spans="1:72">
      <c r="A366" s="4293"/>
      <c r="B366" s="4294"/>
      <c r="C366" s="4294"/>
      <c r="D366" s="4295"/>
      <c r="E366" s="4296">
        <f t="shared" si="206"/>
        <v>0</v>
      </c>
      <c r="F366" s="4297"/>
      <c r="G366" s="4298">
        <f t="shared" si="210"/>
        <v>0</v>
      </c>
      <c r="H366" s="4299">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4296">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3"/>
      <c r="AV366" s="1463">
        <f t="shared" si="207"/>
        <v>0</v>
      </c>
      <c r="AW366" s="1463">
        <f t="shared" si="208"/>
        <v>0</v>
      </c>
      <c r="AX366" s="1463">
        <f t="shared" si="209"/>
        <v>0</v>
      </c>
      <c r="AY366" s="4304">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305">
        <f t="shared" si="234"/>
        <v>0</v>
      </c>
    </row>
    <row r="367" spans="1:72">
      <c r="A367" s="4293"/>
      <c r="B367" s="4294"/>
      <c r="C367" s="4294"/>
      <c r="D367" s="4295"/>
      <c r="E367" s="4296">
        <f t="shared" ref="E367:E397" si="235">IF($C$3="是",ROUND($A$3*G367/$B$3,2),ROUND($A$3*(G367-AT367)/$B$3,2))</f>
        <v>0</v>
      </c>
      <c r="F367" s="4297"/>
      <c r="G367" s="4298">
        <f t="shared" si="210"/>
        <v>0</v>
      </c>
      <c r="H367" s="4299">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4296">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3"/>
      <c r="AV367" s="1463">
        <f t="shared" ref="AV367:AV397" si="236">A367</f>
        <v>0</v>
      </c>
      <c r="AW367" s="1463">
        <f t="shared" ref="AW367:AW397" si="237">B367</f>
        <v>0</v>
      </c>
      <c r="AX367" s="1463">
        <f t="shared" ref="AX367:AX397" si="238">C367</f>
        <v>0</v>
      </c>
      <c r="AY367" s="4304">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305">
        <f t="shared" si="234"/>
        <v>0</v>
      </c>
    </row>
    <row r="368" spans="1:72">
      <c r="A368" s="4293"/>
      <c r="B368" s="4294"/>
      <c r="C368" s="4294"/>
      <c r="D368" s="4295"/>
      <c r="E368" s="4296">
        <f t="shared" si="235"/>
        <v>0</v>
      </c>
      <c r="F368" s="4297"/>
      <c r="G368" s="4298">
        <f t="shared" si="210"/>
        <v>0</v>
      </c>
      <c r="H368" s="4299">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4296">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3"/>
      <c r="AV368" s="1463">
        <f t="shared" si="236"/>
        <v>0</v>
      </c>
      <c r="AW368" s="1463">
        <f t="shared" si="237"/>
        <v>0</v>
      </c>
      <c r="AX368" s="1463">
        <f t="shared" si="238"/>
        <v>0</v>
      </c>
      <c r="AY368" s="4304">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305">
        <f t="shared" si="234"/>
        <v>0</v>
      </c>
    </row>
    <row r="369" spans="1:72">
      <c r="A369" s="4293"/>
      <c r="B369" s="4294"/>
      <c r="C369" s="4294"/>
      <c r="D369" s="4295"/>
      <c r="E369" s="4296">
        <f t="shared" si="235"/>
        <v>0</v>
      </c>
      <c r="F369" s="4297"/>
      <c r="G369" s="4298">
        <f t="shared" si="210"/>
        <v>0</v>
      </c>
      <c r="H369" s="4299">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4296">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3"/>
      <c r="AV369" s="1463">
        <f t="shared" si="236"/>
        <v>0</v>
      </c>
      <c r="AW369" s="1463">
        <f t="shared" si="237"/>
        <v>0</v>
      </c>
      <c r="AX369" s="1463">
        <f t="shared" si="238"/>
        <v>0</v>
      </c>
      <c r="AY369" s="4304">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305">
        <f t="shared" si="234"/>
        <v>0</v>
      </c>
    </row>
    <row r="370" spans="1:72">
      <c r="A370" s="4293"/>
      <c r="B370" s="4294"/>
      <c r="C370" s="4294"/>
      <c r="D370" s="4295"/>
      <c r="E370" s="4296">
        <f t="shared" si="235"/>
        <v>0</v>
      </c>
      <c r="F370" s="4297"/>
      <c r="G370" s="4298">
        <f t="shared" si="210"/>
        <v>0</v>
      </c>
      <c r="H370" s="4299">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4296">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3"/>
      <c r="AV370" s="1463">
        <f t="shared" si="236"/>
        <v>0</v>
      </c>
      <c r="AW370" s="1463">
        <f t="shared" si="237"/>
        <v>0</v>
      </c>
      <c r="AX370" s="1463">
        <f t="shared" si="238"/>
        <v>0</v>
      </c>
      <c r="AY370" s="4304">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305">
        <f t="shared" si="234"/>
        <v>0</v>
      </c>
    </row>
    <row r="371" spans="1:72">
      <c r="A371" s="4293"/>
      <c r="B371" s="4294"/>
      <c r="C371" s="4294"/>
      <c r="D371" s="4295"/>
      <c r="E371" s="4296">
        <f t="shared" si="235"/>
        <v>0</v>
      </c>
      <c r="F371" s="4297"/>
      <c r="G371" s="4298">
        <f t="shared" si="210"/>
        <v>0</v>
      </c>
      <c r="H371" s="4299">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4296">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3"/>
      <c r="AV371" s="1463">
        <f t="shared" si="236"/>
        <v>0</v>
      </c>
      <c r="AW371" s="1463">
        <f t="shared" si="237"/>
        <v>0</v>
      </c>
      <c r="AX371" s="1463">
        <f t="shared" si="238"/>
        <v>0</v>
      </c>
      <c r="AY371" s="4304">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305">
        <f t="shared" si="234"/>
        <v>0</v>
      </c>
    </row>
    <row r="372" spans="1:72">
      <c r="A372" s="4293"/>
      <c r="B372" s="4294"/>
      <c r="C372" s="4294"/>
      <c r="D372" s="4295"/>
      <c r="E372" s="4296">
        <f t="shared" si="235"/>
        <v>0</v>
      </c>
      <c r="F372" s="4297"/>
      <c r="G372" s="4298">
        <f t="shared" si="210"/>
        <v>0</v>
      </c>
      <c r="H372" s="4299">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4296">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3"/>
      <c r="AV372" s="1463">
        <f t="shared" si="236"/>
        <v>0</v>
      </c>
      <c r="AW372" s="1463">
        <f t="shared" si="237"/>
        <v>0</v>
      </c>
      <c r="AX372" s="1463">
        <f t="shared" si="238"/>
        <v>0</v>
      </c>
      <c r="AY372" s="4304">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305">
        <f t="shared" si="234"/>
        <v>0</v>
      </c>
    </row>
    <row r="373" spans="1:72">
      <c r="A373" s="4293"/>
      <c r="B373" s="4294"/>
      <c r="C373" s="4294"/>
      <c r="D373" s="4295"/>
      <c r="E373" s="4296">
        <f t="shared" si="235"/>
        <v>0</v>
      </c>
      <c r="F373" s="4297"/>
      <c r="G373" s="4298">
        <f t="shared" si="210"/>
        <v>0</v>
      </c>
      <c r="H373" s="4299">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4296">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3"/>
      <c r="AV373" s="1463">
        <f t="shared" si="236"/>
        <v>0</v>
      </c>
      <c r="AW373" s="1463">
        <f t="shared" si="237"/>
        <v>0</v>
      </c>
      <c r="AX373" s="1463">
        <f t="shared" si="238"/>
        <v>0</v>
      </c>
      <c r="AY373" s="4304">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305">
        <f t="shared" si="234"/>
        <v>0</v>
      </c>
    </row>
    <row r="374" spans="1:72">
      <c r="A374" s="4293"/>
      <c r="B374" s="4294"/>
      <c r="C374" s="4294"/>
      <c r="D374" s="4295"/>
      <c r="E374" s="4296">
        <f t="shared" si="235"/>
        <v>0</v>
      </c>
      <c r="F374" s="4297"/>
      <c r="G374" s="4298">
        <f t="shared" si="210"/>
        <v>0</v>
      </c>
      <c r="H374" s="4299">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4296">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3"/>
      <c r="AV374" s="1463">
        <f t="shared" si="236"/>
        <v>0</v>
      </c>
      <c r="AW374" s="1463">
        <f t="shared" si="237"/>
        <v>0</v>
      </c>
      <c r="AX374" s="1463">
        <f t="shared" si="238"/>
        <v>0</v>
      </c>
      <c r="AY374" s="4304">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305">
        <f t="shared" si="234"/>
        <v>0</v>
      </c>
    </row>
    <row r="375" spans="1:72">
      <c r="A375" s="4293"/>
      <c r="B375" s="4294"/>
      <c r="C375" s="4294"/>
      <c r="D375" s="4295"/>
      <c r="E375" s="4296">
        <f t="shared" si="235"/>
        <v>0</v>
      </c>
      <c r="F375" s="4297"/>
      <c r="G375" s="4298">
        <f t="shared" si="210"/>
        <v>0</v>
      </c>
      <c r="H375" s="4299">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4296">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3"/>
      <c r="AV375" s="1463">
        <f t="shared" si="236"/>
        <v>0</v>
      </c>
      <c r="AW375" s="1463">
        <f t="shared" si="237"/>
        <v>0</v>
      </c>
      <c r="AX375" s="1463">
        <f t="shared" si="238"/>
        <v>0</v>
      </c>
      <c r="AY375" s="4304">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305">
        <f t="shared" si="234"/>
        <v>0</v>
      </c>
    </row>
    <row r="376" spans="1:72">
      <c r="A376" s="4293"/>
      <c r="B376" s="4294"/>
      <c r="C376" s="4294"/>
      <c r="D376" s="4295"/>
      <c r="E376" s="4296">
        <f t="shared" si="235"/>
        <v>0</v>
      </c>
      <c r="F376" s="4297"/>
      <c r="G376" s="4298">
        <f t="shared" si="210"/>
        <v>0</v>
      </c>
      <c r="H376" s="4299">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4296">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3"/>
      <c r="AV376" s="1463">
        <f t="shared" si="236"/>
        <v>0</v>
      </c>
      <c r="AW376" s="1463">
        <f t="shared" si="237"/>
        <v>0</v>
      </c>
      <c r="AX376" s="1463">
        <f t="shared" si="238"/>
        <v>0</v>
      </c>
      <c r="AY376" s="4304">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305">
        <f t="shared" si="234"/>
        <v>0</v>
      </c>
    </row>
    <row r="377" spans="1:72">
      <c r="A377" s="4293"/>
      <c r="B377" s="4294"/>
      <c r="C377" s="4294"/>
      <c r="D377" s="4295"/>
      <c r="E377" s="4296">
        <f t="shared" si="235"/>
        <v>0</v>
      </c>
      <c r="F377" s="4297"/>
      <c r="G377" s="4298">
        <f t="shared" si="210"/>
        <v>0</v>
      </c>
      <c r="H377" s="4299">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4296">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3"/>
      <c r="AV377" s="1463">
        <f t="shared" si="236"/>
        <v>0</v>
      </c>
      <c r="AW377" s="1463">
        <f t="shared" si="237"/>
        <v>0</v>
      </c>
      <c r="AX377" s="1463">
        <f t="shared" si="238"/>
        <v>0</v>
      </c>
      <c r="AY377" s="4304">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305">
        <f t="shared" si="234"/>
        <v>0</v>
      </c>
    </row>
    <row r="378" spans="1:72">
      <c r="A378" s="4293"/>
      <c r="B378" s="4294"/>
      <c r="C378" s="4294"/>
      <c r="D378" s="4295"/>
      <c r="E378" s="4296">
        <f t="shared" si="235"/>
        <v>0</v>
      </c>
      <c r="F378" s="4297"/>
      <c r="G378" s="4298">
        <f t="shared" si="210"/>
        <v>0</v>
      </c>
      <c r="H378" s="4299">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4296">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3"/>
      <c r="AV378" s="1463">
        <f t="shared" si="236"/>
        <v>0</v>
      </c>
      <c r="AW378" s="1463">
        <f t="shared" si="237"/>
        <v>0</v>
      </c>
      <c r="AX378" s="1463">
        <f t="shared" si="238"/>
        <v>0</v>
      </c>
      <c r="AY378" s="4304">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305">
        <f t="shared" si="234"/>
        <v>0</v>
      </c>
    </row>
    <row r="379" spans="1:72">
      <c r="A379" s="4293"/>
      <c r="B379" s="4294"/>
      <c r="C379" s="4294"/>
      <c r="D379" s="4295"/>
      <c r="E379" s="4296">
        <f t="shared" si="235"/>
        <v>0</v>
      </c>
      <c r="F379" s="4297"/>
      <c r="G379" s="4298">
        <f t="shared" si="210"/>
        <v>0</v>
      </c>
      <c r="H379" s="4299">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4296">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3"/>
      <c r="AV379" s="1463">
        <f t="shared" si="236"/>
        <v>0</v>
      </c>
      <c r="AW379" s="1463">
        <f t="shared" si="237"/>
        <v>0</v>
      </c>
      <c r="AX379" s="1463">
        <f t="shared" si="238"/>
        <v>0</v>
      </c>
      <c r="AY379" s="4304">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305">
        <f t="shared" si="234"/>
        <v>0</v>
      </c>
    </row>
    <row r="380" spans="1:72">
      <c r="A380" s="4293"/>
      <c r="B380" s="4294"/>
      <c r="C380" s="4294"/>
      <c r="D380" s="4295"/>
      <c r="E380" s="4296">
        <f t="shared" si="235"/>
        <v>0</v>
      </c>
      <c r="F380" s="4297"/>
      <c r="G380" s="4298">
        <f t="shared" si="210"/>
        <v>0</v>
      </c>
      <c r="H380" s="4299">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4296">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3"/>
      <c r="AV380" s="1463">
        <f t="shared" si="236"/>
        <v>0</v>
      </c>
      <c r="AW380" s="1463">
        <f t="shared" si="237"/>
        <v>0</v>
      </c>
      <c r="AX380" s="1463">
        <f t="shared" si="238"/>
        <v>0</v>
      </c>
      <c r="AY380" s="4304">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305">
        <f t="shared" si="234"/>
        <v>0</v>
      </c>
    </row>
    <row r="381" spans="1:72">
      <c r="A381" s="4293"/>
      <c r="B381" s="4294"/>
      <c r="C381" s="4294"/>
      <c r="D381" s="4295"/>
      <c r="E381" s="4296">
        <f t="shared" si="235"/>
        <v>0</v>
      </c>
      <c r="F381" s="4297"/>
      <c r="G381" s="4298">
        <f t="shared" si="210"/>
        <v>0</v>
      </c>
      <c r="H381" s="4299">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4296">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3"/>
      <c r="AV381" s="1463">
        <f t="shared" si="236"/>
        <v>0</v>
      </c>
      <c r="AW381" s="1463">
        <f t="shared" si="237"/>
        <v>0</v>
      </c>
      <c r="AX381" s="1463">
        <f t="shared" si="238"/>
        <v>0</v>
      </c>
      <c r="AY381" s="4304">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305">
        <f t="shared" si="234"/>
        <v>0</v>
      </c>
    </row>
    <row r="382" spans="1:72">
      <c r="A382" s="4293"/>
      <c r="B382" s="4294"/>
      <c r="C382" s="4294"/>
      <c r="D382" s="4295"/>
      <c r="E382" s="4296">
        <f t="shared" si="235"/>
        <v>0</v>
      </c>
      <c r="F382" s="4297"/>
      <c r="G382" s="4298">
        <f t="shared" si="210"/>
        <v>0</v>
      </c>
      <c r="H382" s="4299">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4296">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3"/>
      <c r="AV382" s="1463">
        <f t="shared" si="236"/>
        <v>0</v>
      </c>
      <c r="AW382" s="1463">
        <f t="shared" si="237"/>
        <v>0</v>
      </c>
      <c r="AX382" s="1463">
        <f t="shared" si="238"/>
        <v>0</v>
      </c>
      <c r="AY382" s="4304">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305">
        <f t="shared" si="234"/>
        <v>0</v>
      </c>
    </row>
    <row r="383" spans="1:72">
      <c r="A383" s="4293"/>
      <c r="B383" s="4294"/>
      <c r="C383" s="4294"/>
      <c r="D383" s="4295"/>
      <c r="E383" s="4296">
        <f t="shared" si="235"/>
        <v>0</v>
      </c>
      <c r="F383" s="4297"/>
      <c r="G383" s="4298">
        <f t="shared" si="210"/>
        <v>0</v>
      </c>
      <c r="H383" s="4299">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4296">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3"/>
      <c r="AV383" s="1463">
        <f t="shared" si="236"/>
        <v>0</v>
      </c>
      <c r="AW383" s="1463">
        <f t="shared" si="237"/>
        <v>0</v>
      </c>
      <c r="AX383" s="1463">
        <f t="shared" si="238"/>
        <v>0</v>
      </c>
      <c r="AY383" s="4304">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305">
        <f t="shared" si="234"/>
        <v>0</v>
      </c>
    </row>
    <row r="384" spans="1:72">
      <c r="A384" s="4293"/>
      <c r="B384" s="4294"/>
      <c r="C384" s="4294"/>
      <c r="D384" s="4295"/>
      <c r="E384" s="4296">
        <f t="shared" si="235"/>
        <v>0</v>
      </c>
      <c r="F384" s="4297"/>
      <c r="G384" s="4298">
        <f t="shared" si="210"/>
        <v>0</v>
      </c>
      <c r="H384" s="4299">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4296">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3"/>
      <c r="AV384" s="1463">
        <f t="shared" si="236"/>
        <v>0</v>
      </c>
      <c r="AW384" s="1463">
        <f t="shared" si="237"/>
        <v>0</v>
      </c>
      <c r="AX384" s="1463">
        <f t="shared" si="238"/>
        <v>0</v>
      </c>
      <c r="AY384" s="4304">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305">
        <f t="shared" si="234"/>
        <v>0</v>
      </c>
    </row>
    <row r="385" spans="1:72">
      <c r="A385" s="4293"/>
      <c r="B385" s="4294"/>
      <c r="C385" s="4294"/>
      <c r="D385" s="4295"/>
      <c r="E385" s="4296">
        <f t="shared" si="235"/>
        <v>0</v>
      </c>
      <c r="F385" s="4297"/>
      <c r="G385" s="4298">
        <f t="shared" si="210"/>
        <v>0</v>
      </c>
      <c r="H385" s="4299">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4296">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3"/>
      <c r="AV385" s="1463">
        <f t="shared" si="236"/>
        <v>0</v>
      </c>
      <c r="AW385" s="1463">
        <f t="shared" si="237"/>
        <v>0</v>
      </c>
      <c r="AX385" s="1463">
        <f t="shared" si="238"/>
        <v>0</v>
      </c>
      <c r="AY385" s="4304">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305">
        <f t="shared" si="234"/>
        <v>0</v>
      </c>
    </row>
    <row r="386" spans="1:72">
      <c r="A386" s="4293"/>
      <c r="B386" s="4294"/>
      <c r="C386" s="4294"/>
      <c r="D386" s="4295"/>
      <c r="E386" s="4296">
        <f t="shared" si="235"/>
        <v>0</v>
      </c>
      <c r="F386" s="4297"/>
      <c r="G386" s="4298">
        <f t="shared" si="210"/>
        <v>0</v>
      </c>
      <c r="H386" s="4299">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4296">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3"/>
      <c r="AV386" s="1463">
        <f t="shared" si="236"/>
        <v>0</v>
      </c>
      <c r="AW386" s="1463">
        <f t="shared" si="237"/>
        <v>0</v>
      </c>
      <c r="AX386" s="1463">
        <f t="shared" si="238"/>
        <v>0</v>
      </c>
      <c r="AY386" s="4304">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305">
        <f t="shared" si="234"/>
        <v>0</v>
      </c>
    </row>
    <row r="387" spans="1:72">
      <c r="A387" s="4293"/>
      <c r="B387" s="4294"/>
      <c r="C387" s="4294"/>
      <c r="D387" s="4295"/>
      <c r="E387" s="4296">
        <f t="shared" si="235"/>
        <v>0</v>
      </c>
      <c r="F387" s="4297"/>
      <c r="G387" s="4298">
        <f t="shared" si="210"/>
        <v>0</v>
      </c>
      <c r="H387" s="4299">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4296">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3"/>
      <c r="AV387" s="1463">
        <f t="shared" si="236"/>
        <v>0</v>
      </c>
      <c r="AW387" s="1463">
        <f t="shared" si="237"/>
        <v>0</v>
      </c>
      <c r="AX387" s="1463">
        <f t="shared" si="238"/>
        <v>0</v>
      </c>
      <c r="AY387" s="4304">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305">
        <f t="shared" si="234"/>
        <v>0</v>
      </c>
    </row>
    <row r="388" spans="1:72">
      <c r="A388" s="4293"/>
      <c r="B388" s="4294"/>
      <c r="C388" s="4294"/>
      <c r="D388" s="4295"/>
      <c r="E388" s="4296">
        <f t="shared" si="235"/>
        <v>0</v>
      </c>
      <c r="F388" s="4297"/>
      <c r="G388" s="4298">
        <f t="shared" si="210"/>
        <v>0</v>
      </c>
      <c r="H388" s="4299">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4296">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3"/>
      <c r="AV388" s="1463">
        <f t="shared" si="236"/>
        <v>0</v>
      </c>
      <c r="AW388" s="1463">
        <f t="shared" si="237"/>
        <v>0</v>
      </c>
      <c r="AX388" s="1463">
        <f t="shared" si="238"/>
        <v>0</v>
      </c>
      <c r="AY388" s="4304">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305">
        <f t="shared" si="234"/>
        <v>0</v>
      </c>
    </row>
    <row r="389" spans="1:72">
      <c r="A389" s="4293"/>
      <c r="B389" s="4294"/>
      <c r="C389" s="4294"/>
      <c r="D389" s="4295"/>
      <c r="E389" s="4296">
        <f t="shared" si="235"/>
        <v>0</v>
      </c>
      <c r="F389" s="4297"/>
      <c r="G389" s="4298">
        <f t="shared" si="210"/>
        <v>0</v>
      </c>
      <c r="H389" s="4299">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4296">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3"/>
      <c r="AV389" s="1463">
        <f t="shared" si="236"/>
        <v>0</v>
      </c>
      <c r="AW389" s="1463">
        <f t="shared" si="237"/>
        <v>0</v>
      </c>
      <c r="AX389" s="1463">
        <f t="shared" si="238"/>
        <v>0</v>
      </c>
      <c r="AY389" s="4304">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305">
        <f t="shared" si="234"/>
        <v>0</v>
      </c>
    </row>
    <row r="390" spans="1:72">
      <c r="A390" s="4293"/>
      <c r="B390" s="4294"/>
      <c r="C390" s="4294"/>
      <c r="D390" s="4295"/>
      <c r="E390" s="4296">
        <f t="shared" si="235"/>
        <v>0</v>
      </c>
      <c r="F390" s="4297"/>
      <c r="G390" s="4298">
        <f t="shared" si="210"/>
        <v>0</v>
      </c>
      <c r="H390" s="4299">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4296">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3"/>
      <c r="AV390" s="1463">
        <f t="shared" si="236"/>
        <v>0</v>
      </c>
      <c r="AW390" s="1463">
        <f t="shared" si="237"/>
        <v>0</v>
      </c>
      <c r="AX390" s="1463">
        <f t="shared" si="238"/>
        <v>0</v>
      </c>
      <c r="AY390" s="4304">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305">
        <f t="shared" si="234"/>
        <v>0</v>
      </c>
    </row>
    <row r="391" spans="1:72">
      <c r="A391" s="4293"/>
      <c r="B391" s="4294"/>
      <c r="C391" s="4294"/>
      <c r="D391" s="4295"/>
      <c r="E391" s="4296">
        <f t="shared" si="235"/>
        <v>0</v>
      </c>
      <c r="F391" s="4297"/>
      <c r="G391" s="4298">
        <f t="shared" si="210"/>
        <v>0</v>
      </c>
      <c r="H391" s="4299">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4296">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3"/>
      <c r="AV391" s="1463">
        <f t="shared" si="236"/>
        <v>0</v>
      </c>
      <c r="AW391" s="1463">
        <f t="shared" si="237"/>
        <v>0</v>
      </c>
      <c r="AX391" s="1463">
        <f t="shared" si="238"/>
        <v>0</v>
      </c>
      <c r="AY391" s="4304">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305">
        <f t="shared" si="234"/>
        <v>0</v>
      </c>
    </row>
    <row r="392" spans="1:72">
      <c r="A392" s="4293"/>
      <c r="B392" s="4294"/>
      <c r="C392" s="4294"/>
      <c r="D392" s="4295"/>
      <c r="E392" s="4296">
        <f t="shared" si="235"/>
        <v>0</v>
      </c>
      <c r="F392" s="4297"/>
      <c r="G392" s="4298">
        <f t="shared" si="210"/>
        <v>0</v>
      </c>
      <c r="H392" s="4299">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4296">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3"/>
      <c r="AV392" s="1463">
        <f t="shared" si="236"/>
        <v>0</v>
      </c>
      <c r="AW392" s="1463">
        <f t="shared" si="237"/>
        <v>0</v>
      </c>
      <c r="AX392" s="1463">
        <f t="shared" si="238"/>
        <v>0</v>
      </c>
      <c r="AY392" s="4304">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305">
        <f t="shared" si="234"/>
        <v>0</v>
      </c>
    </row>
    <row r="393" spans="1:72">
      <c r="A393" s="4293"/>
      <c r="B393" s="4294"/>
      <c r="C393" s="4294"/>
      <c r="D393" s="4295"/>
      <c r="E393" s="4296">
        <f t="shared" si="235"/>
        <v>0</v>
      </c>
      <c r="F393" s="4297"/>
      <c r="G393" s="4298">
        <f t="shared" si="210"/>
        <v>0</v>
      </c>
      <c r="H393" s="4299">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4296">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3"/>
      <c r="AV393" s="1463">
        <f t="shared" si="236"/>
        <v>0</v>
      </c>
      <c r="AW393" s="1463">
        <f t="shared" si="237"/>
        <v>0</v>
      </c>
      <c r="AX393" s="1463">
        <f t="shared" si="238"/>
        <v>0</v>
      </c>
      <c r="AY393" s="4304">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305">
        <f t="shared" si="234"/>
        <v>0</v>
      </c>
    </row>
    <row r="394" spans="1:72">
      <c r="A394" s="4293"/>
      <c r="B394" s="4294"/>
      <c r="C394" s="4294"/>
      <c r="D394" s="4295"/>
      <c r="E394" s="4296">
        <f t="shared" si="235"/>
        <v>0</v>
      </c>
      <c r="F394" s="4297"/>
      <c r="G394" s="4298">
        <f t="shared" si="210"/>
        <v>0</v>
      </c>
      <c r="H394" s="4299">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4296">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3"/>
      <c r="AV394" s="1463">
        <f t="shared" si="236"/>
        <v>0</v>
      </c>
      <c r="AW394" s="1463">
        <f t="shared" si="237"/>
        <v>0</v>
      </c>
      <c r="AX394" s="1463">
        <f t="shared" si="238"/>
        <v>0</v>
      </c>
      <c r="AY394" s="4304">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305">
        <f t="shared" si="234"/>
        <v>0</v>
      </c>
    </row>
    <row r="395" spans="1:72">
      <c r="A395" s="4293"/>
      <c r="B395" s="4293"/>
      <c r="C395" s="4293"/>
      <c r="D395" s="4295"/>
      <c r="E395" s="4296">
        <f t="shared" si="235"/>
        <v>0</v>
      </c>
      <c r="F395" s="1850"/>
      <c r="G395" s="4298">
        <f t="shared" si="210"/>
        <v>0</v>
      </c>
      <c r="H395" s="4299">
        <f t="shared" si="211"/>
        <v>0</v>
      </c>
      <c r="I395" s="4306"/>
      <c r="J395" s="4306"/>
      <c r="K395" s="4300"/>
      <c r="L395" s="4300"/>
      <c r="M395" s="4300"/>
      <c r="N395" s="4300"/>
      <c r="O395" s="4300"/>
      <c r="P395" s="4300"/>
      <c r="Q395" s="4300"/>
      <c r="R395" s="4300"/>
      <c r="S395" s="4300"/>
      <c r="T395" s="4300"/>
      <c r="U395" s="4300"/>
      <c r="V395" s="4300"/>
      <c r="W395" s="4300"/>
      <c r="X395" s="4300"/>
      <c r="Y395" s="4300"/>
      <c r="Z395" s="4300"/>
      <c r="AA395" s="4300"/>
      <c r="AB395" s="4300"/>
      <c r="AC395" s="4296">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7"/>
      <c r="AV395" s="1463">
        <f t="shared" si="236"/>
        <v>0</v>
      </c>
      <c r="AW395" s="1463">
        <f t="shared" si="237"/>
        <v>0</v>
      </c>
      <c r="AX395" s="1463">
        <f t="shared" si="238"/>
        <v>0</v>
      </c>
      <c r="AY395" s="4304">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305">
        <f t="shared" si="234"/>
        <v>0</v>
      </c>
    </row>
    <row r="396" spans="1:72">
      <c r="A396" s="4293"/>
      <c r="B396" s="4293"/>
      <c r="C396" s="4293"/>
      <c r="D396" s="4295"/>
      <c r="E396" s="4296">
        <f t="shared" si="235"/>
        <v>0</v>
      </c>
      <c r="F396" s="1850"/>
      <c r="G396" s="4298">
        <f t="shared" si="210"/>
        <v>0</v>
      </c>
      <c r="H396" s="4299">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4296">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7"/>
      <c r="AV396" s="1463">
        <f t="shared" si="236"/>
        <v>0</v>
      </c>
      <c r="AW396" s="1463">
        <f t="shared" si="237"/>
        <v>0</v>
      </c>
      <c r="AX396" s="1463">
        <f t="shared" si="238"/>
        <v>0</v>
      </c>
      <c r="AY396" s="4304">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305">
        <f t="shared" si="234"/>
        <v>0</v>
      </c>
    </row>
    <row r="397" spans="1:72">
      <c r="A397" s="4293"/>
      <c r="B397" s="4293"/>
      <c r="C397" s="4293"/>
      <c r="D397" s="4295"/>
      <c r="E397" s="4296">
        <f t="shared" si="235"/>
        <v>0</v>
      </c>
      <c r="F397" s="1850"/>
      <c r="G397" s="4298">
        <f t="shared" si="210"/>
        <v>0</v>
      </c>
      <c r="H397" s="4299">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4296">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7"/>
      <c r="AV397" s="1463">
        <f t="shared" si="236"/>
        <v>0</v>
      </c>
      <c r="AW397" s="1463">
        <f t="shared" si="237"/>
        <v>0</v>
      </c>
      <c r="AX397" s="1463">
        <f t="shared" si="238"/>
        <v>0</v>
      </c>
      <c r="AY397" s="4304">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305">
        <f t="shared" si="234"/>
        <v>0</v>
      </c>
    </row>
    <row r="398" spans="1:72">
      <c r="A398" s="4293"/>
      <c r="B398" s="4294"/>
      <c r="C398" s="4294"/>
      <c r="D398" s="4295"/>
      <c r="E398" s="4296">
        <f t="shared" ref="E398:E492" si="239">IF($C$3="是",ROUND($A$3*G398/$B$3,2),ROUND($A$3*(G398-AT398)/$B$3,2))</f>
        <v>0</v>
      </c>
      <c r="F398" s="4297"/>
      <c r="G398" s="4298">
        <f t="shared" ref="G398:G489" si="240">H398+AC398+AT398</f>
        <v>0</v>
      </c>
      <c r="H398" s="4299">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4296">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3"/>
      <c r="AV398" s="1463">
        <f t="shared" ref="AV398:AV492" si="243">A398</f>
        <v>0</v>
      </c>
      <c r="AW398" s="1463">
        <f t="shared" ref="AW398:AW492" si="244">B398</f>
        <v>0</v>
      </c>
      <c r="AX398" s="1463">
        <f t="shared" ref="AX398:AX492" si="245">C398</f>
        <v>0</v>
      </c>
      <c r="AY398" s="4304">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305">
        <f t="shared" ref="BT398:BT489" si="267">IF($D398="是",AR398-AS398,0)</f>
        <v>0</v>
      </c>
    </row>
    <row r="399" spans="1:72">
      <c r="A399" s="4293"/>
      <c r="B399" s="4294"/>
      <c r="C399" s="4294"/>
      <c r="D399" s="4295"/>
      <c r="E399" s="4296">
        <f t="shared" si="239"/>
        <v>0</v>
      </c>
      <c r="F399" s="4297"/>
      <c r="G399" s="4298">
        <f t="shared" si="240"/>
        <v>0</v>
      </c>
      <c r="H399" s="4299">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4296">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3"/>
      <c r="AV399" s="1463">
        <f t="shared" si="243"/>
        <v>0</v>
      </c>
      <c r="AW399" s="1463">
        <f t="shared" si="244"/>
        <v>0</v>
      </c>
      <c r="AX399" s="1463">
        <f t="shared" si="245"/>
        <v>0</v>
      </c>
      <c r="AY399" s="4304">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305">
        <f t="shared" si="267"/>
        <v>0</v>
      </c>
    </row>
    <row r="400" spans="1:72">
      <c r="A400" s="4293"/>
      <c r="B400" s="4294"/>
      <c r="C400" s="4294"/>
      <c r="D400" s="4295"/>
      <c r="E400" s="4296">
        <f t="shared" si="239"/>
        <v>0</v>
      </c>
      <c r="F400" s="4297"/>
      <c r="G400" s="4298">
        <f t="shared" si="240"/>
        <v>0</v>
      </c>
      <c r="H400" s="4299">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4296">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3"/>
      <c r="AV400" s="1463">
        <f t="shared" si="243"/>
        <v>0</v>
      </c>
      <c r="AW400" s="1463">
        <f t="shared" si="244"/>
        <v>0</v>
      </c>
      <c r="AX400" s="1463">
        <f t="shared" si="245"/>
        <v>0</v>
      </c>
      <c r="AY400" s="4304">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305">
        <f t="shared" si="267"/>
        <v>0</v>
      </c>
    </row>
    <row r="401" spans="1:72">
      <c r="A401" s="4293"/>
      <c r="B401" s="4294"/>
      <c r="C401" s="4294"/>
      <c r="D401" s="4295"/>
      <c r="E401" s="4296">
        <f t="shared" si="239"/>
        <v>0</v>
      </c>
      <c r="F401" s="4297"/>
      <c r="G401" s="4298">
        <f t="shared" si="240"/>
        <v>0</v>
      </c>
      <c r="H401" s="4299">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4296">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3"/>
      <c r="AV401" s="1463">
        <f t="shared" si="243"/>
        <v>0</v>
      </c>
      <c r="AW401" s="1463">
        <f t="shared" si="244"/>
        <v>0</v>
      </c>
      <c r="AX401" s="1463">
        <f t="shared" si="245"/>
        <v>0</v>
      </c>
      <c r="AY401" s="4304">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305">
        <f t="shared" si="267"/>
        <v>0</v>
      </c>
    </row>
    <row r="402" spans="1:72">
      <c r="A402" s="4293"/>
      <c r="B402" s="4294"/>
      <c r="C402" s="4294"/>
      <c r="D402" s="4295"/>
      <c r="E402" s="4296">
        <f t="shared" si="239"/>
        <v>0</v>
      </c>
      <c r="F402" s="4297"/>
      <c r="G402" s="4298">
        <f t="shared" si="240"/>
        <v>0</v>
      </c>
      <c r="H402" s="4299">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4296">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3"/>
      <c r="AV402" s="1463">
        <f t="shared" si="243"/>
        <v>0</v>
      </c>
      <c r="AW402" s="1463">
        <f t="shared" si="244"/>
        <v>0</v>
      </c>
      <c r="AX402" s="1463">
        <f t="shared" si="245"/>
        <v>0</v>
      </c>
      <c r="AY402" s="4304">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305">
        <f t="shared" si="267"/>
        <v>0</v>
      </c>
    </row>
    <row r="403" spans="1:72">
      <c r="A403" s="4293"/>
      <c r="B403" s="4294"/>
      <c r="C403" s="4294"/>
      <c r="D403" s="4295"/>
      <c r="E403" s="4296">
        <f t="shared" si="239"/>
        <v>0</v>
      </c>
      <c r="F403" s="4297"/>
      <c r="G403" s="4298">
        <f t="shared" si="240"/>
        <v>0</v>
      </c>
      <c r="H403" s="4299">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4296">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3"/>
      <c r="AV403" s="1463">
        <f t="shared" si="243"/>
        <v>0</v>
      </c>
      <c r="AW403" s="1463">
        <f t="shared" si="244"/>
        <v>0</v>
      </c>
      <c r="AX403" s="1463">
        <f t="shared" si="245"/>
        <v>0</v>
      </c>
      <c r="AY403" s="4304">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305">
        <f t="shared" si="267"/>
        <v>0</v>
      </c>
    </row>
    <row r="404" spans="1:72">
      <c r="A404" s="4293"/>
      <c r="B404" s="4294"/>
      <c r="C404" s="4294"/>
      <c r="D404" s="4295"/>
      <c r="E404" s="4296">
        <f t="shared" si="239"/>
        <v>0</v>
      </c>
      <c r="F404" s="4297"/>
      <c r="G404" s="4298">
        <f t="shared" si="240"/>
        <v>0</v>
      </c>
      <c r="H404" s="4299">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4296">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3"/>
      <c r="AV404" s="1463">
        <f t="shared" si="243"/>
        <v>0</v>
      </c>
      <c r="AW404" s="1463">
        <f t="shared" si="244"/>
        <v>0</v>
      </c>
      <c r="AX404" s="1463">
        <f t="shared" si="245"/>
        <v>0</v>
      </c>
      <c r="AY404" s="4304">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305">
        <f t="shared" si="267"/>
        <v>0</v>
      </c>
    </row>
    <row r="405" spans="1:72">
      <c r="A405" s="4293"/>
      <c r="B405" s="4294"/>
      <c r="C405" s="4294"/>
      <c r="D405" s="4295"/>
      <c r="E405" s="4296">
        <f t="shared" si="239"/>
        <v>0</v>
      </c>
      <c r="F405" s="4297"/>
      <c r="G405" s="4298">
        <f t="shared" si="240"/>
        <v>0</v>
      </c>
      <c r="H405" s="4299">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4296">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3"/>
      <c r="AV405" s="1463">
        <f t="shared" si="243"/>
        <v>0</v>
      </c>
      <c r="AW405" s="1463">
        <f t="shared" si="244"/>
        <v>0</v>
      </c>
      <c r="AX405" s="1463">
        <f t="shared" si="245"/>
        <v>0</v>
      </c>
      <c r="AY405" s="4304">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305">
        <f t="shared" si="267"/>
        <v>0</v>
      </c>
    </row>
    <row r="406" spans="1:72">
      <c r="A406" s="4293"/>
      <c r="B406" s="4294"/>
      <c r="C406" s="4294"/>
      <c r="D406" s="4295"/>
      <c r="E406" s="4296">
        <f t="shared" si="239"/>
        <v>0</v>
      </c>
      <c r="F406" s="4297"/>
      <c r="G406" s="4298">
        <f t="shared" si="240"/>
        <v>0</v>
      </c>
      <c r="H406" s="4299">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4296">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3"/>
      <c r="AV406" s="1463">
        <f t="shared" si="243"/>
        <v>0</v>
      </c>
      <c r="AW406" s="1463">
        <f t="shared" si="244"/>
        <v>0</v>
      </c>
      <c r="AX406" s="1463">
        <f t="shared" si="245"/>
        <v>0</v>
      </c>
      <c r="AY406" s="4304">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305">
        <f t="shared" si="267"/>
        <v>0</v>
      </c>
    </row>
    <row r="407" spans="1:72">
      <c r="A407" s="4293"/>
      <c r="B407" s="4294"/>
      <c r="C407" s="4294"/>
      <c r="D407" s="4295"/>
      <c r="E407" s="4296">
        <f t="shared" si="239"/>
        <v>0</v>
      </c>
      <c r="F407" s="4297"/>
      <c r="G407" s="4298">
        <f t="shared" si="240"/>
        <v>0</v>
      </c>
      <c r="H407" s="4299">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4296">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3"/>
      <c r="AV407" s="1463">
        <f t="shared" si="243"/>
        <v>0</v>
      </c>
      <c r="AW407" s="1463">
        <f t="shared" si="244"/>
        <v>0</v>
      </c>
      <c r="AX407" s="1463">
        <f t="shared" si="245"/>
        <v>0</v>
      </c>
      <c r="AY407" s="4304">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305">
        <f t="shared" si="267"/>
        <v>0</v>
      </c>
    </row>
    <row r="408" spans="1:72">
      <c r="A408" s="4293"/>
      <c r="B408" s="4294"/>
      <c r="C408" s="4294"/>
      <c r="D408" s="4295"/>
      <c r="E408" s="4296">
        <f t="shared" si="239"/>
        <v>0</v>
      </c>
      <c r="F408" s="4297"/>
      <c r="G408" s="4298">
        <f t="shared" si="240"/>
        <v>0</v>
      </c>
      <c r="H408" s="4299">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4296">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3"/>
      <c r="AV408" s="1463">
        <f t="shared" si="243"/>
        <v>0</v>
      </c>
      <c r="AW408" s="1463">
        <f t="shared" si="244"/>
        <v>0</v>
      </c>
      <c r="AX408" s="1463">
        <f t="shared" si="245"/>
        <v>0</v>
      </c>
      <c r="AY408" s="4304">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305">
        <f t="shared" si="267"/>
        <v>0</v>
      </c>
    </row>
    <row r="409" spans="1:72">
      <c r="A409" s="4293"/>
      <c r="B409" s="4294"/>
      <c r="C409" s="4294"/>
      <c r="D409" s="4295"/>
      <c r="E409" s="4296">
        <f t="shared" si="239"/>
        <v>0</v>
      </c>
      <c r="F409" s="4297"/>
      <c r="G409" s="4298">
        <f t="shared" si="240"/>
        <v>0</v>
      </c>
      <c r="H409" s="4299">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4296">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3"/>
      <c r="AV409" s="1463">
        <f t="shared" si="243"/>
        <v>0</v>
      </c>
      <c r="AW409" s="1463">
        <f t="shared" si="244"/>
        <v>0</v>
      </c>
      <c r="AX409" s="1463">
        <f t="shared" si="245"/>
        <v>0</v>
      </c>
      <c r="AY409" s="4304">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305">
        <f t="shared" si="267"/>
        <v>0</v>
      </c>
    </row>
    <row r="410" spans="1:72">
      <c r="A410" s="4293"/>
      <c r="B410" s="4294"/>
      <c r="C410" s="4294"/>
      <c r="D410" s="4295"/>
      <c r="E410" s="4296">
        <f t="shared" si="239"/>
        <v>0</v>
      </c>
      <c r="F410" s="4297"/>
      <c r="G410" s="4298">
        <f t="shared" si="240"/>
        <v>0</v>
      </c>
      <c r="H410" s="4299">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4296">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3"/>
      <c r="AV410" s="1463">
        <f t="shared" si="243"/>
        <v>0</v>
      </c>
      <c r="AW410" s="1463">
        <f t="shared" si="244"/>
        <v>0</v>
      </c>
      <c r="AX410" s="1463">
        <f t="shared" si="245"/>
        <v>0</v>
      </c>
      <c r="AY410" s="4304">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305">
        <f t="shared" si="267"/>
        <v>0</v>
      </c>
    </row>
    <row r="411" spans="1:72">
      <c r="A411" s="4293"/>
      <c r="B411" s="4294"/>
      <c r="C411" s="4294"/>
      <c r="D411" s="4295"/>
      <c r="E411" s="4296">
        <f t="shared" si="239"/>
        <v>0</v>
      </c>
      <c r="F411" s="4297"/>
      <c r="G411" s="4298">
        <f t="shared" si="240"/>
        <v>0</v>
      </c>
      <c r="H411" s="4299">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4296">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3"/>
      <c r="AV411" s="1463">
        <f t="shared" si="243"/>
        <v>0</v>
      </c>
      <c r="AW411" s="1463">
        <f t="shared" si="244"/>
        <v>0</v>
      </c>
      <c r="AX411" s="1463">
        <f t="shared" si="245"/>
        <v>0</v>
      </c>
      <c r="AY411" s="4304">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305">
        <f t="shared" si="267"/>
        <v>0</v>
      </c>
    </row>
    <row r="412" spans="1:72">
      <c r="A412" s="4293"/>
      <c r="B412" s="4294"/>
      <c r="C412" s="4294"/>
      <c r="D412" s="4295"/>
      <c r="E412" s="4296">
        <f t="shared" si="239"/>
        <v>0</v>
      </c>
      <c r="F412" s="4297"/>
      <c r="G412" s="4298">
        <f t="shared" si="240"/>
        <v>0</v>
      </c>
      <c r="H412" s="4299">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4296">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3"/>
      <c r="AV412" s="1463">
        <f t="shared" si="243"/>
        <v>0</v>
      </c>
      <c r="AW412" s="1463">
        <f t="shared" si="244"/>
        <v>0</v>
      </c>
      <c r="AX412" s="1463">
        <f t="shared" si="245"/>
        <v>0</v>
      </c>
      <c r="AY412" s="4304">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305">
        <f t="shared" si="267"/>
        <v>0</v>
      </c>
    </row>
    <row r="413" spans="1:72">
      <c r="A413" s="4293"/>
      <c r="B413" s="4294"/>
      <c r="C413" s="4294"/>
      <c r="D413" s="4295"/>
      <c r="E413" s="4296">
        <f t="shared" si="239"/>
        <v>0</v>
      </c>
      <c r="F413" s="4297"/>
      <c r="G413" s="4298">
        <f t="shared" si="240"/>
        <v>0</v>
      </c>
      <c r="H413" s="4299">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4296">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3"/>
      <c r="AV413" s="1463">
        <f t="shared" si="243"/>
        <v>0</v>
      </c>
      <c r="AW413" s="1463">
        <f t="shared" si="244"/>
        <v>0</v>
      </c>
      <c r="AX413" s="1463">
        <f t="shared" si="245"/>
        <v>0</v>
      </c>
      <c r="AY413" s="4304">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305">
        <f t="shared" si="267"/>
        <v>0</v>
      </c>
    </row>
    <row r="414" spans="1:72">
      <c r="A414" s="4293"/>
      <c r="B414" s="4294"/>
      <c r="C414" s="4294"/>
      <c r="D414" s="4295"/>
      <c r="E414" s="4296">
        <f t="shared" si="239"/>
        <v>0</v>
      </c>
      <c r="F414" s="4297"/>
      <c r="G414" s="4298">
        <f t="shared" si="240"/>
        <v>0</v>
      </c>
      <c r="H414" s="4299">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4296">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3"/>
      <c r="AV414" s="1463">
        <f t="shared" si="243"/>
        <v>0</v>
      </c>
      <c r="AW414" s="1463">
        <f t="shared" si="244"/>
        <v>0</v>
      </c>
      <c r="AX414" s="1463">
        <f t="shared" si="245"/>
        <v>0</v>
      </c>
      <c r="AY414" s="4304">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305">
        <f t="shared" si="267"/>
        <v>0</v>
      </c>
    </row>
    <row r="415" spans="1:72">
      <c r="A415" s="4293"/>
      <c r="B415" s="4294"/>
      <c r="C415" s="4294"/>
      <c r="D415" s="4295"/>
      <c r="E415" s="4296">
        <f t="shared" si="239"/>
        <v>0</v>
      </c>
      <c r="F415" s="4297"/>
      <c r="G415" s="4298">
        <f t="shared" si="240"/>
        <v>0</v>
      </c>
      <c r="H415" s="4299">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4296">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3"/>
      <c r="AV415" s="1463">
        <f t="shared" si="243"/>
        <v>0</v>
      </c>
      <c r="AW415" s="1463">
        <f t="shared" si="244"/>
        <v>0</v>
      </c>
      <c r="AX415" s="1463">
        <f t="shared" si="245"/>
        <v>0</v>
      </c>
      <c r="AY415" s="4304">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305">
        <f t="shared" si="267"/>
        <v>0</v>
      </c>
    </row>
    <row r="416" spans="1:72">
      <c r="A416" s="4293"/>
      <c r="B416" s="4294"/>
      <c r="C416" s="4294"/>
      <c r="D416" s="4295"/>
      <c r="E416" s="4296">
        <f t="shared" si="239"/>
        <v>0</v>
      </c>
      <c r="F416" s="4297"/>
      <c r="G416" s="4298">
        <f t="shared" si="240"/>
        <v>0</v>
      </c>
      <c r="H416" s="4299">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4296">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3"/>
      <c r="AV416" s="1463">
        <f t="shared" si="243"/>
        <v>0</v>
      </c>
      <c r="AW416" s="1463">
        <f t="shared" si="244"/>
        <v>0</v>
      </c>
      <c r="AX416" s="1463">
        <f t="shared" si="245"/>
        <v>0</v>
      </c>
      <c r="AY416" s="4304">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305">
        <f t="shared" si="267"/>
        <v>0</v>
      </c>
    </row>
    <row r="417" spans="1:72">
      <c r="A417" s="4293"/>
      <c r="B417" s="4294"/>
      <c r="C417" s="4294"/>
      <c r="D417" s="4295"/>
      <c r="E417" s="4296">
        <f t="shared" si="239"/>
        <v>0</v>
      </c>
      <c r="F417" s="4297"/>
      <c r="G417" s="4298">
        <f t="shared" si="240"/>
        <v>0</v>
      </c>
      <c r="H417" s="4299">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4296">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3"/>
      <c r="AV417" s="1463">
        <f t="shared" si="243"/>
        <v>0</v>
      </c>
      <c r="AW417" s="1463">
        <f t="shared" si="244"/>
        <v>0</v>
      </c>
      <c r="AX417" s="1463">
        <f t="shared" si="245"/>
        <v>0</v>
      </c>
      <c r="AY417" s="4304">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305">
        <f t="shared" si="267"/>
        <v>0</v>
      </c>
    </row>
    <row r="418" spans="1:72">
      <c r="A418" s="4293"/>
      <c r="B418" s="4294"/>
      <c r="C418" s="4294"/>
      <c r="D418" s="4295"/>
      <c r="E418" s="4296">
        <f t="shared" si="239"/>
        <v>0</v>
      </c>
      <c r="F418" s="4297"/>
      <c r="G418" s="4298">
        <f t="shared" si="240"/>
        <v>0</v>
      </c>
      <c r="H418" s="4299">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4296">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3"/>
      <c r="AV418" s="1463">
        <f t="shared" si="243"/>
        <v>0</v>
      </c>
      <c r="AW418" s="1463">
        <f t="shared" si="244"/>
        <v>0</v>
      </c>
      <c r="AX418" s="1463">
        <f t="shared" si="245"/>
        <v>0</v>
      </c>
      <c r="AY418" s="4304">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305">
        <f t="shared" si="267"/>
        <v>0</v>
      </c>
    </row>
    <row r="419" spans="1:72">
      <c r="A419" s="4293"/>
      <c r="B419" s="4294"/>
      <c r="C419" s="4294"/>
      <c r="D419" s="4295"/>
      <c r="E419" s="4296">
        <f t="shared" si="239"/>
        <v>0</v>
      </c>
      <c r="F419" s="4297"/>
      <c r="G419" s="4298">
        <f t="shared" si="240"/>
        <v>0</v>
      </c>
      <c r="H419" s="4299">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4296">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3"/>
      <c r="AV419" s="1463">
        <f t="shared" si="243"/>
        <v>0</v>
      </c>
      <c r="AW419" s="1463">
        <f t="shared" si="244"/>
        <v>0</v>
      </c>
      <c r="AX419" s="1463">
        <f t="shared" si="245"/>
        <v>0</v>
      </c>
      <c r="AY419" s="4304">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305">
        <f t="shared" si="267"/>
        <v>0</v>
      </c>
    </row>
    <row r="420" spans="1:72">
      <c r="A420" s="4293"/>
      <c r="B420" s="4294"/>
      <c r="C420" s="4294"/>
      <c r="D420" s="4295"/>
      <c r="E420" s="4296">
        <f t="shared" si="239"/>
        <v>0</v>
      </c>
      <c r="F420" s="4297"/>
      <c r="G420" s="4298">
        <f t="shared" si="240"/>
        <v>0</v>
      </c>
      <c r="H420" s="4299">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4296">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3"/>
      <c r="AV420" s="1463">
        <f t="shared" si="243"/>
        <v>0</v>
      </c>
      <c r="AW420" s="1463">
        <f t="shared" si="244"/>
        <v>0</v>
      </c>
      <c r="AX420" s="1463">
        <f t="shared" si="245"/>
        <v>0</v>
      </c>
      <c r="AY420" s="4304">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305">
        <f t="shared" si="267"/>
        <v>0</v>
      </c>
    </row>
    <row r="421" spans="1:72">
      <c r="A421" s="4293"/>
      <c r="B421" s="4294"/>
      <c r="C421" s="4294"/>
      <c r="D421" s="4295"/>
      <c r="E421" s="4296">
        <f t="shared" si="239"/>
        <v>0</v>
      </c>
      <c r="F421" s="4297"/>
      <c r="G421" s="4298">
        <f t="shared" si="240"/>
        <v>0</v>
      </c>
      <c r="H421" s="4299">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4296">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3"/>
      <c r="AV421" s="1463">
        <f t="shared" si="243"/>
        <v>0</v>
      </c>
      <c r="AW421" s="1463">
        <f t="shared" si="244"/>
        <v>0</v>
      </c>
      <c r="AX421" s="1463">
        <f t="shared" si="245"/>
        <v>0</v>
      </c>
      <c r="AY421" s="4304">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305">
        <f t="shared" si="267"/>
        <v>0</v>
      </c>
    </row>
    <row r="422" spans="1:72">
      <c r="A422" s="4293"/>
      <c r="B422" s="4294"/>
      <c r="C422" s="4294"/>
      <c r="D422" s="4295"/>
      <c r="E422" s="4296">
        <f t="shared" si="239"/>
        <v>0</v>
      </c>
      <c r="F422" s="4297"/>
      <c r="G422" s="4298">
        <f t="shared" si="240"/>
        <v>0</v>
      </c>
      <c r="H422" s="4299">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4296">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3"/>
      <c r="AV422" s="1463">
        <f t="shared" si="243"/>
        <v>0</v>
      </c>
      <c r="AW422" s="1463">
        <f t="shared" si="244"/>
        <v>0</v>
      </c>
      <c r="AX422" s="1463">
        <f t="shared" si="245"/>
        <v>0</v>
      </c>
      <c r="AY422" s="4304">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305">
        <f t="shared" si="267"/>
        <v>0</v>
      </c>
    </row>
    <row r="423" spans="1:72">
      <c r="A423" s="4293"/>
      <c r="B423" s="4294"/>
      <c r="C423" s="4294"/>
      <c r="D423" s="4295"/>
      <c r="E423" s="4296">
        <f t="shared" si="239"/>
        <v>0</v>
      </c>
      <c r="F423" s="4297"/>
      <c r="G423" s="4298">
        <f t="shared" si="240"/>
        <v>0</v>
      </c>
      <c r="H423" s="4299">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4296">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3"/>
      <c r="AV423" s="1463">
        <f t="shared" si="243"/>
        <v>0</v>
      </c>
      <c r="AW423" s="1463">
        <f t="shared" si="244"/>
        <v>0</v>
      </c>
      <c r="AX423" s="1463">
        <f t="shared" si="245"/>
        <v>0</v>
      </c>
      <c r="AY423" s="4304">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305">
        <f t="shared" si="267"/>
        <v>0</v>
      </c>
    </row>
    <row r="424" spans="1:72">
      <c r="A424" s="4293"/>
      <c r="B424" s="4294"/>
      <c r="C424" s="4294"/>
      <c r="D424" s="4295"/>
      <c r="E424" s="4296">
        <f t="shared" si="239"/>
        <v>0</v>
      </c>
      <c r="F424" s="4297"/>
      <c r="G424" s="4298">
        <f t="shared" si="240"/>
        <v>0</v>
      </c>
      <c r="H424" s="4299">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4296">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3"/>
      <c r="AV424" s="1463">
        <f t="shared" si="243"/>
        <v>0</v>
      </c>
      <c r="AW424" s="1463">
        <f t="shared" si="244"/>
        <v>0</v>
      </c>
      <c r="AX424" s="1463">
        <f t="shared" si="245"/>
        <v>0</v>
      </c>
      <c r="AY424" s="4304">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305">
        <f t="shared" si="267"/>
        <v>0</v>
      </c>
    </row>
    <row r="425" spans="1:72">
      <c r="A425" s="4293"/>
      <c r="B425" s="4294"/>
      <c r="C425" s="4294"/>
      <c r="D425" s="4295"/>
      <c r="E425" s="4296">
        <f t="shared" si="239"/>
        <v>0</v>
      </c>
      <c r="F425" s="4297"/>
      <c r="G425" s="4298">
        <f t="shared" si="240"/>
        <v>0</v>
      </c>
      <c r="H425" s="4299">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4296">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3"/>
      <c r="AV425" s="1463">
        <f t="shared" si="243"/>
        <v>0</v>
      </c>
      <c r="AW425" s="1463">
        <f t="shared" si="244"/>
        <v>0</v>
      </c>
      <c r="AX425" s="1463">
        <f t="shared" si="245"/>
        <v>0</v>
      </c>
      <c r="AY425" s="4304">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305">
        <f t="shared" si="267"/>
        <v>0</v>
      </c>
    </row>
    <row r="426" spans="1:72">
      <c r="A426" s="4293"/>
      <c r="B426" s="4294"/>
      <c r="C426" s="4294"/>
      <c r="D426" s="4295"/>
      <c r="E426" s="4296">
        <f t="shared" si="239"/>
        <v>0</v>
      </c>
      <c r="F426" s="4297"/>
      <c r="G426" s="4298">
        <f t="shared" si="240"/>
        <v>0</v>
      </c>
      <c r="H426" s="4299">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4296">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3"/>
      <c r="AV426" s="1463">
        <f t="shared" si="243"/>
        <v>0</v>
      </c>
      <c r="AW426" s="1463">
        <f t="shared" si="244"/>
        <v>0</v>
      </c>
      <c r="AX426" s="1463">
        <f t="shared" si="245"/>
        <v>0</v>
      </c>
      <c r="AY426" s="4304">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305">
        <f t="shared" si="267"/>
        <v>0</v>
      </c>
    </row>
    <row r="427" spans="1:72">
      <c r="A427" s="4293"/>
      <c r="B427" s="4294"/>
      <c r="C427" s="4294"/>
      <c r="D427" s="4295"/>
      <c r="E427" s="4296">
        <f t="shared" si="239"/>
        <v>0</v>
      </c>
      <c r="F427" s="4297"/>
      <c r="G427" s="4298">
        <f t="shared" si="240"/>
        <v>0</v>
      </c>
      <c r="H427" s="4299">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4296">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3"/>
      <c r="AV427" s="1463">
        <f t="shared" si="243"/>
        <v>0</v>
      </c>
      <c r="AW427" s="1463">
        <f t="shared" si="244"/>
        <v>0</v>
      </c>
      <c r="AX427" s="1463">
        <f t="shared" si="245"/>
        <v>0</v>
      </c>
      <c r="AY427" s="4304">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305">
        <f t="shared" si="267"/>
        <v>0</v>
      </c>
    </row>
    <row r="428" spans="1:72">
      <c r="A428" s="4293"/>
      <c r="B428" s="4294"/>
      <c r="C428" s="4294"/>
      <c r="D428" s="4295"/>
      <c r="E428" s="4296">
        <f t="shared" si="239"/>
        <v>0</v>
      </c>
      <c r="F428" s="4297"/>
      <c r="G428" s="4298">
        <f t="shared" si="240"/>
        <v>0</v>
      </c>
      <c r="H428" s="4299">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4296">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3"/>
      <c r="AV428" s="1463">
        <f t="shared" si="243"/>
        <v>0</v>
      </c>
      <c r="AW428" s="1463">
        <f t="shared" si="244"/>
        <v>0</v>
      </c>
      <c r="AX428" s="1463">
        <f t="shared" si="245"/>
        <v>0</v>
      </c>
      <c r="AY428" s="4304">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305">
        <f t="shared" si="267"/>
        <v>0</v>
      </c>
    </row>
    <row r="429" spans="1:72">
      <c r="A429" s="4293"/>
      <c r="B429" s="4294"/>
      <c r="C429" s="4294"/>
      <c r="D429" s="4295"/>
      <c r="E429" s="4296">
        <f t="shared" si="239"/>
        <v>0</v>
      </c>
      <c r="F429" s="4297"/>
      <c r="G429" s="4298">
        <f t="shared" si="240"/>
        <v>0</v>
      </c>
      <c r="H429" s="4299">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4296">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3"/>
      <c r="AV429" s="1463">
        <f t="shared" si="243"/>
        <v>0</v>
      </c>
      <c r="AW429" s="1463">
        <f t="shared" si="244"/>
        <v>0</v>
      </c>
      <c r="AX429" s="1463">
        <f t="shared" si="245"/>
        <v>0</v>
      </c>
      <c r="AY429" s="4304">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305">
        <f t="shared" si="267"/>
        <v>0</v>
      </c>
    </row>
    <row r="430" spans="1:72">
      <c r="A430" s="4293"/>
      <c r="B430" s="4294"/>
      <c r="C430" s="4294"/>
      <c r="D430" s="4295"/>
      <c r="E430" s="4296">
        <f t="shared" si="239"/>
        <v>0</v>
      </c>
      <c r="F430" s="4297"/>
      <c r="G430" s="4298">
        <f t="shared" si="240"/>
        <v>0</v>
      </c>
      <c r="H430" s="4299">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4296">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3"/>
      <c r="AV430" s="1463">
        <f t="shared" si="243"/>
        <v>0</v>
      </c>
      <c r="AW430" s="1463">
        <f t="shared" si="244"/>
        <v>0</v>
      </c>
      <c r="AX430" s="1463">
        <f t="shared" si="245"/>
        <v>0</v>
      </c>
      <c r="AY430" s="4304">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305">
        <f t="shared" si="267"/>
        <v>0</v>
      </c>
    </row>
    <row r="431" spans="1:72">
      <c r="A431" s="4293"/>
      <c r="B431" s="4294"/>
      <c r="C431" s="4294"/>
      <c r="D431" s="4295"/>
      <c r="E431" s="4296">
        <f t="shared" si="239"/>
        <v>0</v>
      </c>
      <c r="F431" s="4297"/>
      <c r="G431" s="4298">
        <f t="shared" si="240"/>
        <v>0</v>
      </c>
      <c r="H431" s="4299">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4296">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3"/>
      <c r="AV431" s="1463">
        <f t="shared" si="243"/>
        <v>0</v>
      </c>
      <c r="AW431" s="1463">
        <f t="shared" si="244"/>
        <v>0</v>
      </c>
      <c r="AX431" s="1463">
        <f t="shared" si="245"/>
        <v>0</v>
      </c>
      <c r="AY431" s="4304">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305">
        <f t="shared" si="267"/>
        <v>0</v>
      </c>
    </row>
    <row r="432" spans="1:72">
      <c r="A432" s="4293"/>
      <c r="B432" s="4294"/>
      <c r="C432" s="4294"/>
      <c r="D432" s="4295"/>
      <c r="E432" s="4296">
        <f t="shared" si="239"/>
        <v>0</v>
      </c>
      <c r="F432" s="4297"/>
      <c r="G432" s="4298">
        <f t="shared" si="240"/>
        <v>0</v>
      </c>
      <c r="H432" s="4299">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4296">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3"/>
      <c r="AV432" s="1463">
        <f t="shared" si="243"/>
        <v>0</v>
      </c>
      <c r="AW432" s="1463">
        <f t="shared" si="244"/>
        <v>0</v>
      </c>
      <c r="AX432" s="1463">
        <f t="shared" si="245"/>
        <v>0</v>
      </c>
      <c r="AY432" s="4304">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305">
        <f t="shared" si="267"/>
        <v>0</v>
      </c>
    </row>
    <row r="433" spans="1:72">
      <c r="A433" s="4293"/>
      <c r="B433" s="4294"/>
      <c r="C433" s="4294"/>
      <c r="D433" s="4295"/>
      <c r="E433" s="4296">
        <f t="shared" si="239"/>
        <v>0</v>
      </c>
      <c r="F433" s="4297"/>
      <c r="G433" s="4298">
        <f t="shared" si="240"/>
        <v>0</v>
      </c>
      <c r="H433" s="4299">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4296">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3"/>
      <c r="AV433" s="1463">
        <f t="shared" si="243"/>
        <v>0</v>
      </c>
      <c r="AW433" s="1463">
        <f t="shared" si="244"/>
        <v>0</v>
      </c>
      <c r="AX433" s="1463">
        <f t="shared" si="245"/>
        <v>0</v>
      </c>
      <c r="AY433" s="4304">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305">
        <f t="shared" si="267"/>
        <v>0</v>
      </c>
    </row>
    <row r="434" spans="1:72">
      <c r="A434" s="4293"/>
      <c r="B434" s="4294"/>
      <c r="C434" s="4294"/>
      <c r="D434" s="4295"/>
      <c r="E434" s="4296">
        <f t="shared" si="239"/>
        <v>0</v>
      </c>
      <c r="F434" s="4297"/>
      <c r="G434" s="4298">
        <f t="shared" si="240"/>
        <v>0</v>
      </c>
      <c r="H434" s="4299">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4296">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3"/>
      <c r="AV434" s="1463">
        <f t="shared" si="243"/>
        <v>0</v>
      </c>
      <c r="AW434" s="1463">
        <f t="shared" si="244"/>
        <v>0</v>
      </c>
      <c r="AX434" s="1463">
        <f t="shared" si="245"/>
        <v>0</v>
      </c>
      <c r="AY434" s="4304">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305">
        <f t="shared" si="267"/>
        <v>0</v>
      </c>
    </row>
    <row r="435" spans="1:72">
      <c r="A435" s="4293"/>
      <c r="B435" s="4294"/>
      <c r="C435" s="4294"/>
      <c r="D435" s="4295"/>
      <c r="E435" s="4296">
        <f t="shared" si="239"/>
        <v>0</v>
      </c>
      <c r="F435" s="4297"/>
      <c r="G435" s="4298">
        <f t="shared" si="240"/>
        <v>0</v>
      </c>
      <c r="H435" s="4299">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4296">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3"/>
      <c r="AV435" s="1463">
        <f t="shared" si="243"/>
        <v>0</v>
      </c>
      <c r="AW435" s="1463">
        <f t="shared" si="244"/>
        <v>0</v>
      </c>
      <c r="AX435" s="1463">
        <f t="shared" si="245"/>
        <v>0</v>
      </c>
      <c r="AY435" s="4304">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305">
        <f t="shared" si="267"/>
        <v>0</v>
      </c>
    </row>
    <row r="436" spans="1:72">
      <c r="A436" s="4293"/>
      <c r="B436" s="4294"/>
      <c r="C436" s="4294"/>
      <c r="D436" s="4295"/>
      <c r="E436" s="4296">
        <f t="shared" si="239"/>
        <v>0</v>
      </c>
      <c r="F436" s="4297"/>
      <c r="G436" s="4298">
        <f t="shared" si="240"/>
        <v>0</v>
      </c>
      <c r="H436" s="4299">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4296">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3"/>
      <c r="AV436" s="1463">
        <f t="shared" si="243"/>
        <v>0</v>
      </c>
      <c r="AW436" s="1463">
        <f t="shared" si="244"/>
        <v>0</v>
      </c>
      <c r="AX436" s="1463">
        <f t="shared" si="245"/>
        <v>0</v>
      </c>
      <c r="AY436" s="4304">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305">
        <f t="shared" si="267"/>
        <v>0</v>
      </c>
    </row>
    <row r="437" spans="1:72">
      <c r="A437" s="4293"/>
      <c r="B437" s="4294"/>
      <c r="C437" s="4294"/>
      <c r="D437" s="4295"/>
      <c r="E437" s="4296">
        <f t="shared" si="239"/>
        <v>0</v>
      </c>
      <c r="F437" s="4297"/>
      <c r="G437" s="4298">
        <f t="shared" si="240"/>
        <v>0</v>
      </c>
      <c r="H437" s="4299">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4296">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3"/>
      <c r="AV437" s="1463">
        <f t="shared" si="243"/>
        <v>0</v>
      </c>
      <c r="AW437" s="1463">
        <f t="shared" si="244"/>
        <v>0</v>
      </c>
      <c r="AX437" s="1463">
        <f t="shared" si="245"/>
        <v>0</v>
      </c>
      <c r="AY437" s="4304">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305">
        <f t="shared" si="267"/>
        <v>0</v>
      </c>
    </row>
    <row r="438" spans="1:72">
      <c r="A438" s="4293"/>
      <c r="B438" s="4294"/>
      <c r="C438" s="4294"/>
      <c r="D438" s="4295"/>
      <c r="E438" s="4296">
        <f t="shared" si="239"/>
        <v>0</v>
      </c>
      <c r="F438" s="4297"/>
      <c r="G438" s="4298">
        <f t="shared" si="240"/>
        <v>0</v>
      </c>
      <c r="H438" s="4299">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4296">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3"/>
      <c r="AV438" s="1463">
        <f t="shared" si="243"/>
        <v>0</v>
      </c>
      <c r="AW438" s="1463">
        <f t="shared" si="244"/>
        <v>0</v>
      </c>
      <c r="AX438" s="1463">
        <f t="shared" si="245"/>
        <v>0</v>
      </c>
      <c r="AY438" s="4304">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305">
        <f t="shared" si="267"/>
        <v>0</v>
      </c>
    </row>
    <row r="439" spans="1:72">
      <c r="A439" s="4293"/>
      <c r="B439" s="4294"/>
      <c r="C439" s="4294"/>
      <c r="D439" s="4295"/>
      <c r="E439" s="4296">
        <f t="shared" si="239"/>
        <v>0</v>
      </c>
      <c r="F439" s="4297"/>
      <c r="G439" s="4298">
        <f t="shared" si="240"/>
        <v>0</v>
      </c>
      <c r="H439" s="4299">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4296">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3"/>
      <c r="AV439" s="1463">
        <f t="shared" si="243"/>
        <v>0</v>
      </c>
      <c r="AW439" s="1463">
        <f t="shared" si="244"/>
        <v>0</v>
      </c>
      <c r="AX439" s="1463">
        <f t="shared" si="245"/>
        <v>0</v>
      </c>
      <c r="AY439" s="4304">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305">
        <f t="shared" si="267"/>
        <v>0</v>
      </c>
    </row>
    <row r="440" spans="1:72">
      <c r="A440" s="4293"/>
      <c r="B440" s="4294"/>
      <c r="C440" s="4294"/>
      <c r="D440" s="4295"/>
      <c r="E440" s="4296">
        <f t="shared" si="239"/>
        <v>0</v>
      </c>
      <c r="F440" s="4297"/>
      <c r="G440" s="4298">
        <f t="shared" si="240"/>
        <v>0</v>
      </c>
      <c r="H440" s="4299">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4296">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3"/>
      <c r="AV440" s="1463">
        <f t="shared" si="243"/>
        <v>0</v>
      </c>
      <c r="AW440" s="1463">
        <f t="shared" si="244"/>
        <v>0</v>
      </c>
      <c r="AX440" s="1463">
        <f t="shared" si="245"/>
        <v>0</v>
      </c>
      <c r="AY440" s="4304">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305">
        <f t="shared" si="267"/>
        <v>0</v>
      </c>
    </row>
    <row r="441" spans="1:72">
      <c r="A441" s="4293"/>
      <c r="B441" s="4294"/>
      <c r="C441" s="4294"/>
      <c r="D441" s="4295"/>
      <c r="E441" s="4296">
        <f t="shared" si="239"/>
        <v>0</v>
      </c>
      <c r="F441" s="4297"/>
      <c r="G441" s="4298">
        <f t="shared" si="240"/>
        <v>0</v>
      </c>
      <c r="H441" s="4299">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4296">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3"/>
      <c r="AV441" s="1463">
        <f t="shared" si="243"/>
        <v>0</v>
      </c>
      <c r="AW441" s="1463">
        <f t="shared" si="244"/>
        <v>0</v>
      </c>
      <c r="AX441" s="1463">
        <f t="shared" si="245"/>
        <v>0</v>
      </c>
      <c r="AY441" s="4304">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305">
        <f t="shared" si="267"/>
        <v>0</v>
      </c>
    </row>
    <row r="442" spans="1:72">
      <c r="A442" s="4293"/>
      <c r="B442" s="4294"/>
      <c r="C442" s="4294"/>
      <c r="D442" s="4295"/>
      <c r="E442" s="4296">
        <f t="shared" si="239"/>
        <v>0</v>
      </c>
      <c r="F442" s="4297"/>
      <c r="G442" s="4298">
        <f t="shared" si="240"/>
        <v>0</v>
      </c>
      <c r="H442" s="4299">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4296">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3"/>
      <c r="AV442" s="1463">
        <f t="shared" si="243"/>
        <v>0</v>
      </c>
      <c r="AW442" s="1463">
        <f t="shared" si="244"/>
        <v>0</v>
      </c>
      <c r="AX442" s="1463">
        <f t="shared" si="245"/>
        <v>0</v>
      </c>
      <c r="AY442" s="4304">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305">
        <f t="shared" si="267"/>
        <v>0</v>
      </c>
    </row>
    <row r="443" spans="1:72">
      <c r="A443" s="4293"/>
      <c r="B443" s="4294"/>
      <c r="C443" s="4294"/>
      <c r="D443" s="4295"/>
      <c r="E443" s="4296">
        <f t="shared" si="239"/>
        <v>0</v>
      </c>
      <c r="F443" s="4297"/>
      <c r="G443" s="4298">
        <f t="shared" si="240"/>
        <v>0</v>
      </c>
      <c r="H443" s="4299">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4296">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3"/>
      <c r="AV443" s="1463">
        <f t="shared" si="243"/>
        <v>0</v>
      </c>
      <c r="AW443" s="1463">
        <f t="shared" si="244"/>
        <v>0</v>
      </c>
      <c r="AX443" s="1463">
        <f t="shared" si="245"/>
        <v>0</v>
      </c>
      <c r="AY443" s="4304">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305">
        <f t="shared" si="267"/>
        <v>0</v>
      </c>
    </row>
    <row r="444" spans="1:72">
      <c r="A444" s="4293"/>
      <c r="B444" s="4294"/>
      <c r="C444" s="4294"/>
      <c r="D444" s="4295"/>
      <c r="E444" s="4296">
        <f t="shared" si="239"/>
        <v>0</v>
      </c>
      <c r="F444" s="4297"/>
      <c r="G444" s="4298">
        <f t="shared" si="240"/>
        <v>0</v>
      </c>
      <c r="H444" s="4299">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4296">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3"/>
      <c r="AV444" s="1463">
        <f t="shared" si="243"/>
        <v>0</v>
      </c>
      <c r="AW444" s="1463">
        <f t="shared" si="244"/>
        <v>0</v>
      </c>
      <c r="AX444" s="1463">
        <f t="shared" si="245"/>
        <v>0</v>
      </c>
      <c r="AY444" s="4304">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305">
        <f t="shared" si="267"/>
        <v>0</v>
      </c>
    </row>
    <row r="445" spans="1:72">
      <c r="A445" s="4293"/>
      <c r="B445" s="4294"/>
      <c r="C445" s="4294"/>
      <c r="D445" s="4295"/>
      <c r="E445" s="4296">
        <f t="shared" si="239"/>
        <v>0</v>
      </c>
      <c r="F445" s="4297"/>
      <c r="G445" s="4298">
        <f t="shared" si="240"/>
        <v>0</v>
      </c>
      <c r="H445" s="4299">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4296">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3"/>
      <c r="AV445" s="1463">
        <f t="shared" si="243"/>
        <v>0</v>
      </c>
      <c r="AW445" s="1463">
        <f t="shared" si="244"/>
        <v>0</v>
      </c>
      <c r="AX445" s="1463">
        <f t="shared" si="245"/>
        <v>0</v>
      </c>
      <c r="AY445" s="4304">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305">
        <f t="shared" si="267"/>
        <v>0</v>
      </c>
    </row>
    <row r="446" spans="1:72">
      <c r="A446" s="4293"/>
      <c r="B446" s="4294"/>
      <c r="C446" s="4294"/>
      <c r="D446" s="4295"/>
      <c r="E446" s="4296">
        <f t="shared" si="239"/>
        <v>0</v>
      </c>
      <c r="F446" s="4297"/>
      <c r="G446" s="4298">
        <f t="shared" si="240"/>
        <v>0</v>
      </c>
      <c r="H446" s="4299">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4296">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3"/>
      <c r="AV446" s="1463">
        <f t="shared" si="243"/>
        <v>0</v>
      </c>
      <c r="AW446" s="1463">
        <f t="shared" si="244"/>
        <v>0</v>
      </c>
      <c r="AX446" s="1463">
        <f t="shared" si="245"/>
        <v>0</v>
      </c>
      <c r="AY446" s="4304">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305">
        <f t="shared" si="267"/>
        <v>0</v>
      </c>
    </row>
    <row r="447" spans="1:72">
      <c r="A447" s="4293"/>
      <c r="B447" s="4294"/>
      <c r="C447" s="4294"/>
      <c r="D447" s="4295"/>
      <c r="E447" s="4296">
        <f t="shared" si="239"/>
        <v>0</v>
      </c>
      <c r="F447" s="4297"/>
      <c r="G447" s="4298">
        <f t="shared" si="240"/>
        <v>0</v>
      </c>
      <c r="H447" s="4299">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4296">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3"/>
      <c r="AV447" s="1463">
        <f t="shared" si="243"/>
        <v>0</v>
      </c>
      <c r="AW447" s="1463">
        <f t="shared" si="244"/>
        <v>0</v>
      </c>
      <c r="AX447" s="1463">
        <f t="shared" si="245"/>
        <v>0</v>
      </c>
      <c r="AY447" s="4304">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305">
        <f t="shared" si="267"/>
        <v>0</v>
      </c>
    </row>
    <row r="448" spans="1:72">
      <c r="A448" s="4293"/>
      <c r="B448" s="4294"/>
      <c r="C448" s="4294"/>
      <c r="D448" s="4295"/>
      <c r="E448" s="4296">
        <f t="shared" si="239"/>
        <v>0</v>
      </c>
      <c r="F448" s="4297"/>
      <c r="G448" s="4298">
        <f t="shared" si="240"/>
        <v>0</v>
      </c>
      <c r="H448" s="4299">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4296">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3"/>
      <c r="AV448" s="1463">
        <f t="shared" si="243"/>
        <v>0</v>
      </c>
      <c r="AW448" s="1463">
        <f t="shared" si="244"/>
        <v>0</v>
      </c>
      <c r="AX448" s="1463">
        <f t="shared" si="245"/>
        <v>0</v>
      </c>
      <c r="AY448" s="4304">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305">
        <f t="shared" si="267"/>
        <v>0</v>
      </c>
    </row>
    <row r="449" spans="1:72">
      <c r="A449" s="4293"/>
      <c r="B449" s="4294"/>
      <c r="C449" s="4294"/>
      <c r="D449" s="4295"/>
      <c r="E449" s="4296">
        <f t="shared" si="239"/>
        <v>0</v>
      </c>
      <c r="F449" s="4297"/>
      <c r="G449" s="4298">
        <f t="shared" si="240"/>
        <v>0</v>
      </c>
      <c r="H449" s="4299">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4296">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3"/>
      <c r="AV449" s="1463">
        <f t="shared" si="243"/>
        <v>0</v>
      </c>
      <c r="AW449" s="1463">
        <f t="shared" si="244"/>
        <v>0</v>
      </c>
      <c r="AX449" s="1463">
        <f t="shared" si="245"/>
        <v>0</v>
      </c>
      <c r="AY449" s="4304">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305">
        <f t="shared" si="267"/>
        <v>0</v>
      </c>
    </row>
    <row r="450" spans="1:72">
      <c r="A450" s="4293"/>
      <c r="B450" s="4294"/>
      <c r="C450" s="4294"/>
      <c r="D450" s="4295"/>
      <c r="E450" s="4296">
        <f t="shared" si="239"/>
        <v>0</v>
      </c>
      <c r="F450" s="4297"/>
      <c r="G450" s="4298">
        <f t="shared" si="240"/>
        <v>0</v>
      </c>
      <c r="H450" s="4299">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4296">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3"/>
      <c r="AV450" s="1463">
        <f t="shared" si="243"/>
        <v>0</v>
      </c>
      <c r="AW450" s="1463">
        <f t="shared" si="244"/>
        <v>0</v>
      </c>
      <c r="AX450" s="1463">
        <f t="shared" si="245"/>
        <v>0</v>
      </c>
      <c r="AY450" s="4304">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305">
        <f t="shared" si="267"/>
        <v>0</v>
      </c>
    </row>
    <row r="451" spans="1:72">
      <c r="A451" s="4293"/>
      <c r="B451" s="4294"/>
      <c r="C451" s="4294"/>
      <c r="D451" s="4295"/>
      <c r="E451" s="4296">
        <f t="shared" si="239"/>
        <v>0</v>
      </c>
      <c r="F451" s="4297"/>
      <c r="G451" s="4298">
        <f t="shared" si="240"/>
        <v>0</v>
      </c>
      <c r="H451" s="4299">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4296">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3"/>
      <c r="AV451" s="1463">
        <f t="shared" si="243"/>
        <v>0</v>
      </c>
      <c r="AW451" s="1463">
        <f t="shared" si="244"/>
        <v>0</v>
      </c>
      <c r="AX451" s="1463">
        <f t="shared" si="245"/>
        <v>0</v>
      </c>
      <c r="AY451" s="4304">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305">
        <f t="shared" si="267"/>
        <v>0</v>
      </c>
    </row>
    <row r="452" spans="1:72">
      <c r="A452" s="4293"/>
      <c r="B452" s="4294"/>
      <c r="C452" s="4294"/>
      <c r="D452" s="4295"/>
      <c r="E452" s="4296">
        <f t="shared" si="239"/>
        <v>0</v>
      </c>
      <c r="F452" s="4297"/>
      <c r="G452" s="4298">
        <f t="shared" si="240"/>
        <v>0</v>
      </c>
      <c r="H452" s="4299">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4296">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3"/>
      <c r="AV452" s="1463">
        <f t="shared" si="243"/>
        <v>0</v>
      </c>
      <c r="AW452" s="1463">
        <f t="shared" si="244"/>
        <v>0</v>
      </c>
      <c r="AX452" s="1463">
        <f t="shared" si="245"/>
        <v>0</v>
      </c>
      <c r="AY452" s="4304">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305">
        <f t="shared" si="267"/>
        <v>0</v>
      </c>
    </row>
    <row r="453" spans="1:72">
      <c r="A453" s="4293"/>
      <c r="B453" s="4294"/>
      <c r="C453" s="4294"/>
      <c r="D453" s="4295"/>
      <c r="E453" s="4296">
        <f t="shared" si="239"/>
        <v>0</v>
      </c>
      <c r="F453" s="4297"/>
      <c r="G453" s="4298">
        <f t="shared" si="240"/>
        <v>0</v>
      </c>
      <c r="H453" s="4299">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4296">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3"/>
      <c r="AV453" s="1463">
        <f t="shared" si="243"/>
        <v>0</v>
      </c>
      <c r="AW453" s="1463">
        <f t="shared" si="244"/>
        <v>0</v>
      </c>
      <c r="AX453" s="1463">
        <f t="shared" si="245"/>
        <v>0</v>
      </c>
      <c r="AY453" s="4304">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305">
        <f t="shared" si="267"/>
        <v>0</v>
      </c>
    </row>
    <row r="454" spans="1:72">
      <c r="A454" s="4293"/>
      <c r="B454" s="4294"/>
      <c r="C454" s="4294"/>
      <c r="D454" s="4295"/>
      <c r="E454" s="4296">
        <f t="shared" si="239"/>
        <v>0</v>
      </c>
      <c r="F454" s="4297"/>
      <c r="G454" s="4298">
        <f t="shared" si="240"/>
        <v>0</v>
      </c>
      <c r="H454" s="4299">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4296">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3"/>
      <c r="AV454" s="1463">
        <f t="shared" si="243"/>
        <v>0</v>
      </c>
      <c r="AW454" s="1463">
        <f t="shared" si="244"/>
        <v>0</v>
      </c>
      <c r="AX454" s="1463">
        <f t="shared" si="245"/>
        <v>0</v>
      </c>
      <c r="AY454" s="4304">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305">
        <f t="shared" si="267"/>
        <v>0</v>
      </c>
    </row>
    <row r="455" spans="1:72">
      <c r="A455" s="4293"/>
      <c r="B455" s="4294"/>
      <c r="C455" s="4294"/>
      <c r="D455" s="4295"/>
      <c r="E455" s="4296">
        <f t="shared" si="239"/>
        <v>0</v>
      </c>
      <c r="F455" s="4297"/>
      <c r="G455" s="4298">
        <f t="shared" si="240"/>
        <v>0</v>
      </c>
      <c r="H455" s="4299">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4296">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3"/>
      <c r="AV455" s="1463">
        <f t="shared" si="243"/>
        <v>0</v>
      </c>
      <c r="AW455" s="1463">
        <f t="shared" si="244"/>
        <v>0</v>
      </c>
      <c r="AX455" s="1463">
        <f t="shared" si="245"/>
        <v>0</v>
      </c>
      <c r="AY455" s="4304">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305">
        <f t="shared" si="267"/>
        <v>0</v>
      </c>
    </row>
    <row r="456" spans="1:72">
      <c r="A456" s="4293"/>
      <c r="B456" s="4294"/>
      <c r="C456" s="4294"/>
      <c r="D456" s="4295"/>
      <c r="E456" s="4296">
        <f t="shared" si="239"/>
        <v>0</v>
      </c>
      <c r="F456" s="4297"/>
      <c r="G456" s="4298">
        <f t="shared" si="240"/>
        <v>0</v>
      </c>
      <c r="H456" s="4299">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4296">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3"/>
      <c r="AV456" s="1463">
        <f t="shared" si="243"/>
        <v>0</v>
      </c>
      <c r="AW456" s="1463">
        <f t="shared" si="244"/>
        <v>0</v>
      </c>
      <c r="AX456" s="1463">
        <f t="shared" si="245"/>
        <v>0</v>
      </c>
      <c r="AY456" s="4304">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305">
        <f t="shared" si="267"/>
        <v>0</v>
      </c>
    </row>
    <row r="457" spans="1:72">
      <c r="A457" s="4293"/>
      <c r="B457" s="4294"/>
      <c r="C457" s="4294"/>
      <c r="D457" s="4295"/>
      <c r="E457" s="4296">
        <f t="shared" si="239"/>
        <v>0</v>
      </c>
      <c r="F457" s="4297"/>
      <c r="G457" s="4298">
        <f t="shared" si="240"/>
        <v>0</v>
      </c>
      <c r="H457" s="4299">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4296">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3"/>
      <c r="AV457" s="1463">
        <f t="shared" si="243"/>
        <v>0</v>
      </c>
      <c r="AW457" s="1463">
        <f t="shared" si="244"/>
        <v>0</v>
      </c>
      <c r="AX457" s="1463">
        <f t="shared" si="245"/>
        <v>0</v>
      </c>
      <c r="AY457" s="4304">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305">
        <f t="shared" si="267"/>
        <v>0</v>
      </c>
    </row>
    <row r="458" spans="1:72">
      <c r="A458" s="4293"/>
      <c r="B458" s="4294"/>
      <c r="C458" s="4294"/>
      <c r="D458" s="4295"/>
      <c r="E458" s="4296">
        <f t="shared" si="239"/>
        <v>0</v>
      </c>
      <c r="F458" s="4297"/>
      <c r="G458" s="4298">
        <f t="shared" si="240"/>
        <v>0</v>
      </c>
      <c r="H458" s="4299">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4296">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3"/>
      <c r="AV458" s="1463">
        <f t="shared" si="243"/>
        <v>0</v>
      </c>
      <c r="AW458" s="1463">
        <f t="shared" si="244"/>
        <v>0</v>
      </c>
      <c r="AX458" s="1463">
        <f t="shared" si="245"/>
        <v>0</v>
      </c>
      <c r="AY458" s="4304">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305">
        <f t="shared" si="267"/>
        <v>0</v>
      </c>
    </row>
    <row r="459" spans="1:72">
      <c r="A459" s="4293"/>
      <c r="B459" s="4294"/>
      <c r="C459" s="4294"/>
      <c r="D459" s="4295"/>
      <c r="E459" s="4296">
        <f t="shared" si="239"/>
        <v>0</v>
      </c>
      <c r="F459" s="4297"/>
      <c r="G459" s="4298">
        <f t="shared" si="240"/>
        <v>0</v>
      </c>
      <c r="H459" s="4299">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4296">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3"/>
      <c r="AV459" s="1463">
        <f t="shared" si="243"/>
        <v>0</v>
      </c>
      <c r="AW459" s="1463">
        <f t="shared" si="244"/>
        <v>0</v>
      </c>
      <c r="AX459" s="1463">
        <f t="shared" si="245"/>
        <v>0</v>
      </c>
      <c r="AY459" s="4304">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305">
        <f t="shared" si="267"/>
        <v>0</v>
      </c>
    </row>
    <row r="460" spans="1:72">
      <c r="A460" s="4293"/>
      <c r="B460" s="4294"/>
      <c r="C460" s="4294"/>
      <c r="D460" s="4295"/>
      <c r="E460" s="4296">
        <f t="shared" si="239"/>
        <v>0</v>
      </c>
      <c r="F460" s="4297"/>
      <c r="G460" s="4298">
        <f t="shared" si="240"/>
        <v>0</v>
      </c>
      <c r="H460" s="4299">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4296">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3"/>
      <c r="AV460" s="1463">
        <f t="shared" si="243"/>
        <v>0</v>
      </c>
      <c r="AW460" s="1463">
        <f t="shared" si="244"/>
        <v>0</v>
      </c>
      <c r="AX460" s="1463">
        <f t="shared" si="245"/>
        <v>0</v>
      </c>
      <c r="AY460" s="4304">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305">
        <f t="shared" si="267"/>
        <v>0</v>
      </c>
    </row>
    <row r="461" spans="1:72">
      <c r="A461" s="4293"/>
      <c r="B461" s="4294"/>
      <c r="C461" s="4294"/>
      <c r="D461" s="4295"/>
      <c r="E461" s="4296">
        <f t="shared" si="239"/>
        <v>0</v>
      </c>
      <c r="F461" s="4297"/>
      <c r="G461" s="4298">
        <f t="shared" si="240"/>
        <v>0</v>
      </c>
      <c r="H461" s="4299">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4296">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3"/>
      <c r="AV461" s="1463">
        <f t="shared" si="243"/>
        <v>0</v>
      </c>
      <c r="AW461" s="1463">
        <f t="shared" si="244"/>
        <v>0</v>
      </c>
      <c r="AX461" s="1463">
        <f t="shared" si="245"/>
        <v>0</v>
      </c>
      <c r="AY461" s="4304">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305">
        <f t="shared" si="267"/>
        <v>0</v>
      </c>
    </row>
    <row r="462" spans="1:72">
      <c r="A462" s="4293"/>
      <c r="B462" s="4294"/>
      <c r="C462" s="4294"/>
      <c r="D462" s="4295"/>
      <c r="E462" s="4296">
        <f t="shared" si="239"/>
        <v>0</v>
      </c>
      <c r="F462" s="4297"/>
      <c r="G462" s="4298">
        <f t="shared" si="240"/>
        <v>0</v>
      </c>
      <c r="H462" s="4299">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4296">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3"/>
      <c r="AV462" s="1463">
        <f t="shared" si="243"/>
        <v>0</v>
      </c>
      <c r="AW462" s="1463">
        <f t="shared" si="244"/>
        <v>0</v>
      </c>
      <c r="AX462" s="1463">
        <f t="shared" si="245"/>
        <v>0</v>
      </c>
      <c r="AY462" s="4304">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305">
        <f t="shared" si="267"/>
        <v>0</v>
      </c>
    </row>
    <row r="463" spans="1:72">
      <c r="A463" s="4293"/>
      <c r="B463" s="4294"/>
      <c r="C463" s="4294"/>
      <c r="D463" s="4295"/>
      <c r="E463" s="4296">
        <f t="shared" si="239"/>
        <v>0</v>
      </c>
      <c r="F463" s="4297"/>
      <c r="G463" s="4298">
        <f t="shared" si="240"/>
        <v>0</v>
      </c>
      <c r="H463" s="4299">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4296">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3"/>
      <c r="AV463" s="1463">
        <f t="shared" si="243"/>
        <v>0</v>
      </c>
      <c r="AW463" s="1463">
        <f t="shared" si="244"/>
        <v>0</v>
      </c>
      <c r="AX463" s="1463">
        <f t="shared" si="245"/>
        <v>0</v>
      </c>
      <c r="AY463" s="4304">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305">
        <f t="shared" si="267"/>
        <v>0</v>
      </c>
    </row>
    <row r="464" spans="1:72">
      <c r="A464" s="4293"/>
      <c r="B464" s="4294"/>
      <c r="C464" s="4294"/>
      <c r="D464" s="4295"/>
      <c r="E464" s="4296">
        <f t="shared" si="239"/>
        <v>0</v>
      </c>
      <c r="F464" s="4297"/>
      <c r="G464" s="4298">
        <f t="shared" si="240"/>
        <v>0</v>
      </c>
      <c r="H464" s="4299">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4296">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3"/>
      <c r="AV464" s="1463">
        <f t="shared" si="243"/>
        <v>0</v>
      </c>
      <c r="AW464" s="1463">
        <f t="shared" si="244"/>
        <v>0</v>
      </c>
      <c r="AX464" s="1463">
        <f t="shared" si="245"/>
        <v>0</v>
      </c>
      <c r="AY464" s="4304">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305">
        <f t="shared" si="267"/>
        <v>0</v>
      </c>
    </row>
    <row r="465" spans="1:72">
      <c r="A465" s="4293"/>
      <c r="B465" s="4294"/>
      <c r="C465" s="4294"/>
      <c r="D465" s="4295"/>
      <c r="E465" s="4296">
        <f t="shared" si="239"/>
        <v>0</v>
      </c>
      <c r="F465" s="4297"/>
      <c r="G465" s="4298">
        <f t="shared" si="240"/>
        <v>0</v>
      </c>
      <c r="H465" s="4299">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4296">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3"/>
      <c r="AV465" s="1463">
        <f t="shared" si="243"/>
        <v>0</v>
      </c>
      <c r="AW465" s="1463">
        <f t="shared" si="244"/>
        <v>0</v>
      </c>
      <c r="AX465" s="1463">
        <f t="shared" si="245"/>
        <v>0</v>
      </c>
      <c r="AY465" s="4304">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305">
        <f t="shared" si="267"/>
        <v>0</v>
      </c>
    </row>
    <row r="466" spans="1:72">
      <c r="A466" s="4293"/>
      <c r="B466" s="4294"/>
      <c r="C466" s="4294"/>
      <c r="D466" s="4295"/>
      <c r="E466" s="4296">
        <f t="shared" si="239"/>
        <v>0</v>
      </c>
      <c r="F466" s="4297"/>
      <c r="G466" s="4298">
        <f t="shared" si="240"/>
        <v>0</v>
      </c>
      <c r="H466" s="4299">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4296">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3"/>
      <c r="AV466" s="1463">
        <f t="shared" si="243"/>
        <v>0</v>
      </c>
      <c r="AW466" s="1463">
        <f t="shared" si="244"/>
        <v>0</v>
      </c>
      <c r="AX466" s="1463">
        <f t="shared" si="245"/>
        <v>0</v>
      </c>
      <c r="AY466" s="4304">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305">
        <f t="shared" si="267"/>
        <v>0</v>
      </c>
    </row>
    <row r="467" spans="1:72">
      <c r="A467" s="4293"/>
      <c r="B467" s="4294"/>
      <c r="C467" s="4294"/>
      <c r="D467" s="4295"/>
      <c r="E467" s="4296">
        <f t="shared" si="239"/>
        <v>0</v>
      </c>
      <c r="F467" s="4297"/>
      <c r="G467" s="4298">
        <f t="shared" si="240"/>
        <v>0</v>
      </c>
      <c r="H467" s="4299">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4296">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3"/>
      <c r="AV467" s="1463">
        <f t="shared" si="243"/>
        <v>0</v>
      </c>
      <c r="AW467" s="1463">
        <f t="shared" si="244"/>
        <v>0</v>
      </c>
      <c r="AX467" s="1463">
        <f t="shared" si="245"/>
        <v>0</v>
      </c>
      <c r="AY467" s="4304">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305">
        <f t="shared" si="267"/>
        <v>0</v>
      </c>
    </row>
    <row r="468" spans="1:72">
      <c r="A468" s="4293"/>
      <c r="B468" s="4294"/>
      <c r="C468" s="4294"/>
      <c r="D468" s="4295"/>
      <c r="E468" s="4296">
        <f t="shared" si="239"/>
        <v>0</v>
      </c>
      <c r="F468" s="4297"/>
      <c r="G468" s="4298">
        <f t="shared" si="240"/>
        <v>0</v>
      </c>
      <c r="H468" s="4299">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4296">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3"/>
      <c r="AV468" s="1463">
        <f t="shared" si="243"/>
        <v>0</v>
      </c>
      <c r="AW468" s="1463">
        <f t="shared" si="244"/>
        <v>0</v>
      </c>
      <c r="AX468" s="1463">
        <f t="shared" si="245"/>
        <v>0</v>
      </c>
      <c r="AY468" s="4304">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305">
        <f t="shared" si="267"/>
        <v>0</v>
      </c>
    </row>
    <row r="469" spans="1:72">
      <c r="A469" s="4293"/>
      <c r="B469" s="4294"/>
      <c r="C469" s="4294"/>
      <c r="D469" s="4295"/>
      <c r="E469" s="4296">
        <f t="shared" si="239"/>
        <v>0</v>
      </c>
      <c r="F469" s="4297"/>
      <c r="G469" s="4298">
        <f t="shared" si="240"/>
        <v>0</v>
      </c>
      <c r="H469" s="4299">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4296">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3"/>
      <c r="AV469" s="1463">
        <f t="shared" si="243"/>
        <v>0</v>
      </c>
      <c r="AW469" s="1463">
        <f t="shared" si="244"/>
        <v>0</v>
      </c>
      <c r="AX469" s="1463">
        <f t="shared" si="245"/>
        <v>0</v>
      </c>
      <c r="AY469" s="4304">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305">
        <f t="shared" si="267"/>
        <v>0</v>
      </c>
    </row>
    <row r="470" spans="1:72">
      <c r="A470" s="4293"/>
      <c r="B470" s="4294"/>
      <c r="C470" s="4294"/>
      <c r="D470" s="4295"/>
      <c r="E470" s="4296">
        <f t="shared" si="239"/>
        <v>0</v>
      </c>
      <c r="F470" s="4297"/>
      <c r="G470" s="4298">
        <f t="shared" si="240"/>
        <v>0</v>
      </c>
      <c r="H470" s="4299">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4296">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3"/>
      <c r="AV470" s="1463">
        <f t="shared" si="243"/>
        <v>0</v>
      </c>
      <c r="AW470" s="1463">
        <f t="shared" si="244"/>
        <v>0</v>
      </c>
      <c r="AX470" s="1463">
        <f t="shared" si="245"/>
        <v>0</v>
      </c>
      <c r="AY470" s="4304">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305">
        <f t="shared" si="267"/>
        <v>0</v>
      </c>
    </row>
    <row r="471" spans="1:72">
      <c r="A471" s="4293"/>
      <c r="B471" s="4294"/>
      <c r="C471" s="4294"/>
      <c r="D471" s="4295"/>
      <c r="E471" s="4296">
        <f t="shared" si="239"/>
        <v>0</v>
      </c>
      <c r="F471" s="4297"/>
      <c r="G471" s="4298">
        <f t="shared" si="240"/>
        <v>0</v>
      </c>
      <c r="H471" s="4299">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4296">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3"/>
      <c r="AV471" s="1463">
        <f t="shared" si="243"/>
        <v>0</v>
      </c>
      <c r="AW471" s="1463">
        <f t="shared" si="244"/>
        <v>0</v>
      </c>
      <c r="AX471" s="1463">
        <f t="shared" si="245"/>
        <v>0</v>
      </c>
      <c r="AY471" s="4304">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305">
        <f t="shared" si="267"/>
        <v>0</v>
      </c>
    </row>
    <row r="472" spans="1:72">
      <c r="A472" s="4293"/>
      <c r="B472" s="4294"/>
      <c r="C472" s="4294"/>
      <c r="D472" s="4295"/>
      <c r="E472" s="4296">
        <f t="shared" si="239"/>
        <v>0</v>
      </c>
      <c r="F472" s="4297"/>
      <c r="G472" s="4298">
        <f t="shared" si="240"/>
        <v>0</v>
      </c>
      <c r="H472" s="4299">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4296">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3"/>
      <c r="AV472" s="1463">
        <f t="shared" si="243"/>
        <v>0</v>
      </c>
      <c r="AW472" s="1463">
        <f t="shared" si="244"/>
        <v>0</v>
      </c>
      <c r="AX472" s="1463">
        <f t="shared" si="245"/>
        <v>0</v>
      </c>
      <c r="AY472" s="4304">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305">
        <f t="shared" si="267"/>
        <v>0</v>
      </c>
    </row>
    <row r="473" spans="1:72">
      <c r="A473" s="4293"/>
      <c r="B473" s="4294"/>
      <c r="C473" s="4294"/>
      <c r="D473" s="4295"/>
      <c r="E473" s="4296">
        <f t="shared" si="239"/>
        <v>0</v>
      </c>
      <c r="F473" s="4297"/>
      <c r="G473" s="4298">
        <f t="shared" si="240"/>
        <v>0</v>
      </c>
      <c r="H473" s="4299">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4296">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3"/>
      <c r="AV473" s="1463">
        <f t="shared" si="243"/>
        <v>0</v>
      </c>
      <c r="AW473" s="1463">
        <f t="shared" si="244"/>
        <v>0</v>
      </c>
      <c r="AX473" s="1463">
        <f t="shared" si="245"/>
        <v>0</v>
      </c>
      <c r="AY473" s="4304">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305">
        <f t="shared" si="267"/>
        <v>0</v>
      </c>
    </row>
    <row r="474" spans="1:72">
      <c r="A474" s="4293"/>
      <c r="B474" s="4294"/>
      <c r="C474" s="4294"/>
      <c r="D474" s="4295"/>
      <c r="E474" s="4296">
        <f t="shared" si="239"/>
        <v>0</v>
      </c>
      <c r="F474" s="4297"/>
      <c r="G474" s="4298">
        <f t="shared" si="240"/>
        <v>0</v>
      </c>
      <c r="H474" s="4299">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4296">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3"/>
      <c r="AV474" s="1463">
        <f t="shared" si="243"/>
        <v>0</v>
      </c>
      <c r="AW474" s="1463">
        <f t="shared" si="244"/>
        <v>0</v>
      </c>
      <c r="AX474" s="1463">
        <f t="shared" si="245"/>
        <v>0</v>
      </c>
      <c r="AY474" s="4304">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305">
        <f t="shared" si="267"/>
        <v>0</v>
      </c>
    </row>
    <row r="475" spans="1:72">
      <c r="A475" s="4293"/>
      <c r="B475" s="4294"/>
      <c r="C475" s="4294"/>
      <c r="D475" s="4295"/>
      <c r="E475" s="4296">
        <f t="shared" si="239"/>
        <v>0</v>
      </c>
      <c r="F475" s="4297"/>
      <c r="G475" s="4298">
        <f t="shared" si="240"/>
        <v>0</v>
      </c>
      <c r="H475" s="4299">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4296">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3"/>
      <c r="AV475" s="1463">
        <f t="shared" si="243"/>
        <v>0</v>
      </c>
      <c r="AW475" s="1463">
        <f t="shared" si="244"/>
        <v>0</v>
      </c>
      <c r="AX475" s="1463">
        <f t="shared" si="245"/>
        <v>0</v>
      </c>
      <c r="AY475" s="4304">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305">
        <f t="shared" si="267"/>
        <v>0</v>
      </c>
    </row>
    <row r="476" spans="1:72">
      <c r="A476" s="4293"/>
      <c r="B476" s="4294"/>
      <c r="C476" s="4294"/>
      <c r="D476" s="4295"/>
      <c r="E476" s="4296">
        <f t="shared" si="239"/>
        <v>0</v>
      </c>
      <c r="F476" s="4297"/>
      <c r="G476" s="4298">
        <f t="shared" si="240"/>
        <v>0</v>
      </c>
      <c r="H476" s="4299">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4296">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3"/>
      <c r="AV476" s="1463">
        <f t="shared" si="243"/>
        <v>0</v>
      </c>
      <c r="AW476" s="1463">
        <f t="shared" si="244"/>
        <v>0</v>
      </c>
      <c r="AX476" s="1463">
        <f t="shared" si="245"/>
        <v>0</v>
      </c>
      <c r="AY476" s="4304">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305">
        <f t="shared" si="267"/>
        <v>0</v>
      </c>
    </row>
    <row r="477" spans="1:72">
      <c r="A477" s="4293"/>
      <c r="B477" s="4294"/>
      <c r="C477" s="4294"/>
      <c r="D477" s="4295"/>
      <c r="E477" s="4296">
        <f t="shared" si="239"/>
        <v>0</v>
      </c>
      <c r="F477" s="4297"/>
      <c r="G477" s="4298">
        <f t="shared" si="240"/>
        <v>0</v>
      </c>
      <c r="H477" s="4299">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4296">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3"/>
      <c r="AV477" s="1463">
        <f t="shared" si="243"/>
        <v>0</v>
      </c>
      <c r="AW477" s="1463">
        <f t="shared" si="244"/>
        <v>0</v>
      </c>
      <c r="AX477" s="1463">
        <f t="shared" si="245"/>
        <v>0</v>
      </c>
      <c r="AY477" s="4304">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305">
        <f t="shared" si="267"/>
        <v>0</v>
      </c>
    </row>
    <row r="478" spans="1:72">
      <c r="A478" s="4293"/>
      <c r="B478" s="4294"/>
      <c r="C478" s="4294"/>
      <c r="D478" s="4295"/>
      <c r="E478" s="4296">
        <f t="shared" si="239"/>
        <v>0</v>
      </c>
      <c r="F478" s="4297"/>
      <c r="G478" s="4298">
        <f t="shared" si="240"/>
        <v>0</v>
      </c>
      <c r="H478" s="4299">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4296">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3"/>
      <c r="AV478" s="1463">
        <f t="shared" si="243"/>
        <v>0</v>
      </c>
      <c r="AW478" s="1463">
        <f t="shared" si="244"/>
        <v>0</v>
      </c>
      <c r="AX478" s="1463">
        <f t="shared" si="245"/>
        <v>0</v>
      </c>
      <c r="AY478" s="4304">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305">
        <f t="shared" si="267"/>
        <v>0</v>
      </c>
    </row>
    <row r="479" spans="1:72">
      <c r="A479" s="4293"/>
      <c r="B479" s="4294"/>
      <c r="C479" s="4294"/>
      <c r="D479" s="4295"/>
      <c r="E479" s="4296">
        <f t="shared" si="239"/>
        <v>0</v>
      </c>
      <c r="F479" s="4297"/>
      <c r="G479" s="4298">
        <f t="shared" si="240"/>
        <v>0</v>
      </c>
      <c r="H479" s="4299">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4296">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3"/>
      <c r="AV479" s="1463">
        <f t="shared" si="243"/>
        <v>0</v>
      </c>
      <c r="AW479" s="1463">
        <f t="shared" si="244"/>
        <v>0</v>
      </c>
      <c r="AX479" s="1463">
        <f t="shared" si="245"/>
        <v>0</v>
      </c>
      <c r="AY479" s="4304">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305">
        <f t="shared" si="267"/>
        <v>0</v>
      </c>
    </row>
    <row r="480" spans="1:72">
      <c r="A480" s="4293"/>
      <c r="B480" s="4294"/>
      <c r="C480" s="4294"/>
      <c r="D480" s="4295"/>
      <c r="E480" s="4296">
        <f t="shared" si="239"/>
        <v>0</v>
      </c>
      <c r="F480" s="4297"/>
      <c r="G480" s="4298">
        <f t="shared" si="240"/>
        <v>0</v>
      </c>
      <c r="H480" s="4299">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4296">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3"/>
      <c r="AV480" s="1463">
        <f t="shared" si="243"/>
        <v>0</v>
      </c>
      <c r="AW480" s="1463">
        <f t="shared" si="244"/>
        <v>0</v>
      </c>
      <c r="AX480" s="1463">
        <f t="shared" si="245"/>
        <v>0</v>
      </c>
      <c r="AY480" s="4304">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305">
        <f t="shared" si="267"/>
        <v>0</v>
      </c>
    </row>
    <row r="481" spans="1:72">
      <c r="A481" s="4293"/>
      <c r="B481" s="4294"/>
      <c r="C481" s="4294"/>
      <c r="D481" s="4295"/>
      <c r="E481" s="4296">
        <f t="shared" si="239"/>
        <v>0</v>
      </c>
      <c r="F481" s="4297"/>
      <c r="G481" s="4298">
        <f t="shared" si="240"/>
        <v>0</v>
      </c>
      <c r="H481" s="4299">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4296">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3"/>
      <c r="AV481" s="1463">
        <f t="shared" si="243"/>
        <v>0</v>
      </c>
      <c r="AW481" s="1463">
        <f t="shared" si="244"/>
        <v>0</v>
      </c>
      <c r="AX481" s="1463">
        <f t="shared" si="245"/>
        <v>0</v>
      </c>
      <c r="AY481" s="4304">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305">
        <f t="shared" si="267"/>
        <v>0</v>
      </c>
    </row>
    <row r="482" spans="1:72">
      <c r="A482" s="4293"/>
      <c r="B482" s="4294"/>
      <c r="C482" s="4294"/>
      <c r="D482" s="4295"/>
      <c r="E482" s="4296">
        <f t="shared" si="239"/>
        <v>0</v>
      </c>
      <c r="F482" s="4297"/>
      <c r="G482" s="4298">
        <f t="shared" si="240"/>
        <v>0</v>
      </c>
      <c r="H482" s="4299">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4296">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3"/>
      <c r="AV482" s="1463">
        <f t="shared" si="243"/>
        <v>0</v>
      </c>
      <c r="AW482" s="1463">
        <f t="shared" si="244"/>
        <v>0</v>
      </c>
      <c r="AX482" s="1463">
        <f t="shared" si="245"/>
        <v>0</v>
      </c>
      <c r="AY482" s="4304">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305">
        <f t="shared" si="267"/>
        <v>0</v>
      </c>
    </row>
    <row r="483" spans="1:72">
      <c r="A483" s="4293"/>
      <c r="B483" s="4294"/>
      <c r="C483" s="4294"/>
      <c r="D483" s="4295"/>
      <c r="E483" s="4296">
        <f t="shared" si="239"/>
        <v>0</v>
      </c>
      <c r="F483" s="4297"/>
      <c r="G483" s="4298">
        <f t="shared" si="240"/>
        <v>0</v>
      </c>
      <c r="H483" s="4299">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4296">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3"/>
      <c r="AV483" s="1463">
        <f t="shared" si="243"/>
        <v>0</v>
      </c>
      <c r="AW483" s="1463">
        <f t="shared" si="244"/>
        <v>0</v>
      </c>
      <c r="AX483" s="1463">
        <f t="shared" si="245"/>
        <v>0</v>
      </c>
      <c r="AY483" s="4304">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305">
        <f t="shared" si="267"/>
        <v>0</v>
      </c>
    </row>
    <row r="484" spans="1:72">
      <c r="A484" s="4293"/>
      <c r="B484" s="4294"/>
      <c r="C484" s="4294"/>
      <c r="D484" s="4295"/>
      <c r="E484" s="4296">
        <f t="shared" si="239"/>
        <v>0</v>
      </c>
      <c r="F484" s="4297"/>
      <c r="G484" s="4298">
        <f t="shared" si="240"/>
        <v>0</v>
      </c>
      <c r="H484" s="4299">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4296">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3"/>
      <c r="AV484" s="1463">
        <f t="shared" si="243"/>
        <v>0</v>
      </c>
      <c r="AW484" s="1463">
        <f t="shared" si="244"/>
        <v>0</v>
      </c>
      <c r="AX484" s="1463">
        <f t="shared" si="245"/>
        <v>0</v>
      </c>
      <c r="AY484" s="4304">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305">
        <f t="shared" si="267"/>
        <v>0</v>
      </c>
    </row>
    <row r="485" spans="1:72">
      <c r="A485" s="4293"/>
      <c r="B485" s="4294"/>
      <c r="C485" s="4294"/>
      <c r="D485" s="4295"/>
      <c r="E485" s="4296">
        <f t="shared" si="239"/>
        <v>0</v>
      </c>
      <c r="F485" s="4297"/>
      <c r="G485" s="4298">
        <f t="shared" si="240"/>
        <v>0</v>
      </c>
      <c r="H485" s="4299">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4296">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3"/>
      <c r="AV485" s="1463">
        <f t="shared" si="243"/>
        <v>0</v>
      </c>
      <c r="AW485" s="1463">
        <f t="shared" si="244"/>
        <v>0</v>
      </c>
      <c r="AX485" s="1463">
        <f t="shared" si="245"/>
        <v>0</v>
      </c>
      <c r="AY485" s="4304">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305">
        <f t="shared" si="267"/>
        <v>0</v>
      </c>
    </row>
    <row r="486" spans="1:72">
      <c r="A486" s="4293"/>
      <c r="B486" s="4294"/>
      <c r="C486" s="4294"/>
      <c r="D486" s="4295"/>
      <c r="E486" s="4296">
        <f t="shared" si="239"/>
        <v>0</v>
      </c>
      <c r="F486" s="4297"/>
      <c r="G486" s="4298">
        <f t="shared" si="240"/>
        <v>0</v>
      </c>
      <c r="H486" s="4299">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4296">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3"/>
      <c r="AV486" s="1463">
        <f t="shared" si="243"/>
        <v>0</v>
      </c>
      <c r="AW486" s="1463">
        <f t="shared" si="244"/>
        <v>0</v>
      </c>
      <c r="AX486" s="1463">
        <f t="shared" si="245"/>
        <v>0</v>
      </c>
      <c r="AY486" s="4304">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305">
        <f t="shared" si="267"/>
        <v>0</v>
      </c>
    </row>
    <row r="487" spans="1:72">
      <c r="A487" s="4293"/>
      <c r="B487" s="4294"/>
      <c r="C487" s="4294"/>
      <c r="D487" s="4295"/>
      <c r="E487" s="4296">
        <f t="shared" si="239"/>
        <v>0</v>
      </c>
      <c r="F487" s="4297"/>
      <c r="G487" s="4298">
        <f t="shared" si="240"/>
        <v>0</v>
      </c>
      <c r="H487" s="4299">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4296">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3"/>
      <c r="AV487" s="1463">
        <f t="shared" si="243"/>
        <v>0</v>
      </c>
      <c r="AW487" s="1463">
        <f t="shared" si="244"/>
        <v>0</v>
      </c>
      <c r="AX487" s="1463">
        <f t="shared" si="245"/>
        <v>0</v>
      </c>
      <c r="AY487" s="4304">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305">
        <f t="shared" si="267"/>
        <v>0</v>
      </c>
    </row>
    <row r="488" spans="1:72">
      <c r="A488" s="4293"/>
      <c r="B488" s="4294"/>
      <c r="C488" s="4294"/>
      <c r="D488" s="4295"/>
      <c r="E488" s="4296">
        <f t="shared" si="239"/>
        <v>0</v>
      </c>
      <c r="F488" s="4297"/>
      <c r="G488" s="4298">
        <f t="shared" si="240"/>
        <v>0</v>
      </c>
      <c r="H488" s="4299">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4296">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3"/>
      <c r="AV488" s="1463">
        <f t="shared" si="243"/>
        <v>0</v>
      </c>
      <c r="AW488" s="1463">
        <f t="shared" si="244"/>
        <v>0</v>
      </c>
      <c r="AX488" s="1463">
        <f t="shared" si="245"/>
        <v>0</v>
      </c>
      <c r="AY488" s="4304">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305">
        <f t="shared" si="267"/>
        <v>0</v>
      </c>
    </row>
    <row r="489" spans="1:72">
      <c r="A489" s="4293"/>
      <c r="B489" s="4294"/>
      <c r="C489" s="4294"/>
      <c r="D489" s="4295"/>
      <c r="E489" s="4296">
        <f t="shared" si="239"/>
        <v>0</v>
      </c>
      <c r="F489" s="4297"/>
      <c r="G489" s="4298">
        <f t="shared" si="240"/>
        <v>0</v>
      </c>
      <c r="H489" s="4299">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4296">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3"/>
      <c r="AV489" s="1463">
        <f t="shared" si="243"/>
        <v>0</v>
      </c>
      <c r="AW489" s="1463">
        <f t="shared" si="244"/>
        <v>0</v>
      </c>
      <c r="AX489" s="1463">
        <f t="shared" si="245"/>
        <v>0</v>
      </c>
      <c r="AY489" s="4304">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305">
        <f t="shared" si="267"/>
        <v>0</v>
      </c>
    </row>
    <row r="490" spans="1:72">
      <c r="A490" s="4293"/>
      <c r="B490" s="4293"/>
      <c r="C490" s="4293"/>
      <c r="D490" s="4295"/>
      <c r="E490" s="4296">
        <f t="shared" si="239"/>
        <v>0</v>
      </c>
      <c r="F490" s="1850"/>
      <c r="G490" s="4298">
        <f t="shared" ref="G490:G521" si="268">H490+AC490+AT490</f>
        <v>0</v>
      </c>
      <c r="H490" s="4299">
        <f t="shared" ref="H490:H521" si="269">SUMIF(I$12:AB$12,"总值",I490:AB490)</f>
        <v>0</v>
      </c>
      <c r="I490" s="4306"/>
      <c r="J490" s="4306"/>
      <c r="K490" s="4300"/>
      <c r="L490" s="4300"/>
      <c r="M490" s="4300"/>
      <c r="N490" s="4300"/>
      <c r="O490" s="4300"/>
      <c r="P490" s="4300"/>
      <c r="Q490" s="4300"/>
      <c r="R490" s="4300"/>
      <c r="S490" s="4300"/>
      <c r="T490" s="4300"/>
      <c r="U490" s="4300"/>
      <c r="V490" s="4300"/>
      <c r="W490" s="4300"/>
      <c r="X490" s="4300"/>
      <c r="Y490" s="4300"/>
      <c r="Z490" s="4300"/>
      <c r="AA490" s="4300"/>
      <c r="AB490" s="4300"/>
      <c r="AC490" s="4296">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7"/>
      <c r="AV490" s="1463">
        <f t="shared" si="243"/>
        <v>0</v>
      </c>
      <c r="AW490" s="1463">
        <f t="shared" si="244"/>
        <v>0</v>
      </c>
      <c r="AX490" s="1463">
        <f t="shared" si="245"/>
        <v>0</v>
      </c>
      <c r="AY490" s="4304">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305">
        <f t="shared" ref="BT490:BT521" si="292">IF($D490="是",AR490-AS490,0)</f>
        <v>0</v>
      </c>
    </row>
    <row r="491" spans="1:72">
      <c r="A491" s="4293"/>
      <c r="B491" s="4293"/>
      <c r="C491" s="4293"/>
      <c r="D491" s="4295"/>
      <c r="E491" s="4296">
        <f t="shared" si="239"/>
        <v>0</v>
      </c>
      <c r="F491" s="1850"/>
      <c r="G491" s="4298">
        <f t="shared" si="268"/>
        <v>0</v>
      </c>
      <c r="H491" s="4299">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4296">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7"/>
      <c r="AV491" s="1463">
        <f t="shared" si="243"/>
        <v>0</v>
      </c>
      <c r="AW491" s="1463">
        <f t="shared" si="244"/>
        <v>0</v>
      </c>
      <c r="AX491" s="1463">
        <f t="shared" si="245"/>
        <v>0</v>
      </c>
      <c r="AY491" s="4304">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305">
        <f t="shared" si="292"/>
        <v>0</v>
      </c>
    </row>
    <row r="492" spans="1:72">
      <c r="A492" s="4293"/>
      <c r="B492" s="4293"/>
      <c r="C492" s="4293"/>
      <c r="D492" s="4295"/>
      <c r="E492" s="4296">
        <f t="shared" si="239"/>
        <v>0</v>
      </c>
      <c r="F492" s="1850"/>
      <c r="G492" s="4298">
        <f t="shared" si="268"/>
        <v>0</v>
      </c>
      <c r="H492" s="4299">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4296">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7"/>
      <c r="AV492" s="1463">
        <f t="shared" si="243"/>
        <v>0</v>
      </c>
      <c r="AW492" s="1463">
        <f t="shared" si="244"/>
        <v>0</v>
      </c>
      <c r="AX492" s="1463">
        <f t="shared" si="245"/>
        <v>0</v>
      </c>
      <c r="AY492" s="4304">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305">
        <f t="shared" si="292"/>
        <v>0</v>
      </c>
    </row>
    <row r="493" spans="1:72">
      <c r="A493" s="4293"/>
      <c r="B493" s="4294"/>
      <c r="C493" s="4294"/>
      <c r="D493" s="4295"/>
      <c r="E493" s="4296">
        <f t="shared" ref="E493:E519" si="293">IF($C$3="是",ROUND($A$3*G493/$B$3,2),ROUND($A$3*(G493-AT493)/$B$3,2))</f>
        <v>0</v>
      </c>
      <c r="F493" s="4297"/>
      <c r="G493" s="4298">
        <f t="shared" si="268"/>
        <v>0</v>
      </c>
      <c r="H493" s="4299">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4296">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3"/>
      <c r="AV493" s="1463">
        <f t="shared" ref="AV493:AV520" si="294">A493</f>
        <v>0</v>
      </c>
      <c r="AW493" s="1463">
        <f t="shared" ref="AW493:AW520" si="295">B493</f>
        <v>0</v>
      </c>
      <c r="AX493" s="1463">
        <f t="shared" ref="AX493:AX520" si="296">C493</f>
        <v>0</v>
      </c>
      <c r="AY493" s="4304">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305">
        <f t="shared" si="292"/>
        <v>0</v>
      </c>
    </row>
    <row r="494" spans="1:72">
      <c r="A494" s="4293"/>
      <c r="B494" s="4294"/>
      <c r="C494" s="4294"/>
      <c r="D494" s="4295"/>
      <c r="E494" s="4296">
        <f t="shared" si="293"/>
        <v>0</v>
      </c>
      <c r="F494" s="4297"/>
      <c r="G494" s="4298">
        <f t="shared" si="268"/>
        <v>0</v>
      </c>
      <c r="H494" s="4299">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4296">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3"/>
      <c r="AV494" s="1463">
        <f t="shared" si="294"/>
        <v>0</v>
      </c>
      <c r="AW494" s="1463">
        <f t="shared" si="295"/>
        <v>0</v>
      </c>
      <c r="AX494" s="1463">
        <f t="shared" si="296"/>
        <v>0</v>
      </c>
      <c r="AY494" s="4304">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305">
        <f t="shared" si="292"/>
        <v>0</v>
      </c>
    </row>
    <row r="495" spans="1:72">
      <c r="A495" s="4293"/>
      <c r="B495" s="4294"/>
      <c r="C495" s="4294"/>
      <c r="D495" s="4295"/>
      <c r="E495" s="4296">
        <f t="shared" si="293"/>
        <v>0</v>
      </c>
      <c r="F495" s="4297"/>
      <c r="G495" s="4298">
        <f t="shared" si="268"/>
        <v>0</v>
      </c>
      <c r="H495" s="4299">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4296">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3"/>
      <c r="AV495" s="1463">
        <f t="shared" si="294"/>
        <v>0</v>
      </c>
      <c r="AW495" s="1463">
        <f t="shared" si="295"/>
        <v>0</v>
      </c>
      <c r="AX495" s="1463">
        <f t="shared" si="296"/>
        <v>0</v>
      </c>
      <c r="AY495" s="4304">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305">
        <f t="shared" si="292"/>
        <v>0</v>
      </c>
    </row>
    <row r="496" spans="1:72">
      <c r="A496" s="4293"/>
      <c r="B496" s="4294"/>
      <c r="C496" s="4294"/>
      <c r="D496" s="4295"/>
      <c r="E496" s="4296">
        <f t="shared" si="293"/>
        <v>0</v>
      </c>
      <c r="F496" s="4297"/>
      <c r="G496" s="4298">
        <f t="shared" si="268"/>
        <v>0</v>
      </c>
      <c r="H496" s="4299">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4296">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3"/>
      <c r="AV496" s="1463">
        <f t="shared" si="294"/>
        <v>0</v>
      </c>
      <c r="AW496" s="1463">
        <f t="shared" si="295"/>
        <v>0</v>
      </c>
      <c r="AX496" s="1463">
        <f t="shared" si="296"/>
        <v>0</v>
      </c>
      <c r="AY496" s="4304">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305">
        <f t="shared" si="292"/>
        <v>0</v>
      </c>
    </row>
    <row r="497" spans="1:72">
      <c r="A497" s="4293"/>
      <c r="B497" s="4294"/>
      <c r="C497" s="4294"/>
      <c r="D497" s="4295"/>
      <c r="E497" s="4296">
        <f t="shared" si="293"/>
        <v>0</v>
      </c>
      <c r="F497" s="4297"/>
      <c r="G497" s="4298">
        <f t="shared" si="268"/>
        <v>0</v>
      </c>
      <c r="H497" s="4299">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4296">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3"/>
      <c r="AV497" s="1463">
        <f t="shared" si="294"/>
        <v>0</v>
      </c>
      <c r="AW497" s="1463">
        <f t="shared" si="295"/>
        <v>0</v>
      </c>
      <c r="AX497" s="1463">
        <f t="shared" si="296"/>
        <v>0</v>
      </c>
      <c r="AY497" s="4304">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305">
        <f t="shared" si="292"/>
        <v>0</v>
      </c>
    </row>
    <row r="498" spans="1:72">
      <c r="A498" s="4293"/>
      <c r="B498" s="4294"/>
      <c r="C498" s="4294"/>
      <c r="D498" s="4295"/>
      <c r="E498" s="4296">
        <f t="shared" si="293"/>
        <v>0</v>
      </c>
      <c r="F498" s="4297"/>
      <c r="G498" s="4298">
        <f t="shared" si="268"/>
        <v>0</v>
      </c>
      <c r="H498" s="4299">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4296">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3"/>
      <c r="AV498" s="1463">
        <f t="shared" si="294"/>
        <v>0</v>
      </c>
      <c r="AW498" s="1463">
        <f t="shared" si="295"/>
        <v>0</v>
      </c>
      <c r="AX498" s="1463">
        <f t="shared" si="296"/>
        <v>0</v>
      </c>
      <c r="AY498" s="4304">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305">
        <f t="shared" si="292"/>
        <v>0</v>
      </c>
    </row>
    <row r="499" spans="1:72">
      <c r="A499" s="4293"/>
      <c r="B499" s="4294"/>
      <c r="C499" s="4294"/>
      <c r="D499" s="4295"/>
      <c r="E499" s="4296">
        <f t="shared" si="293"/>
        <v>0</v>
      </c>
      <c r="F499" s="4297"/>
      <c r="G499" s="4298">
        <f t="shared" si="268"/>
        <v>0</v>
      </c>
      <c r="H499" s="4299">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4296">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3"/>
      <c r="AV499" s="1463">
        <f t="shared" si="294"/>
        <v>0</v>
      </c>
      <c r="AW499" s="1463">
        <f t="shared" si="295"/>
        <v>0</v>
      </c>
      <c r="AX499" s="1463">
        <f t="shared" si="296"/>
        <v>0</v>
      </c>
      <c r="AY499" s="4304">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305">
        <f t="shared" si="292"/>
        <v>0</v>
      </c>
    </row>
    <row r="500" spans="1:72">
      <c r="A500" s="4293"/>
      <c r="B500" s="4294"/>
      <c r="C500" s="4294"/>
      <c r="D500" s="4295"/>
      <c r="E500" s="4296">
        <f t="shared" si="293"/>
        <v>0</v>
      </c>
      <c r="F500" s="4297"/>
      <c r="G500" s="4298">
        <f t="shared" si="268"/>
        <v>0</v>
      </c>
      <c r="H500" s="4299">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4296">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3"/>
      <c r="AV500" s="1463">
        <f t="shared" si="294"/>
        <v>0</v>
      </c>
      <c r="AW500" s="1463">
        <f t="shared" si="295"/>
        <v>0</v>
      </c>
      <c r="AX500" s="1463">
        <f t="shared" si="296"/>
        <v>0</v>
      </c>
      <c r="AY500" s="4304">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305">
        <f t="shared" si="292"/>
        <v>0</v>
      </c>
    </row>
    <row r="501" spans="1:72">
      <c r="A501" s="4293"/>
      <c r="B501" s="4294"/>
      <c r="C501" s="4294"/>
      <c r="D501" s="4295"/>
      <c r="E501" s="4296">
        <f t="shared" si="293"/>
        <v>0</v>
      </c>
      <c r="F501" s="4297"/>
      <c r="G501" s="4298">
        <f t="shared" si="268"/>
        <v>0</v>
      </c>
      <c r="H501" s="4299">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4296">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3"/>
      <c r="AV501" s="1463">
        <f t="shared" si="294"/>
        <v>0</v>
      </c>
      <c r="AW501" s="1463">
        <f t="shared" si="295"/>
        <v>0</v>
      </c>
      <c r="AX501" s="1463">
        <f t="shared" si="296"/>
        <v>0</v>
      </c>
      <c r="AY501" s="4304">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305">
        <f t="shared" si="292"/>
        <v>0</v>
      </c>
    </row>
    <row r="502" spans="1:72">
      <c r="A502" s="4293"/>
      <c r="B502" s="4294"/>
      <c r="C502" s="4294"/>
      <c r="D502" s="4295"/>
      <c r="E502" s="4296">
        <f t="shared" si="293"/>
        <v>0</v>
      </c>
      <c r="F502" s="4297"/>
      <c r="G502" s="4298">
        <f t="shared" si="268"/>
        <v>0</v>
      </c>
      <c r="H502" s="4299">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4296">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3"/>
      <c r="AV502" s="1463">
        <f t="shared" si="294"/>
        <v>0</v>
      </c>
      <c r="AW502" s="1463">
        <f t="shared" si="295"/>
        <v>0</v>
      </c>
      <c r="AX502" s="1463">
        <f t="shared" si="296"/>
        <v>0</v>
      </c>
      <c r="AY502" s="4304">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305">
        <f t="shared" si="292"/>
        <v>0</v>
      </c>
    </row>
    <row r="503" spans="1:72">
      <c r="A503" s="4293"/>
      <c r="B503" s="4294"/>
      <c r="C503" s="4294"/>
      <c r="D503" s="4295"/>
      <c r="E503" s="4296">
        <f t="shared" si="293"/>
        <v>0</v>
      </c>
      <c r="F503" s="4297"/>
      <c r="G503" s="4298">
        <f t="shared" si="268"/>
        <v>0</v>
      </c>
      <c r="H503" s="4299">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4296">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3"/>
      <c r="AV503" s="1463">
        <f t="shared" si="294"/>
        <v>0</v>
      </c>
      <c r="AW503" s="1463">
        <f t="shared" si="295"/>
        <v>0</v>
      </c>
      <c r="AX503" s="1463">
        <f t="shared" si="296"/>
        <v>0</v>
      </c>
      <c r="AY503" s="4304">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305">
        <f t="shared" si="292"/>
        <v>0</v>
      </c>
    </row>
    <row r="504" spans="1:72">
      <c r="A504" s="4293"/>
      <c r="B504" s="4294"/>
      <c r="C504" s="4294"/>
      <c r="D504" s="4295"/>
      <c r="E504" s="4296">
        <f t="shared" si="293"/>
        <v>0</v>
      </c>
      <c r="F504" s="4297"/>
      <c r="G504" s="4298">
        <f t="shared" si="268"/>
        <v>0</v>
      </c>
      <c r="H504" s="4299">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4296">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3"/>
      <c r="AV504" s="1463">
        <f t="shared" si="294"/>
        <v>0</v>
      </c>
      <c r="AW504" s="1463">
        <f t="shared" si="295"/>
        <v>0</v>
      </c>
      <c r="AX504" s="1463">
        <f t="shared" si="296"/>
        <v>0</v>
      </c>
      <c r="AY504" s="4304">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305">
        <f t="shared" si="292"/>
        <v>0</v>
      </c>
    </row>
    <row r="505" spans="1:72">
      <c r="A505" s="4293"/>
      <c r="B505" s="4294"/>
      <c r="C505" s="4294"/>
      <c r="D505" s="4295"/>
      <c r="E505" s="4296">
        <f t="shared" si="293"/>
        <v>0</v>
      </c>
      <c r="F505" s="4297"/>
      <c r="G505" s="4298">
        <f t="shared" si="268"/>
        <v>0</v>
      </c>
      <c r="H505" s="4299">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4296">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3"/>
      <c r="AV505" s="1463">
        <f t="shared" si="294"/>
        <v>0</v>
      </c>
      <c r="AW505" s="1463">
        <f t="shared" si="295"/>
        <v>0</v>
      </c>
      <c r="AX505" s="1463">
        <f t="shared" si="296"/>
        <v>0</v>
      </c>
      <c r="AY505" s="4304">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305">
        <f t="shared" si="292"/>
        <v>0</v>
      </c>
    </row>
    <row r="506" spans="1:72">
      <c r="A506" s="4293"/>
      <c r="B506" s="4294"/>
      <c r="C506" s="4294"/>
      <c r="D506" s="4295"/>
      <c r="E506" s="4296">
        <f t="shared" si="293"/>
        <v>0</v>
      </c>
      <c r="F506" s="4297"/>
      <c r="G506" s="4298">
        <f t="shared" si="268"/>
        <v>0</v>
      </c>
      <c r="H506" s="4299">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4296">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3"/>
      <c r="AV506" s="1463">
        <f t="shared" si="294"/>
        <v>0</v>
      </c>
      <c r="AW506" s="1463">
        <f t="shared" si="295"/>
        <v>0</v>
      </c>
      <c r="AX506" s="1463">
        <f t="shared" si="296"/>
        <v>0</v>
      </c>
      <c r="AY506" s="4304">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305">
        <f t="shared" si="292"/>
        <v>0</v>
      </c>
    </row>
    <row r="507" spans="1:72">
      <c r="A507" s="4293"/>
      <c r="B507" s="4294"/>
      <c r="C507" s="4294"/>
      <c r="D507" s="4295"/>
      <c r="E507" s="4296">
        <f t="shared" si="293"/>
        <v>0</v>
      </c>
      <c r="F507" s="4297"/>
      <c r="G507" s="4298">
        <f t="shared" si="268"/>
        <v>0</v>
      </c>
      <c r="H507" s="4299">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4296">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3"/>
      <c r="AV507" s="1463">
        <f t="shared" si="294"/>
        <v>0</v>
      </c>
      <c r="AW507" s="1463">
        <f t="shared" si="295"/>
        <v>0</v>
      </c>
      <c r="AX507" s="1463">
        <f t="shared" si="296"/>
        <v>0</v>
      </c>
      <c r="AY507" s="4304">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305">
        <f t="shared" si="292"/>
        <v>0</v>
      </c>
    </row>
    <row r="508" spans="1:72">
      <c r="A508" s="4293"/>
      <c r="B508" s="4294"/>
      <c r="C508" s="4294"/>
      <c r="D508" s="4295"/>
      <c r="E508" s="4296">
        <f t="shared" si="293"/>
        <v>0</v>
      </c>
      <c r="F508" s="4297"/>
      <c r="G508" s="4298">
        <f t="shared" si="268"/>
        <v>0</v>
      </c>
      <c r="H508" s="4299">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4296">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3"/>
      <c r="AV508" s="1463">
        <f t="shared" si="294"/>
        <v>0</v>
      </c>
      <c r="AW508" s="1463">
        <f t="shared" si="295"/>
        <v>0</v>
      </c>
      <c r="AX508" s="1463">
        <f t="shared" si="296"/>
        <v>0</v>
      </c>
      <c r="AY508" s="4304">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305">
        <f t="shared" si="292"/>
        <v>0</v>
      </c>
    </row>
    <row r="509" spans="1:72">
      <c r="A509" s="4293"/>
      <c r="B509" s="4294"/>
      <c r="C509" s="4294"/>
      <c r="D509" s="4295"/>
      <c r="E509" s="4296">
        <f t="shared" si="293"/>
        <v>0</v>
      </c>
      <c r="F509" s="4297"/>
      <c r="G509" s="4298">
        <f t="shared" si="268"/>
        <v>0</v>
      </c>
      <c r="H509" s="4299">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4296">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3"/>
      <c r="AV509" s="1463">
        <f t="shared" si="294"/>
        <v>0</v>
      </c>
      <c r="AW509" s="1463">
        <f t="shared" si="295"/>
        <v>0</v>
      </c>
      <c r="AX509" s="1463">
        <f t="shared" si="296"/>
        <v>0</v>
      </c>
      <c r="AY509" s="4304">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305">
        <f t="shared" si="292"/>
        <v>0</v>
      </c>
    </row>
    <row r="510" spans="1:72">
      <c r="A510" s="4293"/>
      <c r="B510" s="4294"/>
      <c r="C510" s="4294"/>
      <c r="D510" s="4295"/>
      <c r="E510" s="4296">
        <f t="shared" si="293"/>
        <v>0</v>
      </c>
      <c r="F510" s="4297"/>
      <c r="G510" s="4298">
        <f t="shared" si="268"/>
        <v>0</v>
      </c>
      <c r="H510" s="4299">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4296">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3"/>
      <c r="AV510" s="1463">
        <f t="shared" si="294"/>
        <v>0</v>
      </c>
      <c r="AW510" s="1463">
        <f t="shared" si="295"/>
        <v>0</v>
      </c>
      <c r="AX510" s="1463">
        <f t="shared" si="296"/>
        <v>0</v>
      </c>
      <c r="AY510" s="4304">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305">
        <f t="shared" si="292"/>
        <v>0</v>
      </c>
    </row>
    <row r="511" spans="1:72">
      <c r="A511" s="4293"/>
      <c r="B511" s="4294"/>
      <c r="C511" s="4294"/>
      <c r="D511" s="4295"/>
      <c r="E511" s="4296">
        <f t="shared" si="293"/>
        <v>0</v>
      </c>
      <c r="F511" s="4297"/>
      <c r="G511" s="4298">
        <f t="shared" si="268"/>
        <v>0</v>
      </c>
      <c r="H511" s="4299">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4296">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3"/>
      <c r="AV511" s="1463">
        <f t="shared" si="294"/>
        <v>0</v>
      </c>
      <c r="AW511" s="1463">
        <f t="shared" si="295"/>
        <v>0</v>
      </c>
      <c r="AX511" s="1463">
        <f t="shared" si="296"/>
        <v>0</v>
      </c>
      <c r="AY511" s="4304">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305">
        <f t="shared" si="292"/>
        <v>0</v>
      </c>
    </row>
    <row r="512" spans="1:72">
      <c r="A512" s="4293"/>
      <c r="B512" s="4294"/>
      <c r="C512" s="4294"/>
      <c r="D512" s="4295"/>
      <c r="E512" s="4296">
        <f t="shared" si="293"/>
        <v>0</v>
      </c>
      <c r="F512" s="4297"/>
      <c r="G512" s="4298">
        <f t="shared" si="268"/>
        <v>0</v>
      </c>
      <c r="H512" s="4299">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4296">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3"/>
      <c r="AV512" s="1463">
        <f t="shared" si="294"/>
        <v>0</v>
      </c>
      <c r="AW512" s="1463">
        <f t="shared" si="295"/>
        <v>0</v>
      </c>
      <c r="AX512" s="1463">
        <f t="shared" si="296"/>
        <v>0</v>
      </c>
      <c r="AY512" s="4304">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305">
        <f t="shared" si="292"/>
        <v>0</v>
      </c>
    </row>
    <row r="513" spans="1:72">
      <c r="A513" s="4293"/>
      <c r="B513" s="4294"/>
      <c r="C513" s="4294"/>
      <c r="D513" s="4295"/>
      <c r="E513" s="4296">
        <f t="shared" si="293"/>
        <v>0</v>
      </c>
      <c r="F513" s="4297"/>
      <c r="G513" s="4298">
        <f t="shared" si="268"/>
        <v>0</v>
      </c>
      <c r="H513" s="4299">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4296">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3"/>
      <c r="AV513" s="1463">
        <f t="shared" si="294"/>
        <v>0</v>
      </c>
      <c r="AW513" s="1463">
        <f t="shared" si="295"/>
        <v>0</v>
      </c>
      <c r="AX513" s="1463">
        <f t="shared" si="296"/>
        <v>0</v>
      </c>
      <c r="AY513" s="4304">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305">
        <f t="shared" si="292"/>
        <v>0</v>
      </c>
    </row>
    <row r="514" spans="1:72">
      <c r="A514" s="4293"/>
      <c r="B514" s="4294"/>
      <c r="C514" s="4294"/>
      <c r="D514" s="4295"/>
      <c r="E514" s="4296">
        <f t="shared" si="293"/>
        <v>0</v>
      </c>
      <c r="F514" s="4297"/>
      <c r="G514" s="4298">
        <f t="shared" si="268"/>
        <v>0</v>
      </c>
      <c r="H514" s="4299">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4296">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3"/>
      <c r="AV514" s="1463">
        <f t="shared" si="294"/>
        <v>0</v>
      </c>
      <c r="AW514" s="1463">
        <f t="shared" si="295"/>
        <v>0</v>
      </c>
      <c r="AX514" s="1463">
        <f t="shared" si="296"/>
        <v>0</v>
      </c>
      <c r="AY514" s="4304">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305">
        <f t="shared" si="292"/>
        <v>0</v>
      </c>
    </row>
    <row r="515" spans="1:72">
      <c r="A515" s="4293"/>
      <c r="B515" s="4294"/>
      <c r="C515" s="4294"/>
      <c r="D515" s="4295"/>
      <c r="E515" s="4296">
        <f t="shared" si="293"/>
        <v>0</v>
      </c>
      <c r="F515" s="4297"/>
      <c r="G515" s="4298">
        <f t="shared" si="268"/>
        <v>0</v>
      </c>
      <c r="H515" s="4299">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4296">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3"/>
      <c r="AV515" s="1463">
        <f t="shared" si="294"/>
        <v>0</v>
      </c>
      <c r="AW515" s="1463">
        <f t="shared" si="295"/>
        <v>0</v>
      </c>
      <c r="AX515" s="1463">
        <f t="shared" si="296"/>
        <v>0</v>
      </c>
      <c r="AY515" s="4304">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305">
        <f t="shared" si="292"/>
        <v>0</v>
      </c>
    </row>
    <row r="516" spans="1:72">
      <c r="A516" s="4293"/>
      <c r="B516" s="4294"/>
      <c r="C516" s="4294"/>
      <c r="D516" s="4295"/>
      <c r="E516" s="4296">
        <f t="shared" si="293"/>
        <v>0</v>
      </c>
      <c r="F516" s="4297"/>
      <c r="G516" s="4298">
        <f t="shared" si="268"/>
        <v>0</v>
      </c>
      <c r="H516" s="4299">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4296">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3"/>
      <c r="AV516" s="1463">
        <f t="shared" si="294"/>
        <v>0</v>
      </c>
      <c r="AW516" s="1463">
        <f t="shared" si="295"/>
        <v>0</v>
      </c>
      <c r="AX516" s="1463">
        <f t="shared" si="296"/>
        <v>0</v>
      </c>
      <c r="AY516" s="4304">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305">
        <f t="shared" si="292"/>
        <v>0</v>
      </c>
    </row>
    <row r="517" spans="1:72">
      <c r="A517" s="4293"/>
      <c r="B517" s="4294"/>
      <c r="C517" s="4294"/>
      <c r="D517" s="4295"/>
      <c r="E517" s="4296">
        <f t="shared" si="293"/>
        <v>0</v>
      </c>
      <c r="F517" s="4297"/>
      <c r="G517" s="4298">
        <f t="shared" si="268"/>
        <v>0</v>
      </c>
      <c r="H517" s="4299">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4296">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3"/>
      <c r="AV517" s="1463">
        <f t="shared" si="294"/>
        <v>0</v>
      </c>
      <c r="AW517" s="1463">
        <f t="shared" si="295"/>
        <v>0</v>
      </c>
      <c r="AX517" s="1463">
        <f t="shared" si="296"/>
        <v>0</v>
      </c>
      <c r="AY517" s="4304">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305">
        <f t="shared" si="292"/>
        <v>0</v>
      </c>
    </row>
    <row r="518" spans="1:72">
      <c r="A518" s="4293"/>
      <c r="B518" s="4294"/>
      <c r="C518" s="4294"/>
      <c r="D518" s="4295"/>
      <c r="E518" s="4296">
        <f t="shared" si="293"/>
        <v>0</v>
      </c>
      <c r="F518" s="4297"/>
      <c r="G518" s="4298">
        <f t="shared" si="268"/>
        <v>0</v>
      </c>
      <c r="H518" s="4299">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4296">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3"/>
      <c r="AV518" s="1463">
        <f t="shared" si="294"/>
        <v>0</v>
      </c>
      <c r="AW518" s="1463">
        <f t="shared" si="295"/>
        <v>0</v>
      </c>
      <c r="AX518" s="1463">
        <f t="shared" si="296"/>
        <v>0</v>
      </c>
      <c r="AY518" s="4304">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305">
        <f t="shared" si="292"/>
        <v>0</v>
      </c>
    </row>
    <row r="519" spans="1:72">
      <c r="A519" s="4293"/>
      <c r="B519" s="4294"/>
      <c r="C519" s="4294"/>
      <c r="D519" s="4295"/>
      <c r="E519" s="4296">
        <f t="shared" si="293"/>
        <v>0</v>
      </c>
      <c r="F519" s="4297"/>
      <c r="G519" s="4298">
        <f t="shared" si="268"/>
        <v>0</v>
      </c>
      <c r="H519" s="4299">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4296">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3"/>
      <c r="AV519" s="1463">
        <f t="shared" si="294"/>
        <v>0</v>
      </c>
      <c r="AW519" s="1463">
        <f t="shared" si="295"/>
        <v>0</v>
      </c>
      <c r="AX519" s="1463">
        <f t="shared" si="296"/>
        <v>0</v>
      </c>
      <c r="AY519" s="4304">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305">
        <f t="shared" si="292"/>
        <v>0</v>
      </c>
    </row>
    <row r="520" spans="1:72">
      <c r="A520" s="4293"/>
      <c r="B520" s="4294"/>
      <c r="C520" s="4294"/>
      <c r="D520" s="4295"/>
      <c r="E520" s="4296">
        <f t="shared" ref="E520:E551" si="297">IF($C$3="是",ROUND($A$3*G520/$B$3,2),ROUND($A$3*(G520-AT520)/$B$3,2))</f>
        <v>0</v>
      </c>
      <c r="F520" s="4297"/>
      <c r="G520" s="4298">
        <f t="shared" si="268"/>
        <v>0</v>
      </c>
      <c r="H520" s="4299">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4296">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3"/>
      <c r="AV520" s="1463">
        <f t="shared" si="294"/>
        <v>0</v>
      </c>
      <c r="AW520" s="1463">
        <f t="shared" si="295"/>
        <v>0</v>
      </c>
      <c r="AX520" s="1463">
        <f t="shared" si="296"/>
        <v>0</v>
      </c>
      <c r="AY520" s="4304">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305">
        <f t="shared" si="292"/>
        <v>0</v>
      </c>
    </row>
    <row r="521" spans="1:72">
      <c r="A521" s="4293"/>
      <c r="B521" s="4294"/>
      <c r="C521" s="4294"/>
      <c r="D521" s="4295"/>
      <c r="E521" s="4296">
        <f t="shared" si="297"/>
        <v>0</v>
      </c>
      <c r="F521" s="4297"/>
      <c r="G521" s="4298">
        <f t="shared" si="268"/>
        <v>0</v>
      </c>
      <c r="H521" s="4299">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4296">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3"/>
      <c r="AV521" s="1463">
        <f t="shared" ref="AV521:AV552" si="298">A521</f>
        <v>0</v>
      </c>
      <c r="AW521" s="1463">
        <f t="shared" ref="AW521:AW552" si="299">B521</f>
        <v>0</v>
      </c>
      <c r="AX521" s="1463">
        <f t="shared" ref="AX521:AX552" si="300">C521</f>
        <v>0</v>
      </c>
      <c r="AY521" s="4304">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305">
        <f t="shared" si="292"/>
        <v>0</v>
      </c>
    </row>
    <row r="522" spans="1:72">
      <c r="A522" s="4293"/>
      <c r="B522" s="4294"/>
      <c r="C522" s="4294"/>
      <c r="D522" s="4295"/>
      <c r="E522" s="4296">
        <f t="shared" si="297"/>
        <v>0</v>
      </c>
      <c r="F522" s="4297"/>
      <c r="G522" s="4298">
        <f t="shared" ref="G522:G552" si="301">H522+AC522+AT522</f>
        <v>0</v>
      </c>
      <c r="H522" s="4299">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4296">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3"/>
      <c r="AV522" s="1463">
        <f t="shared" si="298"/>
        <v>0</v>
      </c>
      <c r="AW522" s="1463">
        <f t="shared" si="299"/>
        <v>0</v>
      </c>
      <c r="AX522" s="1463">
        <f t="shared" si="300"/>
        <v>0</v>
      </c>
      <c r="AY522" s="4304">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305">
        <f t="shared" ref="BT522:BT552" si="325">IF($D522="是",AR522-AS522,0)</f>
        <v>0</v>
      </c>
    </row>
    <row r="523" spans="1:72">
      <c r="A523" s="4293"/>
      <c r="B523" s="4294"/>
      <c r="C523" s="4294"/>
      <c r="D523" s="4295"/>
      <c r="E523" s="4296">
        <f t="shared" si="297"/>
        <v>0</v>
      </c>
      <c r="F523" s="4297"/>
      <c r="G523" s="4298">
        <f t="shared" si="301"/>
        <v>0</v>
      </c>
      <c r="H523" s="4299">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4296">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3"/>
      <c r="AV523" s="1463">
        <f t="shared" si="298"/>
        <v>0</v>
      </c>
      <c r="AW523" s="1463">
        <f t="shared" si="299"/>
        <v>0</v>
      </c>
      <c r="AX523" s="1463">
        <f t="shared" si="300"/>
        <v>0</v>
      </c>
      <c r="AY523" s="4304">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305">
        <f t="shared" si="325"/>
        <v>0</v>
      </c>
    </row>
    <row r="524" spans="1:72">
      <c r="A524" s="4293"/>
      <c r="B524" s="4294"/>
      <c r="C524" s="4294"/>
      <c r="D524" s="4295"/>
      <c r="E524" s="4296">
        <f t="shared" si="297"/>
        <v>0</v>
      </c>
      <c r="F524" s="4297"/>
      <c r="G524" s="4298">
        <f t="shared" si="301"/>
        <v>0</v>
      </c>
      <c r="H524" s="4299">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4296">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3"/>
      <c r="AV524" s="1463">
        <f t="shared" si="298"/>
        <v>0</v>
      </c>
      <c r="AW524" s="1463">
        <f t="shared" si="299"/>
        <v>0</v>
      </c>
      <c r="AX524" s="1463">
        <f t="shared" si="300"/>
        <v>0</v>
      </c>
      <c r="AY524" s="4304">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305">
        <f t="shared" si="325"/>
        <v>0</v>
      </c>
    </row>
    <row r="525" spans="1:72">
      <c r="A525" s="4293"/>
      <c r="B525" s="4294"/>
      <c r="C525" s="4294"/>
      <c r="D525" s="4295"/>
      <c r="E525" s="4296">
        <f t="shared" si="297"/>
        <v>0</v>
      </c>
      <c r="F525" s="4297"/>
      <c r="G525" s="4298">
        <f t="shared" si="301"/>
        <v>0</v>
      </c>
      <c r="H525" s="4299">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4296">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3"/>
      <c r="AV525" s="1463">
        <f t="shared" si="298"/>
        <v>0</v>
      </c>
      <c r="AW525" s="1463">
        <f t="shared" si="299"/>
        <v>0</v>
      </c>
      <c r="AX525" s="1463">
        <f t="shared" si="300"/>
        <v>0</v>
      </c>
      <c r="AY525" s="4304">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305">
        <f t="shared" si="325"/>
        <v>0</v>
      </c>
    </row>
    <row r="526" spans="1:72">
      <c r="A526" s="4293"/>
      <c r="B526" s="4294"/>
      <c r="C526" s="4294"/>
      <c r="D526" s="4295"/>
      <c r="E526" s="4296">
        <f t="shared" si="297"/>
        <v>0</v>
      </c>
      <c r="F526" s="4297"/>
      <c r="G526" s="4298">
        <f t="shared" si="301"/>
        <v>0</v>
      </c>
      <c r="H526" s="4299">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4296">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3"/>
      <c r="AV526" s="1463">
        <f t="shared" si="298"/>
        <v>0</v>
      </c>
      <c r="AW526" s="1463">
        <f t="shared" si="299"/>
        <v>0</v>
      </c>
      <c r="AX526" s="1463">
        <f t="shared" si="300"/>
        <v>0</v>
      </c>
      <c r="AY526" s="4304">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305">
        <f t="shared" si="325"/>
        <v>0</v>
      </c>
    </row>
    <row r="527" spans="1:72">
      <c r="A527" s="4293"/>
      <c r="B527" s="4294"/>
      <c r="C527" s="4294"/>
      <c r="D527" s="4295"/>
      <c r="E527" s="4296">
        <f t="shared" si="297"/>
        <v>0</v>
      </c>
      <c r="F527" s="4297"/>
      <c r="G527" s="4298">
        <f t="shared" si="301"/>
        <v>0</v>
      </c>
      <c r="H527" s="4299">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4296">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3"/>
      <c r="AV527" s="1463">
        <f t="shared" si="298"/>
        <v>0</v>
      </c>
      <c r="AW527" s="1463">
        <f t="shared" si="299"/>
        <v>0</v>
      </c>
      <c r="AX527" s="1463">
        <f t="shared" si="300"/>
        <v>0</v>
      </c>
      <c r="AY527" s="4304">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305">
        <f t="shared" si="325"/>
        <v>0</v>
      </c>
    </row>
    <row r="528" spans="1:72">
      <c r="A528" s="4293"/>
      <c r="B528" s="4294"/>
      <c r="C528" s="4294"/>
      <c r="D528" s="4295"/>
      <c r="E528" s="4296">
        <f t="shared" si="297"/>
        <v>0</v>
      </c>
      <c r="F528" s="4297"/>
      <c r="G528" s="4298">
        <f t="shared" si="301"/>
        <v>0</v>
      </c>
      <c r="H528" s="4299">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4296">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3"/>
      <c r="AV528" s="1463">
        <f t="shared" si="298"/>
        <v>0</v>
      </c>
      <c r="AW528" s="1463">
        <f t="shared" si="299"/>
        <v>0</v>
      </c>
      <c r="AX528" s="1463">
        <f t="shared" si="300"/>
        <v>0</v>
      </c>
      <c r="AY528" s="4304">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305">
        <f t="shared" si="325"/>
        <v>0</v>
      </c>
    </row>
    <row r="529" spans="1:72">
      <c r="A529" s="4293"/>
      <c r="B529" s="4294"/>
      <c r="C529" s="4294"/>
      <c r="D529" s="4295"/>
      <c r="E529" s="4296">
        <f t="shared" si="297"/>
        <v>0</v>
      </c>
      <c r="F529" s="4297"/>
      <c r="G529" s="4298">
        <f t="shared" si="301"/>
        <v>0</v>
      </c>
      <c r="H529" s="4299">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4296">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3"/>
      <c r="AV529" s="1463">
        <f t="shared" si="298"/>
        <v>0</v>
      </c>
      <c r="AW529" s="1463">
        <f t="shared" si="299"/>
        <v>0</v>
      </c>
      <c r="AX529" s="1463">
        <f t="shared" si="300"/>
        <v>0</v>
      </c>
      <c r="AY529" s="4304">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305">
        <f t="shared" si="325"/>
        <v>0</v>
      </c>
    </row>
    <row r="530" spans="1:72">
      <c r="A530" s="4293"/>
      <c r="B530" s="4294"/>
      <c r="C530" s="4294"/>
      <c r="D530" s="4295"/>
      <c r="E530" s="4296">
        <f t="shared" si="297"/>
        <v>0</v>
      </c>
      <c r="F530" s="4297"/>
      <c r="G530" s="4298">
        <f t="shared" si="301"/>
        <v>0</v>
      </c>
      <c r="H530" s="4299">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4296">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3"/>
      <c r="AV530" s="1463">
        <f t="shared" si="298"/>
        <v>0</v>
      </c>
      <c r="AW530" s="1463">
        <f t="shared" si="299"/>
        <v>0</v>
      </c>
      <c r="AX530" s="1463">
        <f t="shared" si="300"/>
        <v>0</v>
      </c>
      <c r="AY530" s="4304">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305">
        <f t="shared" si="325"/>
        <v>0</v>
      </c>
    </row>
    <row r="531" spans="1:72">
      <c r="A531" s="4293"/>
      <c r="B531" s="4294"/>
      <c r="C531" s="4294"/>
      <c r="D531" s="4295"/>
      <c r="E531" s="4296">
        <f t="shared" si="297"/>
        <v>0</v>
      </c>
      <c r="F531" s="4297"/>
      <c r="G531" s="4298">
        <f t="shared" si="301"/>
        <v>0</v>
      </c>
      <c r="H531" s="4299">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4296">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3"/>
      <c r="AV531" s="1463">
        <f t="shared" si="298"/>
        <v>0</v>
      </c>
      <c r="AW531" s="1463">
        <f t="shared" si="299"/>
        <v>0</v>
      </c>
      <c r="AX531" s="1463">
        <f t="shared" si="300"/>
        <v>0</v>
      </c>
      <c r="AY531" s="4304">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305">
        <f t="shared" si="325"/>
        <v>0</v>
      </c>
    </row>
    <row r="532" spans="1:72">
      <c r="A532" s="4293"/>
      <c r="B532" s="4294"/>
      <c r="C532" s="4294"/>
      <c r="D532" s="4295"/>
      <c r="E532" s="4296">
        <f t="shared" si="297"/>
        <v>0</v>
      </c>
      <c r="F532" s="4297"/>
      <c r="G532" s="4298">
        <f t="shared" si="301"/>
        <v>0</v>
      </c>
      <c r="H532" s="4299">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4296">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3"/>
      <c r="AV532" s="1463">
        <f t="shared" si="298"/>
        <v>0</v>
      </c>
      <c r="AW532" s="1463">
        <f t="shared" si="299"/>
        <v>0</v>
      </c>
      <c r="AX532" s="1463">
        <f t="shared" si="300"/>
        <v>0</v>
      </c>
      <c r="AY532" s="4304">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305">
        <f t="shared" si="325"/>
        <v>0</v>
      </c>
    </row>
    <row r="533" spans="1:72">
      <c r="A533" s="4293"/>
      <c r="B533" s="4294"/>
      <c r="C533" s="4294"/>
      <c r="D533" s="4295"/>
      <c r="E533" s="4296">
        <f t="shared" si="297"/>
        <v>0</v>
      </c>
      <c r="F533" s="4297"/>
      <c r="G533" s="4298">
        <f t="shared" si="301"/>
        <v>0</v>
      </c>
      <c r="H533" s="4299">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4296">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3"/>
      <c r="AV533" s="1463">
        <f t="shared" si="298"/>
        <v>0</v>
      </c>
      <c r="AW533" s="1463">
        <f t="shared" si="299"/>
        <v>0</v>
      </c>
      <c r="AX533" s="1463">
        <f t="shared" si="300"/>
        <v>0</v>
      </c>
      <c r="AY533" s="4304">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305">
        <f t="shared" si="325"/>
        <v>0</v>
      </c>
    </row>
    <row r="534" spans="1:72">
      <c r="A534" s="4293"/>
      <c r="B534" s="4294"/>
      <c r="C534" s="4294"/>
      <c r="D534" s="4295"/>
      <c r="E534" s="4296">
        <f t="shared" si="297"/>
        <v>0</v>
      </c>
      <c r="F534" s="4297"/>
      <c r="G534" s="4298">
        <f t="shared" si="301"/>
        <v>0</v>
      </c>
      <c r="H534" s="4299">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4296">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3"/>
      <c r="AV534" s="1463">
        <f t="shared" si="298"/>
        <v>0</v>
      </c>
      <c r="AW534" s="1463">
        <f t="shared" si="299"/>
        <v>0</v>
      </c>
      <c r="AX534" s="1463">
        <f t="shared" si="300"/>
        <v>0</v>
      </c>
      <c r="AY534" s="4304">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305">
        <f t="shared" si="325"/>
        <v>0</v>
      </c>
    </row>
    <row r="535" spans="1:72">
      <c r="A535" s="4293"/>
      <c r="B535" s="4294"/>
      <c r="C535" s="4294"/>
      <c r="D535" s="4295"/>
      <c r="E535" s="4296">
        <f t="shared" si="297"/>
        <v>0</v>
      </c>
      <c r="F535" s="4297"/>
      <c r="G535" s="4298">
        <f t="shared" si="301"/>
        <v>0</v>
      </c>
      <c r="H535" s="4299">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4296">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3"/>
      <c r="AV535" s="1463">
        <f t="shared" si="298"/>
        <v>0</v>
      </c>
      <c r="AW535" s="1463">
        <f t="shared" si="299"/>
        <v>0</v>
      </c>
      <c r="AX535" s="1463">
        <f t="shared" si="300"/>
        <v>0</v>
      </c>
      <c r="AY535" s="4304">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305">
        <f t="shared" si="325"/>
        <v>0</v>
      </c>
    </row>
    <row r="536" spans="1:72">
      <c r="A536" s="4293"/>
      <c r="B536" s="4294"/>
      <c r="C536" s="4294"/>
      <c r="D536" s="4295"/>
      <c r="E536" s="4296">
        <f t="shared" si="297"/>
        <v>0</v>
      </c>
      <c r="F536" s="4297"/>
      <c r="G536" s="4298">
        <f t="shared" si="301"/>
        <v>0</v>
      </c>
      <c r="H536" s="4299">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4296">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3"/>
      <c r="AV536" s="1463">
        <f t="shared" si="298"/>
        <v>0</v>
      </c>
      <c r="AW536" s="1463">
        <f t="shared" si="299"/>
        <v>0</v>
      </c>
      <c r="AX536" s="1463">
        <f t="shared" si="300"/>
        <v>0</v>
      </c>
      <c r="AY536" s="4304">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305">
        <f t="shared" si="325"/>
        <v>0</v>
      </c>
    </row>
    <row r="537" spans="1:72">
      <c r="A537" s="4293"/>
      <c r="B537" s="4294"/>
      <c r="C537" s="4294"/>
      <c r="D537" s="4295"/>
      <c r="E537" s="4296">
        <f t="shared" si="297"/>
        <v>0</v>
      </c>
      <c r="F537" s="4297"/>
      <c r="G537" s="4298">
        <f t="shared" si="301"/>
        <v>0</v>
      </c>
      <c r="H537" s="4299">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4296">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3"/>
      <c r="AV537" s="1463">
        <f t="shared" si="298"/>
        <v>0</v>
      </c>
      <c r="AW537" s="1463">
        <f t="shared" si="299"/>
        <v>0</v>
      </c>
      <c r="AX537" s="1463">
        <f t="shared" si="300"/>
        <v>0</v>
      </c>
      <c r="AY537" s="4304">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305">
        <f t="shared" si="325"/>
        <v>0</v>
      </c>
    </row>
    <row r="538" spans="1:72">
      <c r="A538" s="4293"/>
      <c r="B538" s="4294"/>
      <c r="C538" s="4294"/>
      <c r="D538" s="4295"/>
      <c r="E538" s="4296">
        <f t="shared" si="297"/>
        <v>0</v>
      </c>
      <c r="F538" s="4297"/>
      <c r="G538" s="4298">
        <f t="shared" si="301"/>
        <v>0</v>
      </c>
      <c r="H538" s="4299">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4296">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3"/>
      <c r="AV538" s="1463">
        <f t="shared" si="298"/>
        <v>0</v>
      </c>
      <c r="AW538" s="1463">
        <f t="shared" si="299"/>
        <v>0</v>
      </c>
      <c r="AX538" s="1463">
        <f t="shared" si="300"/>
        <v>0</v>
      </c>
      <c r="AY538" s="4304">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305">
        <f t="shared" si="325"/>
        <v>0</v>
      </c>
    </row>
    <row r="539" spans="1:72">
      <c r="A539" s="4293"/>
      <c r="B539" s="4294"/>
      <c r="C539" s="4294"/>
      <c r="D539" s="4295"/>
      <c r="E539" s="4296">
        <f t="shared" si="297"/>
        <v>0</v>
      </c>
      <c r="F539" s="4297"/>
      <c r="G539" s="4298">
        <f t="shared" si="301"/>
        <v>0</v>
      </c>
      <c r="H539" s="4299">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4296">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3"/>
      <c r="AV539" s="1463">
        <f t="shared" si="298"/>
        <v>0</v>
      </c>
      <c r="AW539" s="1463">
        <f t="shared" si="299"/>
        <v>0</v>
      </c>
      <c r="AX539" s="1463">
        <f t="shared" si="300"/>
        <v>0</v>
      </c>
      <c r="AY539" s="4304">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305">
        <f t="shared" si="325"/>
        <v>0</v>
      </c>
    </row>
    <row r="540" spans="1:72">
      <c r="A540" s="4293"/>
      <c r="B540" s="4294"/>
      <c r="C540" s="4294"/>
      <c r="D540" s="4295"/>
      <c r="E540" s="4296">
        <f t="shared" si="297"/>
        <v>0</v>
      </c>
      <c r="F540" s="4297"/>
      <c r="G540" s="4298">
        <f t="shared" si="301"/>
        <v>0</v>
      </c>
      <c r="H540" s="4299">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4296">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3"/>
      <c r="AV540" s="1463">
        <f t="shared" si="298"/>
        <v>0</v>
      </c>
      <c r="AW540" s="1463">
        <f t="shared" si="299"/>
        <v>0</v>
      </c>
      <c r="AX540" s="1463">
        <f t="shared" si="300"/>
        <v>0</v>
      </c>
      <c r="AY540" s="4304">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305">
        <f t="shared" si="325"/>
        <v>0</v>
      </c>
    </row>
    <row r="541" spans="1:72">
      <c r="A541" s="4293"/>
      <c r="B541" s="4294"/>
      <c r="C541" s="4294"/>
      <c r="D541" s="4295"/>
      <c r="E541" s="4296">
        <f t="shared" si="297"/>
        <v>0</v>
      </c>
      <c r="F541" s="4297"/>
      <c r="G541" s="4298">
        <f t="shared" si="301"/>
        <v>0</v>
      </c>
      <c r="H541" s="4299">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4296">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3"/>
      <c r="AV541" s="1463">
        <f t="shared" si="298"/>
        <v>0</v>
      </c>
      <c r="AW541" s="1463">
        <f t="shared" si="299"/>
        <v>0</v>
      </c>
      <c r="AX541" s="1463">
        <f t="shared" si="300"/>
        <v>0</v>
      </c>
      <c r="AY541" s="4304">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305">
        <f t="shared" si="325"/>
        <v>0</v>
      </c>
    </row>
    <row r="542" spans="1:72">
      <c r="A542" s="4293"/>
      <c r="B542" s="4294"/>
      <c r="C542" s="4294"/>
      <c r="D542" s="4295"/>
      <c r="E542" s="4296">
        <f t="shared" si="297"/>
        <v>0</v>
      </c>
      <c r="F542" s="4297"/>
      <c r="G542" s="4298">
        <f t="shared" si="301"/>
        <v>0</v>
      </c>
      <c r="H542" s="4299">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4296">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3"/>
      <c r="AV542" s="1463">
        <f t="shared" si="298"/>
        <v>0</v>
      </c>
      <c r="AW542" s="1463">
        <f t="shared" si="299"/>
        <v>0</v>
      </c>
      <c r="AX542" s="1463">
        <f t="shared" si="300"/>
        <v>0</v>
      </c>
      <c r="AY542" s="4304">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305">
        <f t="shared" si="325"/>
        <v>0</v>
      </c>
    </row>
    <row r="543" spans="1:72">
      <c r="A543" s="4293"/>
      <c r="B543" s="4294"/>
      <c r="C543" s="4294"/>
      <c r="D543" s="4295"/>
      <c r="E543" s="4296">
        <f t="shared" si="297"/>
        <v>0</v>
      </c>
      <c r="F543" s="4297"/>
      <c r="G543" s="4298">
        <f t="shared" si="301"/>
        <v>0</v>
      </c>
      <c r="H543" s="4299">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4296">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3"/>
      <c r="AV543" s="1463">
        <f t="shared" si="298"/>
        <v>0</v>
      </c>
      <c r="AW543" s="1463">
        <f t="shared" si="299"/>
        <v>0</v>
      </c>
      <c r="AX543" s="1463">
        <f t="shared" si="300"/>
        <v>0</v>
      </c>
      <c r="AY543" s="4304">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305">
        <f t="shared" si="325"/>
        <v>0</v>
      </c>
    </row>
    <row r="544" spans="1:72">
      <c r="A544" s="4293"/>
      <c r="B544" s="4294"/>
      <c r="C544" s="4294"/>
      <c r="D544" s="4295"/>
      <c r="E544" s="4296">
        <f t="shared" si="297"/>
        <v>0</v>
      </c>
      <c r="F544" s="4297"/>
      <c r="G544" s="4298">
        <f t="shared" si="301"/>
        <v>0</v>
      </c>
      <c r="H544" s="4299">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4296">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3"/>
      <c r="AV544" s="1463">
        <f t="shared" si="298"/>
        <v>0</v>
      </c>
      <c r="AW544" s="1463">
        <f t="shared" si="299"/>
        <v>0</v>
      </c>
      <c r="AX544" s="1463">
        <f t="shared" si="300"/>
        <v>0</v>
      </c>
      <c r="AY544" s="4304">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305">
        <f t="shared" si="325"/>
        <v>0</v>
      </c>
    </row>
    <row r="545" spans="1:72">
      <c r="A545" s="4293"/>
      <c r="B545" s="4294"/>
      <c r="C545" s="4294"/>
      <c r="D545" s="4295"/>
      <c r="E545" s="4296">
        <f t="shared" si="297"/>
        <v>0</v>
      </c>
      <c r="F545" s="4297"/>
      <c r="G545" s="4298">
        <f t="shared" si="301"/>
        <v>0</v>
      </c>
      <c r="H545" s="4299">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4296">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3"/>
      <c r="AV545" s="1463">
        <f t="shared" si="298"/>
        <v>0</v>
      </c>
      <c r="AW545" s="1463">
        <f t="shared" si="299"/>
        <v>0</v>
      </c>
      <c r="AX545" s="1463">
        <f t="shared" si="300"/>
        <v>0</v>
      </c>
      <c r="AY545" s="4304">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305">
        <f t="shared" si="325"/>
        <v>0</v>
      </c>
    </row>
    <row r="546" spans="1:72">
      <c r="A546" s="4293"/>
      <c r="B546" s="4294"/>
      <c r="C546" s="4294"/>
      <c r="D546" s="4295"/>
      <c r="E546" s="4296">
        <f t="shared" si="297"/>
        <v>0</v>
      </c>
      <c r="F546" s="4297"/>
      <c r="G546" s="4298">
        <f t="shared" si="301"/>
        <v>0</v>
      </c>
      <c r="H546" s="4299">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4296">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3"/>
      <c r="AV546" s="1463">
        <f t="shared" si="298"/>
        <v>0</v>
      </c>
      <c r="AW546" s="1463">
        <f t="shared" si="299"/>
        <v>0</v>
      </c>
      <c r="AX546" s="1463">
        <f t="shared" si="300"/>
        <v>0</v>
      </c>
      <c r="AY546" s="4304">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305">
        <f t="shared" si="325"/>
        <v>0</v>
      </c>
    </row>
    <row r="547" spans="1:72">
      <c r="A547" s="4293"/>
      <c r="B547" s="4294"/>
      <c r="C547" s="4294"/>
      <c r="D547" s="4295"/>
      <c r="E547" s="4296">
        <f t="shared" si="297"/>
        <v>0</v>
      </c>
      <c r="F547" s="4297"/>
      <c r="G547" s="4298">
        <f t="shared" si="301"/>
        <v>0</v>
      </c>
      <c r="H547" s="4299">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4296">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3"/>
      <c r="AV547" s="1463">
        <f t="shared" si="298"/>
        <v>0</v>
      </c>
      <c r="AW547" s="1463">
        <f t="shared" si="299"/>
        <v>0</v>
      </c>
      <c r="AX547" s="1463">
        <f t="shared" si="300"/>
        <v>0</v>
      </c>
      <c r="AY547" s="4304">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305">
        <f t="shared" si="325"/>
        <v>0</v>
      </c>
    </row>
    <row r="548" spans="1:72">
      <c r="A548" s="4293"/>
      <c r="B548" s="4294"/>
      <c r="C548" s="4294"/>
      <c r="D548" s="4295"/>
      <c r="E548" s="4296">
        <f t="shared" si="297"/>
        <v>0</v>
      </c>
      <c r="F548" s="4297"/>
      <c r="G548" s="4298">
        <f t="shared" si="301"/>
        <v>0</v>
      </c>
      <c r="H548" s="4299">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4296">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3"/>
      <c r="AV548" s="1463">
        <f t="shared" si="298"/>
        <v>0</v>
      </c>
      <c r="AW548" s="1463">
        <f t="shared" si="299"/>
        <v>0</v>
      </c>
      <c r="AX548" s="1463">
        <f t="shared" si="300"/>
        <v>0</v>
      </c>
      <c r="AY548" s="4304">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305">
        <f t="shared" si="325"/>
        <v>0</v>
      </c>
    </row>
    <row r="549" spans="1:72">
      <c r="A549" s="4293"/>
      <c r="B549" s="4294"/>
      <c r="C549" s="4294"/>
      <c r="D549" s="4295"/>
      <c r="E549" s="4296">
        <f t="shared" si="297"/>
        <v>0</v>
      </c>
      <c r="F549" s="4297"/>
      <c r="G549" s="4298">
        <f t="shared" si="301"/>
        <v>0</v>
      </c>
      <c r="H549" s="4299">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4296">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3"/>
      <c r="AV549" s="1463">
        <f t="shared" si="298"/>
        <v>0</v>
      </c>
      <c r="AW549" s="1463">
        <f t="shared" si="299"/>
        <v>0</v>
      </c>
      <c r="AX549" s="1463">
        <f t="shared" si="300"/>
        <v>0</v>
      </c>
      <c r="AY549" s="4304">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305">
        <f t="shared" si="325"/>
        <v>0</v>
      </c>
    </row>
    <row r="550" spans="1:72">
      <c r="A550" s="4293"/>
      <c r="B550" s="4294"/>
      <c r="C550" s="4294"/>
      <c r="D550" s="4295"/>
      <c r="E550" s="4296">
        <f t="shared" si="297"/>
        <v>0</v>
      </c>
      <c r="F550" s="4297"/>
      <c r="G550" s="4298">
        <f t="shared" si="301"/>
        <v>0</v>
      </c>
      <c r="H550" s="4299">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4296">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3"/>
      <c r="AV550" s="1463">
        <f t="shared" si="298"/>
        <v>0</v>
      </c>
      <c r="AW550" s="1463">
        <f t="shared" si="299"/>
        <v>0</v>
      </c>
      <c r="AX550" s="1463">
        <f t="shared" si="300"/>
        <v>0</v>
      </c>
      <c r="AY550" s="4304">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305">
        <f t="shared" si="325"/>
        <v>0</v>
      </c>
    </row>
    <row r="551" spans="1:72">
      <c r="A551" s="4293"/>
      <c r="B551" s="4294"/>
      <c r="C551" s="4294"/>
      <c r="D551" s="4295"/>
      <c r="E551" s="4296">
        <f t="shared" si="297"/>
        <v>0</v>
      </c>
      <c r="F551" s="4297"/>
      <c r="G551" s="4298">
        <f t="shared" si="301"/>
        <v>0</v>
      </c>
      <c r="H551" s="4299">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4296">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3"/>
      <c r="AV551" s="1463">
        <f t="shared" si="298"/>
        <v>0</v>
      </c>
      <c r="AW551" s="1463">
        <f t="shared" si="299"/>
        <v>0</v>
      </c>
      <c r="AX551" s="1463">
        <f t="shared" si="300"/>
        <v>0</v>
      </c>
      <c r="AY551" s="4304">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305">
        <f t="shared" si="325"/>
        <v>0</v>
      </c>
    </row>
    <row r="552" spans="1:72">
      <c r="A552" s="4293"/>
      <c r="B552" s="4294"/>
      <c r="C552" s="4294"/>
      <c r="D552" s="4295"/>
      <c r="E552" s="4296">
        <f t="shared" ref="E552:E587" si="326">IF($C$3="是",ROUND($A$3*G552/$B$3,2),ROUND($A$3*(G552-AT552)/$B$3,2))</f>
        <v>0</v>
      </c>
      <c r="F552" s="4297"/>
      <c r="G552" s="4298">
        <f t="shared" si="301"/>
        <v>0</v>
      </c>
      <c r="H552" s="4299">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4296">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3"/>
      <c r="AV552" s="1463">
        <f t="shared" si="298"/>
        <v>0</v>
      </c>
      <c r="AW552" s="1463">
        <f t="shared" si="299"/>
        <v>0</v>
      </c>
      <c r="AX552" s="1463">
        <f t="shared" si="300"/>
        <v>0</v>
      </c>
      <c r="AY552" s="4304">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305">
        <f t="shared" si="325"/>
        <v>0</v>
      </c>
    </row>
    <row r="553" spans="1:72">
      <c r="A553" s="4293"/>
      <c r="B553" s="4294"/>
      <c r="C553" s="4294"/>
      <c r="D553" s="4295"/>
      <c r="E553" s="4296">
        <f t="shared" si="326"/>
        <v>0</v>
      </c>
      <c r="F553" s="4297"/>
      <c r="G553" s="4298">
        <f t="shared" ref="G553:G587" si="327">H553+AC553+AT553</f>
        <v>0</v>
      </c>
      <c r="H553" s="4299">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4296">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3"/>
      <c r="AV553" s="1463">
        <f t="shared" ref="AV553:AV587" si="330">A553</f>
        <v>0</v>
      </c>
      <c r="AW553" s="1463">
        <f t="shared" ref="AW553:AW587" si="331">B553</f>
        <v>0</v>
      </c>
      <c r="AX553" s="1463">
        <f t="shared" ref="AX553:AX587" si="332">C553</f>
        <v>0</v>
      </c>
      <c r="AY553" s="4304">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305">
        <f t="shared" ref="BT553:BT587" si="354">IF($D553="是",AR553-AS553,0)</f>
        <v>0</v>
      </c>
    </row>
    <row r="554" spans="1:72">
      <c r="A554" s="4293"/>
      <c r="B554" s="4294"/>
      <c r="C554" s="4294"/>
      <c r="D554" s="4295"/>
      <c r="E554" s="4296">
        <f t="shared" si="326"/>
        <v>0</v>
      </c>
      <c r="F554" s="4297"/>
      <c r="G554" s="4298">
        <f t="shared" si="327"/>
        <v>0</v>
      </c>
      <c r="H554" s="4299">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4296">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3"/>
      <c r="AV554" s="1463">
        <f t="shared" si="330"/>
        <v>0</v>
      </c>
      <c r="AW554" s="1463">
        <f t="shared" si="331"/>
        <v>0</v>
      </c>
      <c r="AX554" s="1463">
        <f t="shared" si="332"/>
        <v>0</v>
      </c>
      <c r="AY554" s="4304">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305">
        <f t="shared" si="354"/>
        <v>0</v>
      </c>
    </row>
    <row r="555" spans="1:72">
      <c r="A555" s="4293"/>
      <c r="B555" s="4294"/>
      <c r="C555" s="4294"/>
      <c r="D555" s="4295"/>
      <c r="E555" s="4296">
        <f t="shared" si="326"/>
        <v>0</v>
      </c>
      <c r="F555" s="4297"/>
      <c r="G555" s="4298">
        <f t="shared" si="327"/>
        <v>0</v>
      </c>
      <c r="H555" s="4299">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4296">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3"/>
      <c r="AV555" s="1463">
        <f t="shared" si="330"/>
        <v>0</v>
      </c>
      <c r="AW555" s="1463">
        <f t="shared" si="331"/>
        <v>0</v>
      </c>
      <c r="AX555" s="1463">
        <f t="shared" si="332"/>
        <v>0</v>
      </c>
      <c r="AY555" s="4304">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305">
        <f t="shared" si="354"/>
        <v>0</v>
      </c>
    </row>
    <row r="556" spans="1:72">
      <c r="A556" s="4293"/>
      <c r="B556" s="4294"/>
      <c r="C556" s="4294"/>
      <c r="D556" s="4295"/>
      <c r="E556" s="4296">
        <f t="shared" si="326"/>
        <v>0</v>
      </c>
      <c r="F556" s="4297"/>
      <c r="G556" s="4298">
        <f t="shared" si="327"/>
        <v>0</v>
      </c>
      <c r="H556" s="4299">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4296">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3"/>
      <c r="AV556" s="1463">
        <f t="shared" si="330"/>
        <v>0</v>
      </c>
      <c r="AW556" s="1463">
        <f t="shared" si="331"/>
        <v>0</v>
      </c>
      <c r="AX556" s="1463">
        <f t="shared" si="332"/>
        <v>0</v>
      </c>
      <c r="AY556" s="4304">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305">
        <f t="shared" si="354"/>
        <v>0</v>
      </c>
    </row>
    <row r="557" spans="1:72">
      <c r="A557" s="4293"/>
      <c r="B557" s="4294"/>
      <c r="C557" s="4294"/>
      <c r="D557" s="4295"/>
      <c r="E557" s="4296">
        <f t="shared" si="326"/>
        <v>0</v>
      </c>
      <c r="F557" s="4297"/>
      <c r="G557" s="4298">
        <f t="shared" si="327"/>
        <v>0</v>
      </c>
      <c r="H557" s="4299">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4296">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3"/>
      <c r="AV557" s="1463">
        <f t="shared" si="330"/>
        <v>0</v>
      </c>
      <c r="AW557" s="1463">
        <f t="shared" si="331"/>
        <v>0</v>
      </c>
      <c r="AX557" s="1463">
        <f t="shared" si="332"/>
        <v>0</v>
      </c>
      <c r="AY557" s="4304">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305">
        <f t="shared" si="354"/>
        <v>0</v>
      </c>
    </row>
    <row r="558" spans="1:72">
      <c r="A558" s="4293"/>
      <c r="B558" s="4294"/>
      <c r="C558" s="4294"/>
      <c r="D558" s="4295"/>
      <c r="E558" s="4296">
        <f t="shared" si="326"/>
        <v>0</v>
      </c>
      <c r="F558" s="4297"/>
      <c r="G558" s="4298">
        <f t="shared" si="327"/>
        <v>0</v>
      </c>
      <c r="H558" s="4299">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4296">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3"/>
      <c r="AV558" s="1463">
        <f t="shared" si="330"/>
        <v>0</v>
      </c>
      <c r="AW558" s="1463">
        <f t="shared" si="331"/>
        <v>0</v>
      </c>
      <c r="AX558" s="1463">
        <f t="shared" si="332"/>
        <v>0</v>
      </c>
      <c r="AY558" s="4304">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305">
        <f t="shared" si="354"/>
        <v>0</v>
      </c>
    </row>
    <row r="559" spans="1:72">
      <c r="A559" s="4293"/>
      <c r="B559" s="4294"/>
      <c r="C559" s="4294"/>
      <c r="D559" s="4295"/>
      <c r="E559" s="4296">
        <f t="shared" si="326"/>
        <v>0</v>
      </c>
      <c r="F559" s="4297"/>
      <c r="G559" s="4298">
        <f t="shared" si="327"/>
        <v>0</v>
      </c>
      <c r="H559" s="4299">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4296">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3"/>
      <c r="AV559" s="1463">
        <f t="shared" si="330"/>
        <v>0</v>
      </c>
      <c r="AW559" s="1463">
        <f t="shared" si="331"/>
        <v>0</v>
      </c>
      <c r="AX559" s="1463">
        <f t="shared" si="332"/>
        <v>0</v>
      </c>
      <c r="AY559" s="4304">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305">
        <f t="shared" si="354"/>
        <v>0</v>
      </c>
    </row>
    <row r="560" spans="1:72">
      <c r="A560" s="4293"/>
      <c r="B560" s="4294"/>
      <c r="C560" s="4294"/>
      <c r="D560" s="4295"/>
      <c r="E560" s="4296">
        <f t="shared" si="326"/>
        <v>0</v>
      </c>
      <c r="F560" s="4297"/>
      <c r="G560" s="4298">
        <f t="shared" si="327"/>
        <v>0</v>
      </c>
      <c r="H560" s="4299">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4296">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3"/>
      <c r="AV560" s="1463">
        <f t="shared" si="330"/>
        <v>0</v>
      </c>
      <c r="AW560" s="1463">
        <f t="shared" si="331"/>
        <v>0</v>
      </c>
      <c r="AX560" s="1463">
        <f t="shared" si="332"/>
        <v>0</v>
      </c>
      <c r="AY560" s="4304">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305">
        <f t="shared" si="354"/>
        <v>0</v>
      </c>
    </row>
    <row r="561" spans="1:72">
      <c r="A561" s="4293"/>
      <c r="B561" s="4294"/>
      <c r="C561" s="4294"/>
      <c r="D561" s="4295"/>
      <c r="E561" s="4296">
        <f t="shared" si="326"/>
        <v>0</v>
      </c>
      <c r="F561" s="4297"/>
      <c r="G561" s="4298">
        <f t="shared" si="327"/>
        <v>0</v>
      </c>
      <c r="H561" s="4299">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4296">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3"/>
      <c r="AV561" s="1463">
        <f t="shared" si="330"/>
        <v>0</v>
      </c>
      <c r="AW561" s="1463">
        <f t="shared" si="331"/>
        <v>0</v>
      </c>
      <c r="AX561" s="1463">
        <f t="shared" si="332"/>
        <v>0</v>
      </c>
      <c r="AY561" s="4304">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305">
        <f t="shared" si="354"/>
        <v>0</v>
      </c>
    </row>
    <row r="562" spans="1:72">
      <c r="A562" s="4293"/>
      <c r="B562" s="4294"/>
      <c r="C562" s="4294"/>
      <c r="D562" s="4295"/>
      <c r="E562" s="4296">
        <f t="shared" si="326"/>
        <v>0</v>
      </c>
      <c r="F562" s="4297"/>
      <c r="G562" s="4298">
        <f t="shared" si="327"/>
        <v>0</v>
      </c>
      <c r="H562" s="4299">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4296">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3"/>
      <c r="AV562" s="1463">
        <f t="shared" si="330"/>
        <v>0</v>
      </c>
      <c r="AW562" s="1463">
        <f t="shared" si="331"/>
        <v>0</v>
      </c>
      <c r="AX562" s="1463">
        <f t="shared" si="332"/>
        <v>0</v>
      </c>
      <c r="AY562" s="4304">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305">
        <f t="shared" si="354"/>
        <v>0</v>
      </c>
    </row>
    <row r="563" spans="1:72">
      <c r="A563" s="4293"/>
      <c r="B563" s="4294"/>
      <c r="C563" s="4294"/>
      <c r="D563" s="4295"/>
      <c r="E563" s="4296">
        <f t="shared" si="326"/>
        <v>0</v>
      </c>
      <c r="F563" s="4297"/>
      <c r="G563" s="4298">
        <f t="shared" si="327"/>
        <v>0</v>
      </c>
      <c r="H563" s="4299">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4296">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3"/>
      <c r="AV563" s="1463">
        <f t="shared" si="330"/>
        <v>0</v>
      </c>
      <c r="AW563" s="1463">
        <f t="shared" si="331"/>
        <v>0</v>
      </c>
      <c r="AX563" s="1463">
        <f t="shared" si="332"/>
        <v>0</v>
      </c>
      <c r="AY563" s="4304">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305">
        <f t="shared" si="354"/>
        <v>0</v>
      </c>
    </row>
    <row r="564" spans="1:72">
      <c r="A564" s="4293"/>
      <c r="B564" s="4294"/>
      <c r="C564" s="4294"/>
      <c r="D564" s="4295"/>
      <c r="E564" s="4296">
        <f t="shared" si="326"/>
        <v>0</v>
      </c>
      <c r="F564" s="4297"/>
      <c r="G564" s="4298">
        <f t="shared" si="327"/>
        <v>0</v>
      </c>
      <c r="H564" s="4299">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4296">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3"/>
      <c r="AV564" s="1463">
        <f t="shared" si="330"/>
        <v>0</v>
      </c>
      <c r="AW564" s="1463">
        <f t="shared" si="331"/>
        <v>0</v>
      </c>
      <c r="AX564" s="1463">
        <f t="shared" si="332"/>
        <v>0</v>
      </c>
      <c r="AY564" s="4304">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305">
        <f t="shared" si="354"/>
        <v>0</v>
      </c>
    </row>
    <row r="565" spans="1:72">
      <c r="A565" s="4293"/>
      <c r="B565" s="4294"/>
      <c r="C565" s="4294"/>
      <c r="D565" s="4295"/>
      <c r="E565" s="4296">
        <f t="shared" si="326"/>
        <v>0</v>
      </c>
      <c r="F565" s="4297"/>
      <c r="G565" s="4298">
        <f t="shared" si="327"/>
        <v>0</v>
      </c>
      <c r="H565" s="4299">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4296">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3"/>
      <c r="AV565" s="1463">
        <f t="shared" si="330"/>
        <v>0</v>
      </c>
      <c r="AW565" s="1463">
        <f t="shared" si="331"/>
        <v>0</v>
      </c>
      <c r="AX565" s="1463">
        <f t="shared" si="332"/>
        <v>0</v>
      </c>
      <c r="AY565" s="4304">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305">
        <f t="shared" si="354"/>
        <v>0</v>
      </c>
    </row>
    <row r="566" spans="1:72">
      <c r="A566" s="4293"/>
      <c r="B566" s="4294"/>
      <c r="C566" s="4294"/>
      <c r="D566" s="4295"/>
      <c r="E566" s="4296">
        <f t="shared" si="326"/>
        <v>0</v>
      </c>
      <c r="F566" s="4297"/>
      <c r="G566" s="4298">
        <f t="shared" si="327"/>
        <v>0</v>
      </c>
      <c r="H566" s="4299">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4296">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3"/>
      <c r="AV566" s="1463">
        <f t="shared" si="330"/>
        <v>0</v>
      </c>
      <c r="AW566" s="1463">
        <f t="shared" si="331"/>
        <v>0</v>
      </c>
      <c r="AX566" s="1463">
        <f t="shared" si="332"/>
        <v>0</v>
      </c>
      <c r="AY566" s="4304">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305">
        <f t="shared" si="354"/>
        <v>0</v>
      </c>
    </row>
    <row r="567" spans="1:72">
      <c r="A567" s="4293"/>
      <c r="B567" s="4294"/>
      <c r="C567" s="4294"/>
      <c r="D567" s="4295"/>
      <c r="E567" s="4296">
        <f t="shared" si="326"/>
        <v>0</v>
      </c>
      <c r="F567" s="4297"/>
      <c r="G567" s="4298">
        <f t="shared" si="327"/>
        <v>0</v>
      </c>
      <c r="H567" s="4299">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4296">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3"/>
      <c r="AV567" s="1463">
        <f t="shared" si="330"/>
        <v>0</v>
      </c>
      <c r="AW567" s="1463">
        <f t="shared" si="331"/>
        <v>0</v>
      </c>
      <c r="AX567" s="1463">
        <f t="shared" si="332"/>
        <v>0</v>
      </c>
      <c r="AY567" s="4304">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305">
        <f t="shared" si="354"/>
        <v>0</v>
      </c>
    </row>
    <row r="568" spans="1:72">
      <c r="A568" s="4293"/>
      <c r="B568" s="4294"/>
      <c r="C568" s="4294"/>
      <c r="D568" s="4295"/>
      <c r="E568" s="4296">
        <f t="shared" si="326"/>
        <v>0</v>
      </c>
      <c r="F568" s="4297"/>
      <c r="G568" s="4298">
        <f t="shared" si="327"/>
        <v>0</v>
      </c>
      <c r="H568" s="4299">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4296">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3"/>
      <c r="AV568" s="1463">
        <f t="shared" si="330"/>
        <v>0</v>
      </c>
      <c r="AW568" s="1463">
        <f t="shared" si="331"/>
        <v>0</v>
      </c>
      <c r="AX568" s="1463">
        <f t="shared" si="332"/>
        <v>0</v>
      </c>
      <c r="AY568" s="4304">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305">
        <f t="shared" si="354"/>
        <v>0</v>
      </c>
    </row>
    <row r="569" spans="1:72">
      <c r="A569" s="4293"/>
      <c r="B569" s="4294"/>
      <c r="C569" s="4294"/>
      <c r="D569" s="4295"/>
      <c r="E569" s="4296">
        <f t="shared" si="326"/>
        <v>0</v>
      </c>
      <c r="F569" s="4297"/>
      <c r="G569" s="4298">
        <f t="shared" si="327"/>
        <v>0</v>
      </c>
      <c r="H569" s="4299">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4296">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3"/>
      <c r="AV569" s="1463">
        <f t="shared" si="330"/>
        <v>0</v>
      </c>
      <c r="AW569" s="1463">
        <f t="shared" si="331"/>
        <v>0</v>
      </c>
      <c r="AX569" s="1463">
        <f t="shared" si="332"/>
        <v>0</v>
      </c>
      <c r="AY569" s="4304">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305">
        <f t="shared" si="354"/>
        <v>0</v>
      </c>
    </row>
    <row r="570" spans="1:72">
      <c r="A570" s="4293"/>
      <c r="B570" s="4294"/>
      <c r="C570" s="4294"/>
      <c r="D570" s="4295"/>
      <c r="E570" s="4296">
        <f t="shared" si="326"/>
        <v>0</v>
      </c>
      <c r="F570" s="4297"/>
      <c r="G570" s="4298">
        <f t="shared" si="327"/>
        <v>0</v>
      </c>
      <c r="H570" s="4299">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4296">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3"/>
      <c r="AV570" s="1463">
        <f t="shared" si="330"/>
        <v>0</v>
      </c>
      <c r="AW570" s="1463">
        <f t="shared" si="331"/>
        <v>0</v>
      </c>
      <c r="AX570" s="1463">
        <f t="shared" si="332"/>
        <v>0</v>
      </c>
      <c r="AY570" s="4304">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305">
        <f t="shared" si="354"/>
        <v>0</v>
      </c>
    </row>
    <row r="571" spans="1:72">
      <c r="A571" s="4293"/>
      <c r="B571" s="4294"/>
      <c r="C571" s="4294"/>
      <c r="D571" s="4295"/>
      <c r="E571" s="4296">
        <f t="shared" si="326"/>
        <v>0</v>
      </c>
      <c r="F571" s="4297"/>
      <c r="G571" s="4298">
        <f t="shared" si="327"/>
        <v>0</v>
      </c>
      <c r="H571" s="4299">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4296">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3"/>
      <c r="AV571" s="1463">
        <f t="shared" si="330"/>
        <v>0</v>
      </c>
      <c r="AW571" s="1463">
        <f t="shared" si="331"/>
        <v>0</v>
      </c>
      <c r="AX571" s="1463">
        <f t="shared" si="332"/>
        <v>0</v>
      </c>
      <c r="AY571" s="4304">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305">
        <f t="shared" si="354"/>
        <v>0</v>
      </c>
    </row>
    <row r="572" spans="1:72">
      <c r="A572" s="4293"/>
      <c r="B572" s="4294"/>
      <c r="C572" s="4294"/>
      <c r="D572" s="4295"/>
      <c r="E572" s="4296">
        <f t="shared" si="326"/>
        <v>0</v>
      </c>
      <c r="F572" s="4297"/>
      <c r="G572" s="4298">
        <f t="shared" si="327"/>
        <v>0</v>
      </c>
      <c r="H572" s="4299">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4296">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3"/>
      <c r="AV572" s="1463">
        <f t="shared" si="330"/>
        <v>0</v>
      </c>
      <c r="AW572" s="1463">
        <f t="shared" si="331"/>
        <v>0</v>
      </c>
      <c r="AX572" s="1463">
        <f t="shared" si="332"/>
        <v>0</v>
      </c>
      <c r="AY572" s="4304">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305">
        <f t="shared" si="354"/>
        <v>0</v>
      </c>
    </row>
    <row r="573" spans="1:72">
      <c r="A573" s="4293"/>
      <c r="B573" s="4294"/>
      <c r="C573" s="4294"/>
      <c r="D573" s="4295"/>
      <c r="E573" s="4296">
        <f t="shared" si="326"/>
        <v>0</v>
      </c>
      <c r="F573" s="4297"/>
      <c r="G573" s="4298">
        <f t="shared" si="327"/>
        <v>0</v>
      </c>
      <c r="H573" s="4299">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4296">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3"/>
      <c r="AV573" s="1463">
        <f t="shared" si="330"/>
        <v>0</v>
      </c>
      <c r="AW573" s="1463">
        <f t="shared" si="331"/>
        <v>0</v>
      </c>
      <c r="AX573" s="1463">
        <f t="shared" si="332"/>
        <v>0</v>
      </c>
      <c r="AY573" s="4304">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305">
        <f t="shared" si="354"/>
        <v>0</v>
      </c>
    </row>
    <row r="574" spans="1:72">
      <c r="A574" s="4293"/>
      <c r="B574" s="4294"/>
      <c r="C574" s="4294"/>
      <c r="D574" s="4295"/>
      <c r="E574" s="4296">
        <f t="shared" si="326"/>
        <v>0</v>
      </c>
      <c r="F574" s="4297"/>
      <c r="G574" s="4298">
        <f t="shared" si="327"/>
        <v>0</v>
      </c>
      <c r="H574" s="4299">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4296">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3"/>
      <c r="AV574" s="1463">
        <f t="shared" si="330"/>
        <v>0</v>
      </c>
      <c r="AW574" s="1463">
        <f t="shared" si="331"/>
        <v>0</v>
      </c>
      <c r="AX574" s="1463">
        <f t="shared" si="332"/>
        <v>0</v>
      </c>
      <c r="AY574" s="4304">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305">
        <f t="shared" si="354"/>
        <v>0</v>
      </c>
    </row>
    <row r="575" spans="1:72">
      <c r="A575" s="4293"/>
      <c r="B575" s="4294"/>
      <c r="C575" s="4294"/>
      <c r="D575" s="4295"/>
      <c r="E575" s="4296">
        <f t="shared" si="326"/>
        <v>0</v>
      </c>
      <c r="F575" s="4297"/>
      <c r="G575" s="4298">
        <f t="shared" si="327"/>
        <v>0</v>
      </c>
      <c r="H575" s="4299">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4296">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3"/>
      <c r="AV575" s="1463">
        <f t="shared" si="330"/>
        <v>0</v>
      </c>
      <c r="AW575" s="1463">
        <f t="shared" si="331"/>
        <v>0</v>
      </c>
      <c r="AX575" s="1463">
        <f t="shared" si="332"/>
        <v>0</v>
      </c>
      <c r="AY575" s="4304">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305">
        <f t="shared" si="354"/>
        <v>0</v>
      </c>
    </row>
    <row r="576" spans="1:72">
      <c r="A576" s="4293"/>
      <c r="B576" s="4294"/>
      <c r="C576" s="4294"/>
      <c r="D576" s="4295"/>
      <c r="E576" s="4296">
        <f t="shared" si="326"/>
        <v>0</v>
      </c>
      <c r="F576" s="4297"/>
      <c r="G576" s="4298">
        <f t="shared" si="327"/>
        <v>0</v>
      </c>
      <c r="H576" s="4299">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4296">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3"/>
      <c r="AV576" s="1463">
        <f t="shared" si="330"/>
        <v>0</v>
      </c>
      <c r="AW576" s="1463">
        <f t="shared" si="331"/>
        <v>0</v>
      </c>
      <c r="AX576" s="1463">
        <f t="shared" si="332"/>
        <v>0</v>
      </c>
      <c r="AY576" s="4304">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305">
        <f t="shared" si="354"/>
        <v>0</v>
      </c>
    </row>
    <row r="577" spans="1:72">
      <c r="A577" s="4293"/>
      <c r="B577" s="4294"/>
      <c r="C577" s="4294"/>
      <c r="D577" s="4295"/>
      <c r="E577" s="4296">
        <f t="shared" si="326"/>
        <v>0</v>
      </c>
      <c r="F577" s="4297"/>
      <c r="G577" s="4298">
        <f t="shared" si="327"/>
        <v>0</v>
      </c>
      <c r="H577" s="4299">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4296">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3"/>
      <c r="AV577" s="1463">
        <f t="shared" si="330"/>
        <v>0</v>
      </c>
      <c r="AW577" s="1463">
        <f t="shared" si="331"/>
        <v>0</v>
      </c>
      <c r="AX577" s="1463">
        <f t="shared" si="332"/>
        <v>0</v>
      </c>
      <c r="AY577" s="4304">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305">
        <f t="shared" si="354"/>
        <v>0</v>
      </c>
    </row>
    <row r="578" spans="1:72">
      <c r="A578" s="4293"/>
      <c r="B578" s="4294"/>
      <c r="C578" s="4294"/>
      <c r="D578" s="4295"/>
      <c r="E578" s="4296">
        <f t="shared" si="326"/>
        <v>0</v>
      </c>
      <c r="F578" s="4297"/>
      <c r="G578" s="4298">
        <f t="shared" si="327"/>
        <v>0</v>
      </c>
      <c r="H578" s="4299">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4296">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3"/>
      <c r="AV578" s="1463">
        <f t="shared" si="330"/>
        <v>0</v>
      </c>
      <c r="AW578" s="1463">
        <f t="shared" si="331"/>
        <v>0</v>
      </c>
      <c r="AX578" s="1463">
        <f t="shared" si="332"/>
        <v>0</v>
      </c>
      <c r="AY578" s="4304">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305">
        <f t="shared" si="354"/>
        <v>0</v>
      </c>
    </row>
    <row r="579" spans="1:72">
      <c r="A579" s="4293"/>
      <c r="B579" s="4294"/>
      <c r="C579" s="4294"/>
      <c r="D579" s="4295"/>
      <c r="E579" s="4296">
        <f t="shared" si="326"/>
        <v>0</v>
      </c>
      <c r="F579" s="4297"/>
      <c r="G579" s="4298">
        <f t="shared" si="327"/>
        <v>0</v>
      </c>
      <c r="H579" s="4299">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4296">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3"/>
      <c r="AV579" s="1463">
        <f t="shared" si="330"/>
        <v>0</v>
      </c>
      <c r="AW579" s="1463">
        <f t="shared" si="331"/>
        <v>0</v>
      </c>
      <c r="AX579" s="1463">
        <f t="shared" si="332"/>
        <v>0</v>
      </c>
      <c r="AY579" s="4304">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305">
        <f t="shared" si="354"/>
        <v>0</v>
      </c>
    </row>
    <row r="580" spans="1:72">
      <c r="A580" s="4293"/>
      <c r="B580" s="4294"/>
      <c r="C580" s="4294"/>
      <c r="D580" s="4295"/>
      <c r="E580" s="4296">
        <f t="shared" si="326"/>
        <v>0</v>
      </c>
      <c r="F580" s="4297"/>
      <c r="G580" s="4298">
        <f t="shared" si="327"/>
        <v>0</v>
      </c>
      <c r="H580" s="4299">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4296">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3"/>
      <c r="AV580" s="1463">
        <f t="shared" si="330"/>
        <v>0</v>
      </c>
      <c r="AW580" s="1463">
        <f t="shared" si="331"/>
        <v>0</v>
      </c>
      <c r="AX580" s="1463">
        <f t="shared" si="332"/>
        <v>0</v>
      </c>
      <c r="AY580" s="4304">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305">
        <f t="shared" si="354"/>
        <v>0</v>
      </c>
    </row>
    <row r="581" spans="1:72">
      <c r="A581" s="4293"/>
      <c r="B581" s="4294"/>
      <c r="C581" s="4294"/>
      <c r="D581" s="4295"/>
      <c r="E581" s="4296">
        <f t="shared" si="326"/>
        <v>0</v>
      </c>
      <c r="F581" s="4297"/>
      <c r="G581" s="4298">
        <f t="shared" si="327"/>
        <v>0</v>
      </c>
      <c r="H581" s="4299">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4296">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3"/>
      <c r="AV581" s="1463">
        <f t="shared" si="330"/>
        <v>0</v>
      </c>
      <c r="AW581" s="1463">
        <f t="shared" si="331"/>
        <v>0</v>
      </c>
      <c r="AX581" s="1463">
        <f t="shared" si="332"/>
        <v>0</v>
      </c>
      <c r="AY581" s="4304">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305">
        <f t="shared" si="354"/>
        <v>0</v>
      </c>
    </row>
    <row r="582" spans="1:72">
      <c r="A582" s="4293"/>
      <c r="B582" s="4294"/>
      <c r="C582" s="4294"/>
      <c r="D582" s="4295"/>
      <c r="E582" s="4296">
        <f t="shared" si="326"/>
        <v>0</v>
      </c>
      <c r="F582" s="4297"/>
      <c r="G582" s="4298">
        <f t="shared" si="327"/>
        <v>0</v>
      </c>
      <c r="H582" s="4299">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4296">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3"/>
      <c r="AV582" s="1463">
        <f t="shared" si="330"/>
        <v>0</v>
      </c>
      <c r="AW582" s="1463">
        <f t="shared" si="331"/>
        <v>0</v>
      </c>
      <c r="AX582" s="1463">
        <f t="shared" si="332"/>
        <v>0</v>
      </c>
      <c r="AY582" s="4304">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305">
        <f t="shared" si="354"/>
        <v>0</v>
      </c>
    </row>
    <row r="583" spans="1:72">
      <c r="A583" s="4293"/>
      <c r="B583" s="4294"/>
      <c r="C583" s="4294"/>
      <c r="D583" s="4295"/>
      <c r="E583" s="4296">
        <f t="shared" si="326"/>
        <v>0</v>
      </c>
      <c r="F583" s="4297"/>
      <c r="G583" s="4298">
        <f t="shared" si="327"/>
        <v>0</v>
      </c>
      <c r="H583" s="4299">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4296">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3"/>
      <c r="AV583" s="1463">
        <f t="shared" si="330"/>
        <v>0</v>
      </c>
      <c r="AW583" s="1463">
        <f t="shared" si="331"/>
        <v>0</v>
      </c>
      <c r="AX583" s="1463">
        <f t="shared" si="332"/>
        <v>0</v>
      </c>
      <c r="AY583" s="4304">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305">
        <f t="shared" si="354"/>
        <v>0</v>
      </c>
    </row>
    <row r="584" spans="1:72">
      <c r="A584" s="4293"/>
      <c r="B584" s="4294"/>
      <c r="C584" s="4294"/>
      <c r="D584" s="4295"/>
      <c r="E584" s="4296">
        <f t="shared" si="326"/>
        <v>0</v>
      </c>
      <c r="F584" s="4297"/>
      <c r="G584" s="4298">
        <f t="shared" si="327"/>
        <v>0</v>
      </c>
      <c r="H584" s="4299">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4296">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3"/>
      <c r="AV584" s="1463">
        <f t="shared" si="330"/>
        <v>0</v>
      </c>
      <c r="AW584" s="1463">
        <f t="shared" si="331"/>
        <v>0</v>
      </c>
      <c r="AX584" s="1463">
        <f t="shared" si="332"/>
        <v>0</v>
      </c>
      <c r="AY584" s="4304">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305">
        <f t="shared" si="354"/>
        <v>0</v>
      </c>
    </row>
    <row r="585" spans="1:72">
      <c r="A585" s="4293"/>
      <c r="B585" s="4293"/>
      <c r="C585" s="4293"/>
      <c r="D585" s="4295"/>
      <c r="E585" s="4296">
        <f t="shared" si="326"/>
        <v>0</v>
      </c>
      <c r="F585" s="1850"/>
      <c r="G585" s="4298">
        <f t="shared" si="327"/>
        <v>0</v>
      </c>
      <c r="H585" s="4299">
        <f t="shared" si="328"/>
        <v>0</v>
      </c>
      <c r="I585" s="4306"/>
      <c r="J585" s="4306"/>
      <c r="K585" s="4300"/>
      <c r="L585" s="4300"/>
      <c r="M585" s="4300"/>
      <c r="N585" s="4300"/>
      <c r="O585" s="4300"/>
      <c r="P585" s="4300"/>
      <c r="Q585" s="4300"/>
      <c r="R585" s="4300"/>
      <c r="S585" s="4300"/>
      <c r="T585" s="4300"/>
      <c r="U585" s="4300"/>
      <c r="V585" s="4300"/>
      <c r="W585" s="4300"/>
      <c r="X585" s="4300"/>
      <c r="Y585" s="4300"/>
      <c r="Z585" s="4300"/>
      <c r="AA585" s="4300"/>
      <c r="AB585" s="4300"/>
      <c r="AC585" s="4296">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7"/>
      <c r="AV585" s="1463">
        <f t="shared" si="330"/>
        <v>0</v>
      </c>
      <c r="AW585" s="1463">
        <f t="shared" si="331"/>
        <v>0</v>
      </c>
      <c r="AX585" s="1463">
        <f t="shared" si="332"/>
        <v>0</v>
      </c>
      <c r="AY585" s="4304">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305">
        <f t="shared" si="354"/>
        <v>0</v>
      </c>
    </row>
    <row r="586" spans="1:72">
      <c r="A586" s="4293"/>
      <c r="B586" s="4293"/>
      <c r="C586" s="4293"/>
      <c r="D586" s="4295"/>
      <c r="E586" s="4296">
        <f t="shared" si="326"/>
        <v>0</v>
      </c>
      <c r="F586" s="1850"/>
      <c r="G586" s="4298">
        <f t="shared" si="327"/>
        <v>0</v>
      </c>
      <c r="H586" s="4299">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4296">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7"/>
      <c r="AV586" s="1463">
        <f t="shared" si="330"/>
        <v>0</v>
      </c>
      <c r="AW586" s="1463">
        <f t="shared" si="331"/>
        <v>0</v>
      </c>
      <c r="AX586" s="1463">
        <f t="shared" si="332"/>
        <v>0</v>
      </c>
      <c r="AY586" s="4304">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305">
        <f t="shared" si="354"/>
        <v>0</v>
      </c>
    </row>
    <row r="587" spans="1:72">
      <c r="A587" s="4293"/>
      <c r="B587" s="4293"/>
      <c r="C587" s="4293"/>
      <c r="D587" s="4295"/>
      <c r="E587" s="4296">
        <f t="shared" si="326"/>
        <v>0</v>
      </c>
      <c r="F587" s="1850"/>
      <c r="G587" s="4298">
        <f t="shared" si="327"/>
        <v>0</v>
      </c>
      <c r="H587" s="4299">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4296">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7"/>
      <c r="AV587" s="1463">
        <f t="shared" si="330"/>
        <v>0</v>
      </c>
      <c r="AW587" s="1463">
        <f t="shared" si="331"/>
        <v>0</v>
      </c>
      <c r="AX587" s="1463">
        <f t="shared" si="332"/>
        <v>0</v>
      </c>
      <c r="AY587" s="4304">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305">
        <f t="shared" si="354"/>
        <v>0</v>
      </c>
    </row>
    <row r="588" s="4220"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21" customFormat="1" spans="1:72">
      <c r="C589" s="4310"/>
      <c r="D589" s="4310"/>
    </row>
    <row r="590" s="4221" customFormat="1" spans="1:72">
      <c r="C590" s="4310"/>
      <c r="D590" s="4310"/>
    </row>
    <row r="593" spans="2:2">
      <c r="B593" s="4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454545454545" defaultRowHeight="14"/>
  <cols>
    <col min="1" max="1" width="12.1272727272727" style="4137" customWidth="1"/>
    <col min="2" max="2" width="10.2545454545455" style="4137" customWidth="1"/>
    <col min="3" max="3" width="18.5" style="4137" customWidth="1"/>
    <col min="4" max="4" width="11.6272727272727" style="4137" customWidth="1"/>
    <col min="5" max="5" width="13.3727272727273" style="4137" customWidth="1"/>
    <col min="6" max="8" width="11.5" style="4137" customWidth="1"/>
    <col min="9" max="9" width="11.1272727272727" style="4137" customWidth="1"/>
    <col min="10" max="10" width="3.12727272727273" style="4138" customWidth="1"/>
    <col min="11" max="16" width="10" style="4137" customWidth="1"/>
    <col min="17" max="17" width="2.62727272727273" style="4137" customWidth="1"/>
    <col min="18" max="18" width="9.62727272727273" style="4137" customWidth="1"/>
    <col min="19" max="19" width="10.6272727272727" style="4137" customWidth="1"/>
    <col min="20" max="16384" width="9.25454545454545" style="4137"/>
  </cols>
  <sheetData>
    <row r="1" ht="18.25" spans="1:16">
      <c r="A1" s="3392" t="s">
        <v>627</v>
      </c>
      <c r="B1" s="3495"/>
      <c r="C1" s="3495"/>
      <c r="D1" s="3495"/>
      <c r="E1" s="3495"/>
      <c r="F1" s="3495"/>
      <c r="G1" s="3495"/>
      <c r="H1" s="3495"/>
      <c r="I1" s="3495"/>
      <c r="J1" s="3495"/>
      <c r="K1" s="3495"/>
      <c r="L1" s="3495"/>
      <c r="M1" s="3495"/>
      <c r="N1" s="3495"/>
      <c r="O1" s="3495"/>
      <c r="P1" s="3495"/>
    </row>
    <row r="2" spans="1:16">
      <c r="A2" s="762" t="s">
        <v>628</v>
      </c>
      <c r="B2" s="762"/>
      <c r="C2" s="762"/>
      <c r="D2" s="762" t="s">
        <v>629</v>
      </c>
      <c r="E2" s="4139" t="s">
        <v>630</v>
      </c>
      <c r="F2" s="4140"/>
      <c r="G2" s="4141"/>
      <c r="H2" s="4142"/>
      <c r="I2" s="3719" t="s">
        <v>631</v>
      </c>
      <c r="J2" s="4140"/>
      <c r="K2" s="4140"/>
      <c r="L2" s="4140"/>
      <c r="M2" s="4140"/>
      <c r="N2" s="1668"/>
      <c r="O2" s="4140"/>
      <c r="P2" s="4140"/>
    </row>
    <row r="3" ht="14.75" spans="1:16">
      <c r="A3" s="4143" t="s">
        <v>632</v>
      </c>
      <c r="B3" s="4143"/>
      <c r="C3" s="4143"/>
      <c r="D3" s="4144">
        <f>'数据-基础表'!AY6</f>
        <v>9999.1</v>
      </c>
      <c r="E3" s="4144">
        <f>'数据-基础表'!AZ5</f>
        <v>16724.51</v>
      </c>
      <c r="F3" s="4140"/>
      <c r="G3" s="4145"/>
      <c r="H3" s="3430" t="s">
        <v>633</v>
      </c>
      <c r="I3" s="4146">
        <f>ROUND('数据-基础表'!B3/'数据-基础表'!A3,2)</f>
        <v>1.67</v>
      </c>
      <c r="J3" s="4140"/>
      <c r="K3" s="4140"/>
      <c r="L3" s="4140"/>
      <c r="M3" s="4140"/>
      <c r="N3" s="1668"/>
      <c r="O3" s="4140"/>
      <c r="P3" s="4140"/>
    </row>
    <row r="4" spans="1:16">
      <c r="A4" s="3717"/>
      <c r="B4" s="3718"/>
      <c r="C4" s="4147"/>
      <c r="D4" s="756" t="s">
        <v>629</v>
      </c>
      <c r="E4" s="4148" t="s">
        <v>630</v>
      </c>
      <c r="F4" s="4140"/>
      <c r="G4" s="4149" t="s">
        <v>634</v>
      </c>
      <c r="H4" s="3430" t="s">
        <v>635</v>
      </c>
      <c r="I4" s="4146">
        <f>ROUND(SUMIF('数据-基础表'!I9:AS9,"地上",'数据-基础表'!I5:AS5)/'数据-基础表'!A3,2)</f>
        <v>1.62</v>
      </c>
      <c r="J4" s="4140"/>
      <c r="K4" s="4140"/>
      <c r="L4" s="4140"/>
      <c r="M4" s="4140"/>
      <c r="N4" s="1668"/>
      <c r="O4" s="4140"/>
      <c r="P4" s="4140"/>
    </row>
    <row r="5" spans="1:16">
      <c r="A5" s="4150" t="s">
        <v>636</v>
      </c>
      <c r="B5" s="1464" t="s">
        <v>637</v>
      </c>
      <c r="C5" s="1464"/>
      <c r="D5" s="3969">
        <f>ROUND($D$3*E5/$E$3,2)</f>
        <v>0</v>
      </c>
      <c r="E5" s="3746">
        <f>SUMIF('数据-基础表'!$11:$11,"住宅",'数据-基础表'!$5:$5)</f>
        <v>0</v>
      </c>
      <c r="F5" s="4140"/>
      <c r="G5" s="4145"/>
      <c r="H5" s="3430" t="s">
        <v>633</v>
      </c>
      <c r="I5" s="4146">
        <f>ROUND(E31/D31,2)</f>
        <v>1.67</v>
      </c>
      <c r="J5" s="4140"/>
      <c r="K5" s="4140"/>
      <c r="L5" s="4140"/>
      <c r="M5" s="4140"/>
      <c r="N5" s="4140"/>
      <c r="O5" s="4140"/>
      <c r="P5" s="4140"/>
    </row>
    <row r="6" ht="14.75" spans="1:16">
      <c r="A6" s="4151"/>
      <c r="B6" s="1464" t="s">
        <v>638</v>
      </c>
      <c r="C6" s="1464"/>
      <c r="D6" s="3969">
        <f>ROUND($D$3*E6/$E$3,2)</f>
        <v>9999.1</v>
      </c>
      <c r="E6" s="3746">
        <f>E3-E5</f>
        <v>16724.51</v>
      </c>
      <c r="F6" s="4140"/>
      <c r="G6" s="4152" t="s">
        <v>639</v>
      </c>
      <c r="H6" s="3438" t="s">
        <v>635</v>
      </c>
      <c r="I6" s="4153">
        <f>ROUND(F31/D31,2)</f>
        <v>1.62</v>
      </c>
      <c r="J6" s="4140"/>
      <c r="K6" s="4140"/>
      <c r="L6" s="4140"/>
      <c r="M6" s="4140"/>
      <c r="N6" s="4140"/>
      <c r="O6" s="4140"/>
      <c r="P6" s="4140"/>
    </row>
    <row r="7" ht="14.75" spans="1:16">
      <c r="A7" s="4154"/>
      <c r="B7" s="4155"/>
      <c r="C7" s="4156"/>
      <c r="D7" s="756" t="s">
        <v>629</v>
      </c>
      <c r="E7" s="4157" t="s">
        <v>640</v>
      </c>
      <c r="F7" s="4140"/>
      <c r="G7" s="4158" t="s">
        <v>641</v>
      </c>
      <c r="H7" s="4159"/>
      <c r="I7" s="4160"/>
      <c r="J7" s="4140"/>
      <c r="K7" s="4140"/>
      <c r="L7" s="4140"/>
      <c r="M7" s="4140"/>
      <c r="N7" s="4140"/>
      <c r="O7" s="4140"/>
      <c r="P7" s="4140"/>
    </row>
    <row r="8" spans="1:16">
      <c r="A8" s="4150" t="s">
        <v>642</v>
      </c>
      <c r="B8" s="4161" t="s">
        <v>643</v>
      </c>
      <c r="C8" s="1287" t="s">
        <v>644</v>
      </c>
      <c r="D8" s="3969">
        <f t="shared" ref="D8:D15" si="0">ROUND($D$3*E8/$E$3,2)</f>
        <v>9662.83</v>
      </c>
      <c r="E8" s="3746">
        <f>SUMIF('数据-基础表'!BB10:BK10,"地上",'数据-基础表'!BB5:BK5)</f>
        <v>16162.07</v>
      </c>
      <c r="F8" s="4140"/>
      <c r="G8" s="4162"/>
      <c r="H8" s="4162"/>
      <c r="I8" s="4140"/>
      <c r="J8" s="4140"/>
      <c r="K8" s="4140"/>
      <c r="L8" s="4140"/>
      <c r="M8" s="4140"/>
      <c r="N8" s="4140"/>
      <c r="O8" s="4140"/>
      <c r="P8" s="4140"/>
    </row>
    <row r="9" spans="1:16">
      <c r="A9" s="4163"/>
      <c r="B9" s="4164"/>
      <c r="C9" s="1287" t="s">
        <v>645</v>
      </c>
      <c r="D9" s="3969">
        <f t="shared" si="0"/>
        <v>0</v>
      </c>
      <c r="E9" s="4165"/>
      <c r="F9" s="4140"/>
      <c r="G9" s="4162"/>
      <c r="H9" s="4162"/>
      <c r="I9" s="4140"/>
      <c r="J9" s="4140"/>
      <c r="K9" s="4140"/>
      <c r="L9" s="4140"/>
      <c r="M9" s="4140"/>
      <c r="N9" s="4140"/>
      <c r="O9" s="4140"/>
      <c r="P9" s="4140"/>
    </row>
    <row r="10" spans="1:16">
      <c r="A10" s="4163"/>
      <c r="B10" s="4164"/>
      <c r="C10" s="1287" t="s">
        <v>646</v>
      </c>
      <c r="D10" s="3969">
        <f t="shared" si="0"/>
        <v>0</v>
      </c>
      <c r="E10" s="3746">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87" t="s">
        <v>647</v>
      </c>
      <c r="D11" s="3969">
        <f t="shared" si="0"/>
        <v>0</v>
      </c>
      <c r="E11" s="3746">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87" t="s">
        <v>648</v>
      </c>
      <c r="D12" s="3969">
        <f t="shared" si="0"/>
        <v>336.27</v>
      </c>
      <c r="E12" s="3746">
        <f>SUMPRODUCT(('数据-基础表'!BB10:BK10="地下")*('数据-基础表'!BB11:BK11="仓储")*('数据-基础表'!BB5:BK5))</f>
        <v>562.44</v>
      </c>
      <c r="F12" s="4140"/>
      <c r="G12" s="4162"/>
      <c r="H12" s="4162"/>
      <c r="I12" s="4140"/>
      <c r="J12" s="4140"/>
      <c r="K12" s="4140"/>
      <c r="L12" s="4140"/>
      <c r="M12" s="4140"/>
      <c r="N12" s="4140"/>
      <c r="O12" s="4140"/>
      <c r="P12" s="4140"/>
    </row>
    <row r="13" spans="1:16">
      <c r="A13" s="4163"/>
      <c r="B13" s="4164"/>
      <c r="C13" s="1287" t="s">
        <v>649</v>
      </c>
      <c r="D13" s="3969">
        <f t="shared" si="0"/>
        <v>0</v>
      </c>
      <c r="E13" s="3746">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87" t="s">
        <v>650</v>
      </c>
      <c r="D14" s="3969">
        <f t="shared" si="0"/>
        <v>0</v>
      </c>
      <c r="E14" s="3746">
        <f>SUMPRODUCT(('数据-基础表'!BB10:BK10="地下")*('数据-基础表'!BB11:BK11="车库—商业")*('数据-基础表'!BB5:BK5))</f>
        <v>0</v>
      </c>
      <c r="F14" s="4140"/>
      <c r="G14" s="4162"/>
      <c r="H14" s="4162"/>
      <c r="I14" s="4140"/>
      <c r="J14" s="4140"/>
      <c r="K14" s="4140"/>
      <c r="L14" s="4140"/>
      <c r="M14" s="4140"/>
      <c r="N14" s="4140"/>
      <c r="O14" s="4140"/>
      <c r="P14" s="4140"/>
    </row>
    <row r="15" ht="14.75" spans="1:16">
      <c r="A15" s="4163"/>
      <c r="B15" s="4164"/>
      <c r="C15" s="1287" t="s">
        <v>651</v>
      </c>
      <c r="D15" s="3969">
        <f t="shared" si="0"/>
        <v>0</v>
      </c>
      <c r="E15" s="3746">
        <f>SUMPRODUCT(('数据-基础表'!BB10:BK10="地下")*('数据-基础表'!BB11:BK11="车库—办公")*('数据-基础表'!BB5:BK5))</f>
        <v>0</v>
      </c>
      <c r="F15" s="4140"/>
      <c r="G15" s="4162"/>
      <c r="H15" s="4162"/>
      <c r="I15" s="4140"/>
      <c r="J15" s="4140"/>
      <c r="K15" s="4140"/>
      <c r="L15" s="4140"/>
      <c r="M15" s="4140"/>
      <c r="N15" s="4140"/>
      <c r="O15" s="4140"/>
      <c r="P15" s="4140"/>
    </row>
    <row r="16" ht="14.75" spans="1:16">
      <c r="A16" s="4151"/>
      <c r="B16" s="4164"/>
      <c r="C16" s="4161" t="s">
        <v>652</v>
      </c>
      <c r="D16" s="3420">
        <f>SUM(D8:D15)</f>
        <v>9999.1</v>
      </c>
      <c r="E16" s="4166">
        <f>SUM(E8:E15)</f>
        <v>16724.51</v>
      </c>
      <c r="F16" s="4140"/>
      <c r="G16" s="4162"/>
      <c r="H16" s="4167" t="s">
        <v>653</v>
      </c>
      <c r="I16" s="4168"/>
      <c r="J16" s="3495"/>
      <c r="K16" s="4169" t="s">
        <v>653</v>
      </c>
      <c r="L16" s="4170"/>
      <c r="M16" s="4170"/>
      <c r="N16" s="4170"/>
      <c r="O16" s="4170"/>
      <c r="P16" s="4171"/>
    </row>
    <row r="17" spans="1:19">
      <c r="A17" s="3930" t="s">
        <v>654</v>
      </c>
      <c r="B17" s="4172" t="s">
        <v>655</v>
      </c>
      <c r="C17" s="3929" t="s">
        <v>656</v>
      </c>
      <c r="D17" s="4170" t="s">
        <v>629</v>
      </c>
      <c r="E17" s="4173" t="s">
        <v>630</v>
      </c>
      <c r="F17" s="4174"/>
      <c r="G17" s="4175"/>
      <c r="H17" s="4176" t="s">
        <v>657</v>
      </c>
      <c r="I17" s="4177" t="s">
        <v>658</v>
      </c>
      <c r="J17" s="3495"/>
      <c r="K17" s="4178" t="s">
        <v>659</v>
      </c>
      <c r="L17" s="4179"/>
      <c r="M17" s="4180"/>
      <c r="N17" s="4178" t="s">
        <v>660</v>
      </c>
      <c r="O17" s="4179"/>
      <c r="P17" s="4180"/>
      <c r="R17" s="4181" t="s">
        <v>661</v>
      </c>
      <c r="S17" s="4182"/>
    </row>
    <row r="18" spans="1:19">
      <c r="A18" s="4163"/>
      <c r="B18" s="4183"/>
      <c r="C18" s="4184"/>
      <c r="D18" s="4185"/>
      <c r="E18" s="4186" t="s">
        <v>662</v>
      </c>
      <c r="F18" s="4187" t="s">
        <v>635</v>
      </c>
      <c r="G18" s="4188" t="s">
        <v>663</v>
      </c>
      <c r="H18" s="4014" t="s">
        <v>664</v>
      </c>
      <c r="I18" s="4189" t="s">
        <v>665</v>
      </c>
      <c r="J18" s="3495"/>
      <c r="K18" s="4014" t="s">
        <v>666</v>
      </c>
      <c r="L18" s="3740" t="s">
        <v>667</v>
      </c>
      <c r="M18" s="4190" t="s">
        <v>668</v>
      </c>
      <c r="N18" s="4014" t="s">
        <v>666</v>
      </c>
      <c r="O18" s="3740" t="s">
        <v>667</v>
      </c>
      <c r="P18" s="4190" t="s">
        <v>668</v>
      </c>
      <c r="R18" s="3430" t="s">
        <v>664</v>
      </c>
      <c r="S18" s="3430" t="s">
        <v>665</v>
      </c>
    </row>
    <row r="19" spans="1:19">
      <c r="A19" s="4191"/>
      <c r="B19" s="4161" t="s">
        <v>669</v>
      </c>
      <c r="C19" s="4192" t="s">
        <v>617</v>
      </c>
      <c r="D19" s="3969">
        <f>ROUND($D$3*E19/$E$3,2)</f>
        <v>9999.1</v>
      </c>
      <c r="E19" s="3969">
        <f t="shared" ref="E19:E26" si="1">SUM(F19:G19)</f>
        <v>16724.51</v>
      </c>
      <c r="F19" s="4193">
        <f>'数据-基础表'!I13</f>
        <v>16162.07</v>
      </c>
      <c r="G19" s="3505">
        <f>'数据-基础表'!K13</f>
        <v>562.44</v>
      </c>
      <c r="H19" s="4194">
        <f>ROUND($D$3*I19/$E$3,2)</f>
        <v>0</v>
      </c>
      <c r="I19" s="3746">
        <f t="shared" ref="I19:I26" si="2">IF($I$17="自定义",P19,M19)</f>
        <v>0</v>
      </c>
      <c r="J19" s="3495"/>
      <c r="K19" s="4194">
        <f t="shared" ref="K19:K26" si="3">ROUND(E$28*E19/E$27,2)</f>
        <v>0</v>
      </c>
      <c r="L19" s="3969">
        <f t="shared" ref="L19:L26" si="4">ROUND(IF(COUNTIF(C19,"*住宅*")&gt;0,E$29*E19/E$32,0),2)</f>
        <v>0</v>
      </c>
      <c r="M19" s="3746">
        <f>K19+L19</f>
        <v>0</v>
      </c>
      <c r="N19" s="4195"/>
      <c r="O19" s="3411"/>
      <c r="P19" s="3746">
        <f>N19+O19</f>
        <v>0</v>
      </c>
      <c r="R19" s="3969">
        <f t="shared" ref="R19:S26" si="5">D19+H19</f>
        <v>9999.1</v>
      </c>
      <c r="S19" s="3969">
        <f t="shared" si="5"/>
        <v>16724.51</v>
      </c>
    </row>
    <row r="20" spans="1:19">
      <c r="A20" s="4196"/>
      <c r="B20" s="4161" t="s">
        <v>669</v>
      </c>
      <c r="C20" s="4192"/>
      <c r="D20" s="3969">
        <f t="shared" ref="D20:D26" si="6">ROUND($D$3*E20/$E$3,2)</f>
        <v>0</v>
      </c>
      <c r="E20" s="3969">
        <f t="shared" si="1"/>
        <v>0</v>
      </c>
      <c r="F20" s="4193"/>
      <c r="G20" s="3505"/>
      <c r="H20" s="4194">
        <f t="shared" ref="H20:H26" si="7">ROUND($D$3*I20/$E$3,2)</f>
        <v>0</v>
      </c>
      <c r="I20" s="3746">
        <f t="shared" si="2"/>
        <v>0</v>
      </c>
      <c r="J20" s="3495"/>
      <c r="K20" s="4194">
        <f t="shared" si="3"/>
        <v>0</v>
      </c>
      <c r="L20" s="3969">
        <f t="shared" si="4"/>
        <v>0</v>
      </c>
      <c r="M20" s="3746">
        <f t="shared" ref="M20:M26" si="8">K20+L20</f>
        <v>0</v>
      </c>
      <c r="N20" s="4195"/>
      <c r="O20" s="3411"/>
      <c r="P20" s="3746">
        <f t="shared" ref="P20:P26" si="9">N20+O20</f>
        <v>0</v>
      </c>
      <c r="R20" s="3969">
        <f t="shared" si="5"/>
        <v>0</v>
      </c>
      <c r="S20" s="3969">
        <f t="shared" si="5"/>
        <v>0</v>
      </c>
    </row>
    <row r="21" spans="1:19">
      <c r="A21" s="4196"/>
      <c r="B21" s="4161" t="s">
        <v>669</v>
      </c>
      <c r="C21" s="4192"/>
      <c r="D21" s="3969">
        <f t="shared" si="6"/>
        <v>0</v>
      </c>
      <c r="E21" s="3969">
        <f t="shared" si="1"/>
        <v>0</v>
      </c>
      <c r="F21" s="4193"/>
      <c r="G21" s="3505"/>
      <c r="H21" s="4194">
        <f t="shared" si="7"/>
        <v>0</v>
      </c>
      <c r="I21" s="3746">
        <f t="shared" si="2"/>
        <v>0</v>
      </c>
      <c r="J21" s="3495"/>
      <c r="K21" s="4194">
        <f t="shared" si="3"/>
        <v>0</v>
      </c>
      <c r="L21" s="3969">
        <f t="shared" si="4"/>
        <v>0</v>
      </c>
      <c r="M21" s="3746">
        <f t="shared" si="8"/>
        <v>0</v>
      </c>
      <c r="N21" s="4195"/>
      <c r="O21" s="3411"/>
      <c r="P21" s="3746">
        <f t="shared" si="9"/>
        <v>0</v>
      </c>
      <c r="R21" s="3969">
        <f t="shared" si="5"/>
        <v>0</v>
      </c>
      <c r="S21" s="3969">
        <f t="shared" si="5"/>
        <v>0</v>
      </c>
    </row>
    <row r="22" spans="1:19">
      <c r="A22" s="4196"/>
      <c r="B22" s="4161" t="s">
        <v>669</v>
      </c>
      <c r="C22" s="4197"/>
      <c r="D22" s="3969">
        <f t="shared" si="6"/>
        <v>0</v>
      </c>
      <c r="E22" s="3969">
        <f t="shared" si="1"/>
        <v>0</v>
      </c>
      <c r="F22" s="4198"/>
      <c r="G22" s="4199"/>
      <c r="H22" s="4194">
        <f t="shared" si="7"/>
        <v>0</v>
      </c>
      <c r="I22" s="3746">
        <f t="shared" si="2"/>
        <v>0</v>
      </c>
      <c r="J22" s="3495"/>
      <c r="K22" s="4194">
        <f t="shared" si="3"/>
        <v>0</v>
      </c>
      <c r="L22" s="3969">
        <f t="shared" si="4"/>
        <v>0</v>
      </c>
      <c r="M22" s="3746">
        <f t="shared" si="8"/>
        <v>0</v>
      </c>
      <c r="N22" s="4195"/>
      <c r="O22" s="3411"/>
      <c r="P22" s="3746">
        <f t="shared" si="9"/>
        <v>0</v>
      </c>
      <c r="R22" s="3969">
        <f t="shared" si="5"/>
        <v>0</v>
      </c>
      <c r="S22" s="3969">
        <f t="shared" si="5"/>
        <v>0</v>
      </c>
    </row>
    <row r="23" spans="1:19">
      <c r="A23" s="4196"/>
      <c r="B23" s="4161" t="s">
        <v>669</v>
      </c>
      <c r="C23" s="4197"/>
      <c r="D23" s="3969">
        <f t="shared" si="6"/>
        <v>0</v>
      </c>
      <c r="E23" s="3969">
        <f t="shared" si="1"/>
        <v>0</v>
      </c>
      <c r="F23" s="4198"/>
      <c r="G23" s="4199"/>
      <c r="H23" s="4194">
        <f t="shared" si="7"/>
        <v>0</v>
      </c>
      <c r="I23" s="3746">
        <f t="shared" si="2"/>
        <v>0</v>
      </c>
      <c r="J23" s="3495"/>
      <c r="K23" s="4194">
        <f t="shared" si="3"/>
        <v>0</v>
      </c>
      <c r="L23" s="3969">
        <f t="shared" si="4"/>
        <v>0</v>
      </c>
      <c r="M23" s="3746">
        <f t="shared" si="8"/>
        <v>0</v>
      </c>
      <c r="N23" s="4195"/>
      <c r="O23" s="3411"/>
      <c r="P23" s="3746">
        <f t="shared" si="9"/>
        <v>0</v>
      </c>
      <c r="R23" s="3969">
        <f t="shared" si="5"/>
        <v>0</v>
      </c>
      <c r="S23" s="3969">
        <f t="shared" si="5"/>
        <v>0</v>
      </c>
    </row>
    <row r="24" spans="1:19">
      <c r="A24" s="4196"/>
      <c r="B24" s="4161" t="s">
        <v>669</v>
      </c>
      <c r="C24" s="4197"/>
      <c r="D24" s="3969">
        <f t="shared" si="6"/>
        <v>0</v>
      </c>
      <c r="E24" s="3969">
        <f t="shared" si="1"/>
        <v>0</v>
      </c>
      <c r="F24" s="4198"/>
      <c r="G24" s="4199"/>
      <c r="H24" s="4194">
        <f t="shared" si="7"/>
        <v>0</v>
      </c>
      <c r="I24" s="3746">
        <f t="shared" si="2"/>
        <v>0</v>
      </c>
      <c r="J24" s="3495"/>
      <c r="K24" s="4194">
        <f t="shared" si="3"/>
        <v>0</v>
      </c>
      <c r="L24" s="3969">
        <f t="shared" si="4"/>
        <v>0</v>
      </c>
      <c r="M24" s="3746">
        <f t="shared" si="8"/>
        <v>0</v>
      </c>
      <c r="N24" s="4195"/>
      <c r="O24" s="3411"/>
      <c r="P24" s="3746">
        <f t="shared" si="9"/>
        <v>0</v>
      </c>
      <c r="R24" s="3969">
        <f t="shared" si="5"/>
        <v>0</v>
      </c>
      <c r="S24" s="3969">
        <f t="shared" si="5"/>
        <v>0</v>
      </c>
    </row>
    <row r="25" spans="1:19">
      <c r="A25" s="4196"/>
      <c r="B25" s="4161" t="s">
        <v>669</v>
      </c>
      <c r="C25" s="4197"/>
      <c r="D25" s="3969">
        <f t="shared" si="6"/>
        <v>0</v>
      </c>
      <c r="E25" s="3969">
        <f t="shared" si="1"/>
        <v>0</v>
      </c>
      <c r="F25" s="4198"/>
      <c r="G25" s="4199"/>
      <c r="H25" s="4200">
        <f t="shared" si="7"/>
        <v>0</v>
      </c>
      <c r="I25" s="3746">
        <f t="shared" si="2"/>
        <v>0</v>
      </c>
      <c r="J25" s="3495"/>
      <c r="K25" s="4194">
        <f t="shared" si="3"/>
        <v>0</v>
      </c>
      <c r="L25" s="3969">
        <f t="shared" si="4"/>
        <v>0</v>
      </c>
      <c r="M25" s="3746">
        <f t="shared" si="8"/>
        <v>0</v>
      </c>
      <c r="N25" s="4195"/>
      <c r="O25" s="3411"/>
      <c r="P25" s="3746">
        <f t="shared" si="9"/>
        <v>0</v>
      </c>
      <c r="R25" s="3969">
        <f t="shared" si="5"/>
        <v>0</v>
      </c>
      <c r="S25" s="3969">
        <f t="shared" si="5"/>
        <v>0</v>
      </c>
    </row>
    <row r="26" spans="1:19">
      <c r="A26" s="4196"/>
      <c r="B26" s="4161" t="s">
        <v>669</v>
      </c>
      <c r="C26" s="4201"/>
      <c r="D26" s="3969">
        <f t="shared" si="6"/>
        <v>0</v>
      </c>
      <c r="E26" s="3969">
        <f t="shared" si="1"/>
        <v>0</v>
      </c>
      <c r="F26" s="4198"/>
      <c r="G26" s="4199"/>
      <c r="H26" s="4200">
        <f t="shared" si="7"/>
        <v>0</v>
      </c>
      <c r="I26" s="3746">
        <f t="shared" si="2"/>
        <v>0</v>
      </c>
      <c r="J26" s="3495"/>
      <c r="K26" s="4200">
        <f t="shared" si="3"/>
        <v>0</v>
      </c>
      <c r="L26" s="3420">
        <f t="shared" si="4"/>
        <v>0</v>
      </c>
      <c r="M26" s="4166">
        <f t="shared" si="8"/>
        <v>0</v>
      </c>
      <c r="N26" s="4202"/>
      <c r="O26" s="3410"/>
      <c r="P26" s="4166">
        <f t="shared" si="9"/>
        <v>0</v>
      </c>
      <c r="R26" s="3969">
        <f t="shared" si="5"/>
        <v>0</v>
      </c>
      <c r="S26" s="3969">
        <f t="shared" si="5"/>
        <v>0</v>
      </c>
    </row>
    <row r="27" ht="14.75" spans="1:19">
      <c r="A27" s="4196"/>
      <c r="B27" s="1287"/>
      <c r="C27" s="3724" t="s">
        <v>670</v>
      </c>
      <c r="D27" s="768">
        <f>SUM(D19:D26)</f>
        <v>9999.1</v>
      </c>
      <c r="E27" s="768">
        <f>IF(SUM(E19:E26)='数据-基础表'!BA5,SUM(E19:E26),IF(F27="地上面积有误","面积有误","地下面积有误"))</f>
        <v>16724.51</v>
      </c>
      <c r="F27" s="768">
        <f>IF(SUM(F19:F26)=E8,SUM(F19:F26),"地上面积有误")</f>
        <v>16162.07</v>
      </c>
      <c r="G27" s="3727">
        <f>SUM(G19:G26)</f>
        <v>562.44</v>
      </c>
      <c r="H27" s="4203">
        <f>SUM(H19:H26)</f>
        <v>0</v>
      </c>
      <c r="I27" s="4204">
        <f>SUM(I19:I26)</f>
        <v>0</v>
      </c>
      <c r="J27" s="3495"/>
      <c r="K27" s="4203">
        <f>SUM(K19:K26)</f>
        <v>0</v>
      </c>
      <c r="L27" s="4205">
        <f>SUM(L19:L26)</f>
        <v>0</v>
      </c>
      <c r="M27" s="4206">
        <f>SUM(M19:M26)</f>
        <v>0</v>
      </c>
      <c r="N27" s="4203">
        <f t="shared" ref="N27:P27" si="10">SUM(N19:N26)</f>
        <v>0</v>
      </c>
      <c r="O27" s="4205">
        <f t="shared" si="10"/>
        <v>0</v>
      </c>
      <c r="P27" s="3753">
        <f t="shared" si="10"/>
        <v>0</v>
      </c>
      <c r="R27" s="3409">
        <f>IF(SUM(R19:R26)=$D$3,SUM(R19:R26),SUM(R19:R26)&amp;"误差"&amp;ROUND(SUM(R19:R26)-$D$3,2))</f>
        <v>9999.1</v>
      </c>
      <c r="S27" s="3969">
        <f>IF(SUM(S19:S26)=$E$3,SUM(S19:S26),SUM(S19:S26)&amp;"误差"&amp;ROUND(SUM(S19:S26)-E3,2))</f>
        <v>16724.51</v>
      </c>
    </row>
    <row r="28" spans="1:19">
      <c r="A28" s="4196"/>
      <c r="B28" s="4161" t="s">
        <v>671</v>
      </c>
      <c r="C28" s="4012" t="s">
        <v>672</v>
      </c>
      <c r="D28" s="3969">
        <f>ROUND($D$3*E28/$E$3,2)</f>
        <v>0</v>
      </c>
      <c r="E28" s="3969">
        <f>SUM(F28:G28)</f>
        <v>0</v>
      </c>
      <c r="F28" s="4207">
        <f>'数据-基础表'!BQ5+'数据-基础表'!BS5</f>
        <v>0</v>
      </c>
      <c r="G28" s="4208">
        <f>'数据-基础表'!BR5+'数据-基础表'!BT5</f>
        <v>0</v>
      </c>
      <c r="H28" s="4140"/>
      <c r="I28" s="4140"/>
      <c r="J28" s="4140"/>
      <c r="K28" s="4140"/>
      <c r="L28" s="4140"/>
      <c r="M28" s="4140"/>
      <c r="N28" s="4140"/>
      <c r="O28" s="4140"/>
      <c r="P28" s="4140"/>
    </row>
    <row r="29" spans="1:19">
      <c r="A29" s="4196"/>
      <c r="B29" s="4161" t="s">
        <v>671</v>
      </c>
      <c r="C29" s="1455" t="s">
        <v>673</v>
      </c>
      <c r="D29" s="3969">
        <f>ROUND($D$3*E29/$E$3,2)</f>
        <v>0</v>
      </c>
      <c r="E29" s="3969">
        <f>SUM(F29:G29)</f>
        <v>0</v>
      </c>
      <c r="F29" s="4209">
        <f>'数据-基础表'!BM5+'数据-基础表'!BO5</f>
        <v>0</v>
      </c>
      <c r="G29" s="4166">
        <f>'数据-基础表'!BN5+'数据-基础表'!BP5</f>
        <v>0</v>
      </c>
      <c r="H29" s="4140"/>
      <c r="I29" s="4140"/>
      <c r="J29" s="4140"/>
      <c r="K29" s="4140"/>
      <c r="L29" s="4140"/>
      <c r="M29" s="4140"/>
      <c r="N29" s="4140"/>
      <c r="O29" s="4140"/>
      <c r="P29" s="4140"/>
    </row>
    <row r="30" spans="1:19">
      <c r="A30" s="4196"/>
      <c r="B30" s="4161"/>
      <c r="C30" s="4210" t="s">
        <v>670</v>
      </c>
      <c r="D30" s="768">
        <f>SUM(D28:D29)</f>
        <v>0</v>
      </c>
      <c r="E30" s="768">
        <f>SUM(E28:E29)</f>
        <v>0</v>
      </c>
      <c r="F30" s="768">
        <f>SUM(F28:F29)</f>
        <v>0</v>
      </c>
      <c r="G30" s="3727">
        <f>SUM(G28:G29)</f>
        <v>0</v>
      </c>
      <c r="H30" s="4140"/>
      <c r="I30" s="4140"/>
      <c r="J30" s="4140"/>
      <c r="K30" s="4140"/>
      <c r="L30" s="4140"/>
      <c r="M30" s="4140"/>
      <c r="N30" s="4140"/>
      <c r="O30" s="4140"/>
      <c r="P30" s="4140"/>
    </row>
    <row r="31" ht="14.75" spans="1:19">
      <c r="A31" s="4211"/>
      <c r="B31" s="4212"/>
      <c r="C31" s="4213" t="s">
        <v>674</v>
      </c>
      <c r="D31" s="4214">
        <f>D27+D30</f>
        <v>9999.1</v>
      </c>
      <c r="E31" s="4214">
        <f>E27+E30</f>
        <v>16724.51</v>
      </c>
      <c r="F31" s="4205">
        <f>F27+F30</f>
        <v>16162.07</v>
      </c>
      <c r="G31" s="4206">
        <f>G27+G30</f>
        <v>562.44</v>
      </c>
      <c r="H31" s="4140"/>
      <c r="I31" s="4140"/>
      <c r="J31" s="4140"/>
      <c r="K31" s="4140"/>
      <c r="L31" s="4140"/>
      <c r="M31" s="4140"/>
      <c r="N31" s="4140"/>
      <c r="O31" s="4140"/>
      <c r="P31" s="4140"/>
    </row>
    <row r="32" spans="1:19">
      <c r="A32" s="4215"/>
      <c r="B32" s="4215" t="s">
        <v>675</v>
      </c>
      <c r="C32" s="4215"/>
      <c r="D32" s="3417"/>
      <c r="E32" s="3417">
        <f>SUMIF(C19:C26,"*住宅*",E19:E26)</f>
        <v>0</v>
      </c>
      <c r="F32" s="3417"/>
      <c r="G32" s="3417"/>
      <c r="H32" s="4140"/>
      <c r="I32" s="4140"/>
      <c r="J32" s="4140"/>
      <c r="K32" s="4140"/>
      <c r="L32" s="4140"/>
      <c r="M32" s="4140"/>
      <c r="N32" s="4140"/>
      <c r="O32" s="4140"/>
      <c r="P32" s="4140"/>
    </row>
    <row r="33" spans="4:4">
      <c r="D33" s="4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80" zoomScaleNormal="80" zoomScaleSheetLayoutView="90" workbookViewId="0">
      <pane xSplit="3" ySplit="5" topLeftCell="V6" activePane="bottomRight" state="frozen"/>
      <selection/>
      <selection pane="topRight"/>
      <selection pane="bottomLeft"/>
      <selection pane="bottomRight" activeCell="AK6" sqref="AK6"/>
    </sheetView>
  </sheetViews>
  <sheetFormatPr defaultColWidth="13.7545454545455" defaultRowHeight="12.5"/>
  <cols>
    <col min="1" max="1" width="31.6272727272727" style="3904" customWidth="1"/>
    <col min="2" max="2" width="12" style="3905" customWidth="1"/>
    <col min="3" max="3" width="12.7545454545455" style="3905" customWidth="1"/>
    <col min="4" max="4" width="9.12727272727273" style="3906" customWidth="1"/>
    <col min="5" max="5" width="15" style="3905" customWidth="1"/>
    <col min="6" max="10" width="8.87272727272727" style="3905" customWidth="1"/>
    <col min="11" max="12" width="12.3727272727273" style="3907" customWidth="1"/>
    <col min="13" max="13" width="8.62727272727273" style="3905" customWidth="1"/>
    <col min="14" max="14" width="11.8727272727273" style="3905" customWidth="1"/>
    <col min="15" max="15" width="8.5" style="3905" customWidth="1"/>
    <col min="16" max="17" width="10.8727272727273" style="3905" customWidth="1"/>
    <col min="18" max="19" width="12.5" style="3905" customWidth="1"/>
    <col min="20" max="20" width="12.1272727272727" style="3905" customWidth="1"/>
    <col min="21" max="21" width="7.5" style="3905" customWidth="1"/>
    <col min="22" max="22" width="6.37272727272727" style="3905" customWidth="1"/>
    <col min="23" max="30" width="6.75454545454545" style="3905" customWidth="1"/>
    <col min="31" max="31" width="8" style="3905" customWidth="1"/>
    <col min="32" max="33" width="7.25454545454545" style="3905" customWidth="1"/>
    <col min="34" max="34" width="9.62727272727273" style="3905" customWidth="1"/>
    <col min="35" max="39" width="8" style="3905" customWidth="1"/>
    <col min="40" max="40" width="13.7545454545455" style="3903"/>
    <col min="41" max="45" width="14.3727272727273" style="3908" customWidth="1"/>
    <col min="46" max="67" width="13.7545454545455" style="3903"/>
    <col min="68" max="16384" width="13.7545454545455" style="3905"/>
  </cols>
  <sheetData>
    <row r="1" ht="18.25" spans="1:67">
      <c r="A1" s="3909" t="s">
        <v>676</v>
      </c>
      <c r="B1" s="3910"/>
      <c r="C1" s="720"/>
      <c r="D1" s="3911"/>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2"/>
      <c r="AP1" s="3912"/>
      <c r="AQ1" s="3912"/>
      <c r="AR1" s="3912"/>
    </row>
    <row r="2" s="3900" customFormat="1" ht="14.75" spans="1:67">
      <c r="A2" s="3913" t="s">
        <v>677</v>
      </c>
      <c r="B2" s="3914">
        <f>项目基本情况!D3</f>
        <v>46029</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900" customFormat="1" ht="14.7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900" customFormat="1" ht="14.75" spans="1:67">
      <c r="A4" s="2053" t="s">
        <v>678</v>
      </c>
      <c r="B4" s="3439"/>
      <c r="C4" s="3923"/>
      <c r="D4" s="3924"/>
      <c r="E4" s="3923" t="s">
        <v>679</v>
      </c>
      <c r="F4" s="3923"/>
      <c r="G4" s="3923"/>
      <c r="H4" s="3923"/>
      <c r="I4" s="3923"/>
      <c r="J4" s="3925"/>
      <c r="K4" s="3926"/>
      <c r="L4" s="3927"/>
      <c r="M4" s="3923"/>
      <c r="N4" s="3923" t="s">
        <v>680</v>
      </c>
      <c r="O4" s="3923"/>
      <c r="P4" s="3923"/>
      <c r="Q4" s="3923"/>
      <c r="R4" s="3923"/>
      <c r="S4" s="3925"/>
      <c r="T4" s="3928" t="str">
        <f>'数据-汇总表'!I17</f>
        <v>按面积比例</v>
      </c>
      <c r="U4" s="3439" t="s">
        <v>681</v>
      </c>
      <c r="V4" s="3923"/>
      <c r="W4" s="3923"/>
      <c r="X4" s="3923"/>
      <c r="Y4" s="3925"/>
      <c r="Z4" s="3929" t="s">
        <v>682</v>
      </c>
      <c r="AA4" s="3929"/>
      <c r="AB4" s="3929"/>
      <c r="AC4" s="3929"/>
      <c r="AD4" s="3929"/>
      <c r="AE4" s="3930" t="s">
        <v>683</v>
      </c>
      <c r="AF4" s="3929"/>
      <c r="AG4" s="3931"/>
      <c r="AH4" s="3439"/>
      <c r="AI4" s="3923"/>
      <c r="AJ4" s="3923"/>
      <c r="AK4" s="3923"/>
      <c r="AL4" s="3923"/>
      <c r="AM4" s="3925"/>
      <c r="AN4" s="3918"/>
      <c r="AO4" s="3919"/>
      <c r="AP4" s="3919"/>
      <c r="AQ4" s="3919"/>
      <c r="AR4" s="3919"/>
      <c r="AS4" s="392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901" customFormat="1" ht="42" spans="1:67">
      <c r="A5" s="3932" t="s">
        <v>656</v>
      </c>
      <c r="B5" s="3933" t="s">
        <v>655</v>
      </c>
      <c r="C5" s="3934" t="s">
        <v>684</v>
      </c>
      <c r="D5" s="3935" t="s">
        <v>685</v>
      </c>
      <c r="E5" s="3936" t="s">
        <v>686</v>
      </c>
      <c r="F5" s="3937" t="s">
        <v>687</v>
      </c>
      <c r="G5" s="3936" t="s">
        <v>688</v>
      </c>
      <c r="H5" s="3936" t="s">
        <v>689</v>
      </c>
      <c r="I5" s="3936" t="s">
        <v>690</v>
      </c>
      <c r="J5" s="3938" t="s">
        <v>691</v>
      </c>
      <c r="K5" s="3939" t="s">
        <v>665</v>
      </c>
      <c r="L5" s="3940" t="s">
        <v>692</v>
      </c>
      <c r="M5" s="3941" t="s">
        <v>693</v>
      </c>
      <c r="N5" s="3942" t="s">
        <v>694</v>
      </c>
      <c r="O5" s="3940" t="s">
        <v>695</v>
      </c>
      <c r="P5" s="3943" t="s">
        <v>696</v>
      </c>
      <c r="Q5" s="1948" t="s">
        <v>697</v>
      </c>
      <c r="R5" s="3944" t="s">
        <v>698</v>
      </c>
      <c r="S5" s="3945" t="s">
        <v>699</v>
      </c>
      <c r="T5" s="3946" t="s">
        <v>700</v>
      </c>
      <c r="U5" s="3947" t="s">
        <v>701</v>
      </c>
      <c r="V5" s="3936" t="s">
        <v>702</v>
      </c>
      <c r="W5" s="3936" t="s">
        <v>703</v>
      </c>
      <c r="X5" s="1924"/>
      <c r="Y5" s="2076" t="s">
        <v>704</v>
      </c>
      <c r="Z5" s="3948" t="s">
        <v>701</v>
      </c>
      <c r="AA5" s="3936" t="s">
        <v>702</v>
      </c>
      <c r="AB5" s="3936" t="s">
        <v>703</v>
      </c>
      <c r="AC5" s="1924"/>
      <c r="AD5" s="1924" t="s">
        <v>704</v>
      </c>
      <c r="AE5" s="3947" t="s">
        <v>705</v>
      </c>
      <c r="AF5" s="3936" t="s">
        <v>706</v>
      </c>
      <c r="AG5" s="2076" t="s">
        <v>707</v>
      </c>
      <c r="AH5" s="3947" t="s">
        <v>708</v>
      </c>
      <c r="AI5" s="3948" t="s">
        <v>709</v>
      </c>
      <c r="AJ5" s="3948" t="s">
        <v>710</v>
      </c>
      <c r="AK5" s="3936" t="s">
        <v>711</v>
      </c>
      <c r="AL5" s="3936" t="s">
        <v>712</v>
      </c>
      <c r="AM5" s="2076" t="s">
        <v>713</v>
      </c>
      <c r="AN5" s="3949" t="s">
        <v>714</v>
      </c>
      <c r="AO5" s="3950" t="s">
        <v>715</v>
      </c>
      <c r="AP5" s="3950" t="s">
        <v>716</v>
      </c>
      <c r="AQ5" s="3951" t="s">
        <v>717</v>
      </c>
      <c r="AR5" s="3951" t="s">
        <v>718</v>
      </c>
      <c r="AS5" s="3952" t="s">
        <v>719</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900" customFormat="1" ht="14" spans="1:67">
      <c r="A6" s="3953" t="str">
        <f>'数据-汇总表'!C19</f>
        <v>仓储</v>
      </c>
      <c r="B6" s="3954" t="str">
        <f>IF(A6=0,"","经营性")</f>
        <v>经营性</v>
      </c>
      <c r="C6" s="3955" t="s">
        <v>233</v>
      </c>
      <c r="D6" s="3956">
        <f>SUMIF(项目基本情况!C$12:I$12,C6,项目基本情况!C$14:I$14)</f>
        <v>50</v>
      </c>
      <c r="E6" s="3957">
        <f>IF(B6="","",SUMIF(项目基本情况!C$12:I$12,C6,项目基本情况!C$13:I$13))</f>
        <v>57118</v>
      </c>
      <c r="F6" s="3958">
        <f>SUMIF(项目基本情况!C$12:I$12,C6,项目基本情况!C$15:I$15)</f>
        <v>30.38</v>
      </c>
      <c r="G6" s="3959">
        <f t="shared" ref="G6:G13" si="0">IF(ISERROR(ROUND(POWER(1+H6,D6-F6)*(POWER(1+H6,F6)-1)/(POWER(1+H6,D6)-1),4)),0,ROUND(POWER(1+H6,D6-F6)*(POWER(1+H6,F6)-1)/(POWER(1+H6,D6)-1),4))</f>
        <v>0.8467</v>
      </c>
      <c r="H6" s="3960">
        <v>0.05</v>
      </c>
      <c r="I6" s="3961">
        <v>0.055</v>
      </c>
      <c r="J6" s="3962">
        <v>0.07</v>
      </c>
      <c r="K6" s="3963">
        <f>SUMIF('数据-汇总表'!C$19:C$33,A6,'数据-汇总表'!E$19:E$33)</f>
        <v>16724.51</v>
      </c>
      <c r="L6" s="3964">
        <v>2300</v>
      </c>
      <c r="M6" s="3965">
        <f t="shared" ref="M6:M14" si="1">ROUND(K6*L6/10000,0)</f>
        <v>3847</v>
      </c>
      <c r="N6" s="3966">
        <f>ROUND((N18+N19)/2,2)</f>
        <v>0.79</v>
      </c>
      <c r="O6" s="3965" t="str">
        <f>IF($N$5="成新度","——",ROUND(M6*N6,0))</f>
        <v>——</v>
      </c>
      <c r="P6" s="3433" t="str">
        <f>IF($N$5="成新度","——",M6-O6)</f>
        <v>——</v>
      </c>
      <c r="Q6" s="3967">
        <v>0.08</v>
      </c>
      <c r="R6" s="3968">
        <f ca="1">SUMIF('数据-汇总表'!C$19:C$33,A6,'数据-汇总表'!R$19:R$27)</f>
        <v>9999.1</v>
      </c>
      <c r="S6" s="3969">
        <f>IF('数据-汇总表'!$I$17="按面积比例",SUMIF('数据-汇总表'!C$19:C$33,A6,'数据-汇总表'!K$19:K$33),SUMIF('数据-汇总表'!C$19:C$33,A6,'数据-汇总表'!N$19:N$33))</f>
        <v>0</v>
      </c>
      <c r="T6" s="3970">
        <f>ROUND($L$14*S6/10000,0)</f>
        <v>0</v>
      </c>
      <c r="U6" s="3971">
        <f>ROUND(1.8/1.09,1)</f>
        <v>1.7</v>
      </c>
      <c r="V6" s="3972">
        <v>0.02</v>
      </c>
      <c r="W6" s="3972">
        <v>0.1</v>
      </c>
      <c r="X6" s="3973"/>
      <c r="Y6" s="3974">
        <f>N6</f>
        <v>0.79</v>
      </c>
      <c r="Z6" s="3975"/>
      <c r="AA6" s="3976"/>
      <c r="AB6" s="3976"/>
      <c r="AC6" s="3973"/>
      <c r="AD6" s="3977"/>
      <c r="AE6" s="3978">
        <f ca="1">IF(AN6="",0,SUMIF(INDIRECT("'"&amp;AN6&amp;"'"&amp;"!E:E"),$AE$5,INDIRECT("'"&amp;AN6&amp;"'"&amp;"!F:F")))</f>
        <v>30.38</v>
      </c>
      <c r="AF6" s="3979"/>
      <c r="AG6" s="3980">
        <f ca="1">IF(AF6="",0,AE6-AF6)</f>
        <v>0</v>
      </c>
      <c r="AH6" s="3981"/>
      <c r="AI6" s="3982">
        <v>365</v>
      </c>
      <c r="AJ6" s="3979"/>
      <c r="AK6" s="3983">
        <v>0.003</v>
      </c>
      <c r="AL6" s="3984">
        <v>0.001</v>
      </c>
      <c r="AM6" s="3985">
        <v>0.005</v>
      </c>
      <c r="AN6" s="3986" t="s">
        <v>720</v>
      </c>
      <c r="AO6" s="3969">
        <f ca="1">SUMIF(INDIRECT("'"&amp;AN6&amp;"'"&amp;"!A:A"),"总价",INDIRECT("'"&amp;AN6&amp;"'"&amp;"!B:B"))</f>
        <v>14365</v>
      </c>
      <c r="AP6" s="3969">
        <f>IF(C6="住宅",K6*L6,0)</f>
        <v>0</v>
      </c>
      <c r="AQ6" s="3969">
        <f>ROUND($L$14*$N$14*S6/10000,0)</f>
        <v>0</v>
      </c>
      <c r="AR6" s="3969">
        <f>ROUND($L$14*(1-$N$14)*S6/10000,0)</f>
        <v>0</v>
      </c>
      <c r="AS6" s="3987">
        <f>ROUND(1-1/(1+H6)^F6,3)</f>
        <v>0.773</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900" customFormat="1" ht="14" spans="1:67">
      <c r="A7" s="3953">
        <f>'数据-汇总表'!C20</f>
        <v>0</v>
      </c>
      <c r="B7" s="3954" t="str">
        <f t="shared" ref="B7:B13" si="2">IF(A7=0,"","经营性")</f>
        <v/>
      </c>
      <c r="C7" s="3955"/>
      <c r="D7" s="3956">
        <f>SUMIF(项目基本情况!C$12:I$12,C7,项目基本情况!C$14:I$14)</f>
        <v>0</v>
      </c>
      <c r="E7" s="3957" t="str">
        <f>IF(B7="","",SUMIF(项目基本情况!C$12:I$12,C7,项目基本情况!C$13:I$13))</f>
        <v/>
      </c>
      <c r="F7" s="3958">
        <f>SUMIF(项目基本情况!C$12:I$12,C7,项目基本情况!C$15:I$15)</f>
        <v>0</v>
      </c>
      <c r="G7" s="3959">
        <f t="shared" si="0"/>
        <v>0</v>
      </c>
      <c r="H7" s="3960"/>
      <c r="I7" s="3960"/>
      <c r="J7" s="3962"/>
      <c r="K7" s="3963">
        <f>SUMIF('数据-汇总表'!C$19:C$33,A7,'数据-汇总表'!E$19:E$33)</f>
        <v>0</v>
      </c>
      <c r="L7" s="3964"/>
      <c r="M7" s="3965">
        <f t="shared" si="1"/>
        <v>0</v>
      </c>
      <c r="N7" s="3988"/>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89"/>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900" customFormat="1" ht="14" spans="1:67">
      <c r="A8" s="3953">
        <f>'数据-汇总表'!C21</f>
        <v>0</v>
      </c>
      <c r="B8" s="3954" t="str">
        <f t="shared" si="2"/>
        <v/>
      </c>
      <c r="C8" s="3955"/>
      <c r="D8" s="3956">
        <f>SUMIF(项目基本情况!C$12:I$12,C8,项目基本情况!C$14:I$14)</f>
        <v>0</v>
      </c>
      <c r="E8" s="3957" t="str">
        <f>IF(B8="","",SUMIF(项目基本情况!C$12:I$12,C8,项目基本情况!C$13:I$13))</f>
        <v/>
      </c>
      <c r="F8" s="3958">
        <f>SUMIF(项目基本情况!C$12:I$12,C8,项目基本情况!C$15:I$15)</f>
        <v>0</v>
      </c>
      <c r="G8" s="3959">
        <f t="shared" si="0"/>
        <v>0</v>
      </c>
      <c r="H8" s="3960"/>
      <c r="I8" s="3960"/>
      <c r="J8" s="3962"/>
      <c r="K8" s="3963">
        <f>SUMIF('数据-汇总表'!C$19:C$33,A8,'数据-汇总表'!E$19:E$33)</f>
        <v>0</v>
      </c>
      <c r="L8" s="3964"/>
      <c r="M8" s="3965">
        <f t="shared" si="1"/>
        <v>0</v>
      </c>
      <c r="N8" s="3988"/>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90"/>
      <c r="V8" s="3991"/>
      <c r="W8" s="3991"/>
      <c r="X8" s="3973"/>
      <c r="Y8" s="3974"/>
      <c r="Z8" s="3975"/>
      <c r="AA8" s="3976"/>
      <c r="AB8" s="3976"/>
      <c r="AC8" s="3973"/>
      <c r="AD8" s="3977"/>
      <c r="AE8" s="3978">
        <f ca="1" t="shared" si="6"/>
        <v>0</v>
      </c>
      <c r="AF8" s="3979"/>
      <c r="AG8" s="3980">
        <f ca="1" t="shared" si="7"/>
        <v>0</v>
      </c>
      <c r="AH8" s="3992"/>
      <c r="AI8" s="3982"/>
      <c r="AJ8" s="3979"/>
      <c r="AK8" s="3993"/>
      <c r="AL8" s="3994"/>
      <c r="AM8" s="3995"/>
      <c r="AN8" s="3986"/>
      <c r="AO8" s="3969" t="e">
        <f ca="1" t="shared" si="8"/>
        <v>#REF!</v>
      </c>
      <c r="AP8" s="3969">
        <f t="shared" si="9"/>
        <v>0</v>
      </c>
      <c r="AQ8" s="3969">
        <f t="shared" si="10"/>
        <v>0</v>
      </c>
      <c r="AR8" s="3969">
        <f t="shared" si="11"/>
        <v>0</v>
      </c>
      <c r="AS8" s="3987">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900" customFormat="1" ht="14" spans="1:67">
      <c r="A9" s="3953">
        <f>'数据-汇总表'!C22</f>
        <v>0</v>
      </c>
      <c r="B9" s="3954" t="str">
        <f t="shared" si="2"/>
        <v/>
      </c>
      <c r="C9" s="3955"/>
      <c r="D9" s="3956">
        <f>SUMIF(项目基本情况!C$12:I$12,C9,项目基本情况!C$14:I$14)</f>
        <v>0</v>
      </c>
      <c r="E9" s="3957" t="str">
        <f>IF(B9="","",SUMIF(项目基本情况!C$12:I$12,C9,项目基本情况!C$13:I$13))</f>
        <v/>
      </c>
      <c r="F9" s="3958">
        <f>SUMIF(项目基本情况!C$12:I$12,C9,项目基本情况!C$15:I$15)</f>
        <v>0</v>
      </c>
      <c r="G9" s="3959">
        <f t="shared" si="0"/>
        <v>0</v>
      </c>
      <c r="H9" s="3960"/>
      <c r="I9" s="3960"/>
      <c r="J9" s="3962"/>
      <c r="K9" s="3963">
        <f>SUMIF('数据-汇总表'!C$19:C$33,A9,'数据-汇总表'!E$19:E$33)</f>
        <v>0</v>
      </c>
      <c r="L9" s="3964"/>
      <c r="M9" s="3965">
        <f t="shared" si="1"/>
        <v>0</v>
      </c>
      <c r="N9" s="3988"/>
      <c r="O9" s="3965" t="str">
        <f t="shared" si="3"/>
        <v>——</v>
      </c>
      <c r="P9" s="3433" t="str">
        <f t="shared" si="4"/>
        <v>——</v>
      </c>
      <c r="Q9" s="3996"/>
      <c r="R9" s="3968">
        <f ca="1">SUMIF('数据-汇总表'!C$19:C$33,A9,'数据-汇总表'!R$19:R$27)</f>
        <v>0</v>
      </c>
      <c r="S9" s="3969">
        <f>IF('数据-汇总表'!$I$17="按面积比例",SUMIF('数据-汇总表'!C$19:C$33,A9,'数据-汇总表'!K$19:K$33),SUMIF('数据-汇总表'!C$19:C$33,A9,'数据-汇总表'!N$19:N$33))</f>
        <v>0</v>
      </c>
      <c r="T9" s="3970">
        <f t="shared" si="5"/>
        <v>0</v>
      </c>
      <c r="U9" s="3989"/>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900" customFormat="1" ht="14" spans="1:67">
      <c r="A10" s="3953">
        <f>'数据-汇总表'!C23</f>
        <v>0</v>
      </c>
      <c r="B10" s="3954" t="str">
        <f t="shared" si="2"/>
        <v/>
      </c>
      <c r="C10" s="3955"/>
      <c r="D10" s="3956">
        <f>SUMIF(项目基本情况!C$12:I$12,C10,项目基本情况!C$14:I$14)</f>
        <v>0</v>
      </c>
      <c r="E10" s="3957" t="str">
        <f>IF(B10="","",SUMIF(项目基本情况!C$12:I$12,C10,项目基本情况!C$13:I$13))</f>
        <v/>
      </c>
      <c r="F10" s="3958">
        <f>SUMIF(项目基本情况!C$12:I$12,C10,项目基本情况!C$15:I$15)</f>
        <v>0</v>
      </c>
      <c r="G10" s="3959">
        <f t="shared" si="0"/>
        <v>0</v>
      </c>
      <c r="H10" s="3962"/>
      <c r="I10" s="3962"/>
      <c r="J10" s="3962"/>
      <c r="K10" s="3963">
        <f>SUMIF('数据-汇总表'!C$19:C$33,A10,'数据-汇总表'!E$19:E$33)</f>
        <v>0</v>
      </c>
      <c r="L10" s="3964"/>
      <c r="M10" s="3965">
        <f t="shared" si="1"/>
        <v>0</v>
      </c>
      <c r="N10" s="3988"/>
      <c r="O10" s="3965" t="str">
        <f t="shared" si="3"/>
        <v>——</v>
      </c>
      <c r="P10" s="3433" t="str">
        <f t="shared" si="4"/>
        <v>——</v>
      </c>
      <c r="Q10" s="3996"/>
      <c r="R10" s="3968">
        <f ca="1">SUMIF('数据-汇总表'!C$19:C$33,A10,'数据-汇总表'!R$19:R$27)</f>
        <v>0</v>
      </c>
      <c r="S10" s="3969">
        <f>IF('数据-汇总表'!$I$17="按面积比例",SUMIF('数据-汇总表'!C$19:C$33,A10,'数据-汇总表'!K$19:K$33),SUMIF('数据-汇总表'!C$19:C$33,A10,'数据-汇总表'!N$19:N$33))</f>
        <v>0</v>
      </c>
      <c r="T10" s="3970">
        <f t="shared" si="5"/>
        <v>0</v>
      </c>
      <c r="U10" s="3989"/>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900" customFormat="1" ht="14" spans="1:67">
      <c r="A11" s="3953">
        <f>'数据-汇总表'!C24</f>
        <v>0</v>
      </c>
      <c r="B11" s="3954" t="str">
        <f t="shared" si="2"/>
        <v/>
      </c>
      <c r="C11" s="3955"/>
      <c r="D11" s="3956">
        <f>SUMIF(项目基本情况!C$12:I$12,C11,项目基本情况!C$14:I$14)</f>
        <v>0</v>
      </c>
      <c r="E11" s="3957" t="str">
        <f>IF(B11="","",SUMIF(项目基本情况!C$12:I$12,C11,项目基本情况!C$13:I$13))</f>
        <v/>
      </c>
      <c r="F11" s="3958">
        <f>SUMIF(项目基本情况!C$12:I$12,C11,项目基本情况!C$15:I$15)</f>
        <v>0</v>
      </c>
      <c r="G11" s="3959">
        <f t="shared" si="0"/>
        <v>0</v>
      </c>
      <c r="H11" s="3962"/>
      <c r="I11" s="3962"/>
      <c r="J11" s="3962"/>
      <c r="K11" s="3963">
        <f>SUMIF('数据-汇总表'!C$19:C$33,A11,'数据-汇总表'!E$19:E$33)</f>
        <v>0</v>
      </c>
      <c r="L11" s="3997"/>
      <c r="M11" s="3965">
        <f t="shared" si="1"/>
        <v>0</v>
      </c>
      <c r="N11" s="3988"/>
      <c r="O11" s="3965" t="str">
        <f t="shared" si="3"/>
        <v>——</v>
      </c>
      <c r="P11" s="3433" t="str">
        <f t="shared" si="4"/>
        <v>——</v>
      </c>
      <c r="Q11" s="3996"/>
      <c r="R11" s="3968">
        <f ca="1">SUMIF('数据-汇总表'!C$19:C$33,A11,'数据-汇总表'!R$19:R$27)</f>
        <v>0</v>
      </c>
      <c r="S11" s="3969">
        <f>IF('数据-汇总表'!$I$17="按面积比例",SUMIF('数据-汇总表'!C$19:C$33,A11,'数据-汇总表'!K$19:K$33),SUMIF('数据-汇总表'!C$19:C$33,A11,'数据-汇总表'!N$19:N$33))</f>
        <v>0</v>
      </c>
      <c r="T11" s="3970">
        <f t="shared" si="5"/>
        <v>0</v>
      </c>
      <c r="U11" s="3989"/>
      <c r="V11" s="3976"/>
      <c r="W11" s="3976"/>
      <c r="X11" s="3973"/>
      <c r="Y11" s="3974"/>
      <c r="Z11" s="3998"/>
      <c r="AA11" s="3976"/>
      <c r="AB11" s="3976"/>
      <c r="AC11" s="3973"/>
      <c r="AD11" s="3977"/>
      <c r="AE11" s="3978">
        <f ca="1" t="shared" si="6"/>
        <v>0</v>
      </c>
      <c r="AF11" s="3979"/>
      <c r="AG11" s="3980">
        <f ca="1" t="shared" si="7"/>
        <v>0</v>
      </c>
      <c r="AH11" s="3981"/>
      <c r="AI11" s="3982"/>
      <c r="AJ11" s="3979"/>
      <c r="AK11" s="3999"/>
      <c r="AL11" s="4000"/>
      <c r="AM11" s="4001"/>
      <c r="AN11" s="3986"/>
      <c r="AO11" s="3969" t="e">
        <f ca="1" t="shared" si="8"/>
        <v>#REF!</v>
      </c>
      <c r="AP11" s="3969">
        <f t="shared" si="9"/>
        <v>0</v>
      </c>
      <c r="AQ11" s="3969">
        <f t="shared" si="10"/>
        <v>0</v>
      </c>
      <c r="AR11" s="3969">
        <f t="shared" si="11"/>
        <v>0</v>
      </c>
      <c r="AS11" s="3987">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900" customFormat="1" ht="14" spans="1:67">
      <c r="A12" s="3953">
        <f>'数据-汇总表'!C25</f>
        <v>0</v>
      </c>
      <c r="B12" s="3954" t="str">
        <f t="shared" si="2"/>
        <v/>
      </c>
      <c r="C12" s="3955"/>
      <c r="D12" s="3956">
        <f>SUMIF(项目基本情况!C$12:I$12,C12,项目基本情况!C$14:I$14)</f>
        <v>0</v>
      </c>
      <c r="E12" s="3957" t="str">
        <f>IF(B12="","",SUMIF(项目基本情况!C$12:I$12,C12,项目基本情况!C$13:I$13))</f>
        <v/>
      </c>
      <c r="F12" s="3958">
        <f>SUMIF(项目基本情况!C$12:I$12,C12,项目基本情况!C$15:I$15)</f>
        <v>0</v>
      </c>
      <c r="G12" s="3959">
        <f t="shared" si="0"/>
        <v>0</v>
      </c>
      <c r="H12" s="3962"/>
      <c r="I12" s="3962"/>
      <c r="J12" s="3962"/>
      <c r="K12" s="3963">
        <f>SUMIF('数据-汇总表'!C$19:C$33,A12,'数据-汇总表'!E$19:E$33)</f>
        <v>0</v>
      </c>
      <c r="L12" s="3997"/>
      <c r="M12" s="3965">
        <f t="shared" si="1"/>
        <v>0</v>
      </c>
      <c r="N12" s="3988"/>
      <c r="O12" s="3965" t="str">
        <f t="shared" si="3"/>
        <v>——</v>
      </c>
      <c r="P12" s="3433" t="str">
        <f t="shared" si="4"/>
        <v>——</v>
      </c>
      <c r="Q12" s="3996"/>
      <c r="R12" s="3968">
        <f ca="1">SUMIF('数据-汇总表'!C$19:C$33,A12,'数据-汇总表'!R$19:R$27)</f>
        <v>0</v>
      </c>
      <c r="S12" s="3969">
        <f>IF('数据-汇总表'!$I$17="按面积比例",SUMIF('数据-汇总表'!C$19:C$33,A12,'数据-汇总表'!K$19:K$33),SUMIF('数据-汇总表'!C$19:C$33,A12,'数据-汇总表'!N$19:N$33))</f>
        <v>0</v>
      </c>
      <c r="T12" s="3970">
        <f t="shared" si="5"/>
        <v>0</v>
      </c>
      <c r="U12" s="3989"/>
      <c r="V12" s="3976"/>
      <c r="W12" s="3976"/>
      <c r="X12" s="3973"/>
      <c r="Y12" s="3974"/>
      <c r="Z12" s="3998"/>
      <c r="AA12" s="3976"/>
      <c r="AB12" s="3976"/>
      <c r="AC12" s="3973"/>
      <c r="AD12" s="3977"/>
      <c r="AE12" s="3978">
        <f ca="1" t="shared" si="6"/>
        <v>0</v>
      </c>
      <c r="AF12" s="3979"/>
      <c r="AG12" s="3980">
        <f ca="1" t="shared" si="7"/>
        <v>0</v>
      </c>
      <c r="AH12" s="3981"/>
      <c r="AI12" s="3982"/>
      <c r="AJ12" s="3979"/>
      <c r="AK12" s="3999"/>
      <c r="AL12" s="4000"/>
      <c r="AM12" s="4001"/>
      <c r="AN12" s="3986"/>
      <c r="AO12" s="3969" t="e">
        <f ca="1" t="shared" si="8"/>
        <v>#REF!</v>
      </c>
      <c r="AP12" s="3969">
        <f t="shared" si="9"/>
        <v>0</v>
      </c>
      <c r="AQ12" s="3969">
        <f t="shared" si="10"/>
        <v>0</v>
      </c>
      <c r="AR12" s="3969">
        <f t="shared" si="11"/>
        <v>0</v>
      </c>
      <c r="AS12" s="3987">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900" customFormat="1" ht="14" spans="1:67">
      <c r="A13" s="3953">
        <f>'数据-汇总表'!C26</f>
        <v>0</v>
      </c>
      <c r="B13" s="3954" t="str">
        <f t="shared" si="2"/>
        <v/>
      </c>
      <c r="C13" s="3955"/>
      <c r="D13" s="3956">
        <f>SUMIF(项目基本情况!C$12:I$12,C13,项目基本情况!C$14:I$14)</f>
        <v>0</v>
      </c>
      <c r="E13" s="3957" t="str">
        <f>IF(B13="","",SUMIF(项目基本情况!C$12:I$12,C13,项目基本情况!C$13:I$13))</f>
        <v/>
      </c>
      <c r="F13" s="3958">
        <f>SUMIF(项目基本情况!C$12:I$12,C13,项目基本情况!C$15:I$15)</f>
        <v>0</v>
      </c>
      <c r="G13" s="3959">
        <f t="shared" si="0"/>
        <v>0</v>
      </c>
      <c r="H13" s="3962"/>
      <c r="I13" s="3962"/>
      <c r="J13" s="3962"/>
      <c r="K13" s="3963">
        <f>SUMIF('数据-汇总表'!C$19:C$33,A13,'数据-汇总表'!E$19:E$33)</f>
        <v>0</v>
      </c>
      <c r="L13" s="3997"/>
      <c r="M13" s="3965">
        <f t="shared" si="1"/>
        <v>0</v>
      </c>
      <c r="N13" s="4002"/>
      <c r="O13" s="3965" t="str">
        <f t="shared" si="3"/>
        <v>——</v>
      </c>
      <c r="P13" s="3433" t="str">
        <f t="shared" si="4"/>
        <v>——</v>
      </c>
      <c r="Q13" s="3996"/>
      <c r="R13" s="3968">
        <f ca="1">SUMIF('数据-汇总表'!C$19:C$33,A13,'数据-汇总表'!R$19:R$27)</f>
        <v>0</v>
      </c>
      <c r="S13" s="3969">
        <f>IF('数据-汇总表'!$I$17="按面积比例",SUMIF('数据-汇总表'!C$19:C$33,A13,'数据-汇总表'!K$19:K$33),SUMIF('数据-汇总表'!C$19:C$33,A13,'数据-汇总表'!N$19:N$33))</f>
        <v>0</v>
      </c>
      <c r="T13" s="3970">
        <f t="shared" si="5"/>
        <v>0</v>
      </c>
      <c r="U13" s="4003"/>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900" customFormat="1" ht="14" spans="1:67">
      <c r="A14" s="4004" t="s">
        <v>672</v>
      </c>
      <c r="B14" s="3954" t="s">
        <v>671</v>
      </c>
      <c r="C14" s="4005" t="s">
        <v>672</v>
      </c>
      <c r="D14" s="3956"/>
      <c r="E14" s="3957"/>
      <c r="F14" s="3958"/>
      <c r="G14" s="3959"/>
      <c r="H14" s="4006"/>
      <c r="I14" s="4006"/>
      <c r="J14" s="4006"/>
      <c r="K14" s="3963">
        <f>SUMIF('数据-汇总表'!C$19:C$33,A14,'数据-汇总表'!E$19:E$33)</f>
        <v>0</v>
      </c>
      <c r="L14" s="3997"/>
      <c r="M14" s="3965">
        <f t="shared" si="1"/>
        <v>0</v>
      </c>
      <c r="N14" s="4002"/>
      <c r="O14" s="3965" t="str">
        <f t="shared" si="3"/>
        <v>——</v>
      </c>
      <c r="P14" s="3433" t="str">
        <f t="shared" si="4"/>
        <v>——</v>
      </c>
      <c r="Q14" s="4007"/>
      <c r="R14" s="3968"/>
      <c r="S14" s="3969"/>
      <c r="T14" s="3970"/>
      <c r="U14" s="4008"/>
      <c r="V14" s="4009"/>
      <c r="W14" s="4009"/>
      <c r="X14" s="4010"/>
      <c r="Y14" s="4011"/>
      <c r="Z14" s="4012"/>
      <c r="AA14" s="4013"/>
      <c r="AB14" s="4013"/>
      <c r="AC14" s="3973"/>
      <c r="AD14" s="4010"/>
      <c r="AE14" s="4014"/>
      <c r="AF14" s="1464"/>
      <c r="AG14" s="2337"/>
      <c r="AH14" s="4014"/>
      <c r="AI14" s="1450"/>
      <c r="AJ14" s="1451"/>
      <c r="AK14" s="4015"/>
      <c r="AL14" s="4016"/>
      <c r="AM14" s="4017"/>
      <c r="AN14" s="724"/>
      <c r="AO14" s="3919"/>
      <c r="AP14" s="3919"/>
      <c r="AQ14" s="3919"/>
      <c r="AR14" s="3919"/>
      <c r="AS14" s="392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900" customFormat="1" ht="14" spans="1:67">
      <c r="A15" s="4004" t="s">
        <v>673</v>
      </c>
      <c r="B15" s="3954" t="s">
        <v>671</v>
      </c>
      <c r="C15" s="4005" t="s">
        <v>721</v>
      </c>
      <c r="D15" s="3956"/>
      <c r="E15" s="3957"/>
      <c r="F15" s="3958"/>
      <c r="G15" s="3959"/>
      <c r="H15" s="4006"/>
      <c r="I15" s="4006"/>
      <c r="J15" s="4006"/>
      <c r="K15" s="3963">
        <f>SUMIF('数据-汇总表'!C$19:C$33,A15,'数据-汇总表'!E$19:E$33)</f>
        <v>0</v>
      </c>
      <c r="L15" s="4018"/>
      <c r="M15" s="3965"/>
      <c r="N15" s="4019"/>
      <c r="O15" s="3965"/>
      <c r="P15" s="3433"/>
      <c r="Q15" s="4007"/>
      <c r="R15" s="3968"/>
      <c r="S15" s="3969"/>
      <c r="T15" s="3970"/>
      <c r="U15" s="4008"/>
      <c r="V15" s="4009"/>
      <c r="W15" s="4009"/>
      <c r="X15" s="4010"/>
      <c r="Y15" s="4011"/>
      <c r="Z15" s="4012"/>
      <c r="AA15" s="4013"/>
      <c r="AB15" s="4013"/>
      <c r="AC15" s="3973"/>
      <c r="AD15" s="4010"/>
      <c r="AE15" s="4014"/>
      <c r="AF15" s="1464"/>
      <c r="AG15" s="2337"/>
      <c r="AH15" s="4014"/>
      <c r="AI15" s="1450"/>
      <c r="AJ15" s="1451"/>
      <c r="AK15" s="4015"/>
      <c r="AL15" s="4016"/>
      <c r="AM15" s="4017"/>
      <c r="AN15" s="724"/>
      <c r="AO15" s="3919"/>
      <c r="AP15" s="3919"/>
      <c r="AQ15" s="3919"/>
      <c r="AR15" s="3919"/>
      <c r="AS15" s="392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900" customFormat="1" ht="14.75" spans="1:67">
      <c r="A16" s="4020" t="s">
        <v>674</v>
      </c>
      <c r="B16" s="4021"/>
      <c r="C16" s="4022"/>
      <c r="D16" s="4023"/>
      <c r="E16" s="4021"/>
      <c r="F16" s="4024"/>
      <c r="G16" s="4025">
        <f>ROUND(SUMPRODUCT(G6:G13,K6:K13)/SUMPRODUCT((G6:G13&gt;0)*(K6:K13)),4)</f>
        <v>0.8467</v>
      </c>
      <c r="H16" s="4026">
        <f>ROUND(SUMPRODUCT(H6:H13,K6:K13)/SUMPRODUCT((H6:H13&gt;0)*(K6:K13)),3)</f>
        <v>0.05</v>
      </c>
      <c r="I16" s="4027"/>
      <c r="J16" s="4027"/>
      <c r="K16" s="4028">
        <f>SUM(K6:K15)</f>
        <v>16724.51</v>
      </c>
      <c r="L16" s="4029">
        <f>ROUND(M16*10000/SUM(K6:K14),0)</f>
        <v>2300</v>
      </c>
      <c r="M16" s="4029">
        <f>SUM(M6:M14)</f>
        <v>3847</v>
      </c>
      <c r="N16" s="4030">
        <f>ROUND(SUMPRODUCT(M6:M14,N6:N14)/M16,3)</f>
        <v>0.79</v>
      </c>
      <c r="O16" s="4029">
        <f>SUM(O6:O14)</f>
        <v>0</v>
      </c>
      <c r="P16" s="4029">
        <f>SUM(P6:P14)</f>
        <v>0</v>
      </c>
      <c r="Q16" s="4031">
        <f>ROUND(SUMPRODUCT(Q6:Q13,K6:K13)/SUMPRODUCT((Q6:Q13&gt;0)*(K6:K13)),2)</f>
        <v>0.08</v>
      </c>
      <c r="R16" s="4032">
        <f ca="1">SUM(R6:R13)</f>
        <v>9999.1</v>
      </c>
      <c r="S16" s="4033">
        <f>SUM(S6:S13)</f>
        <v>0</v>
      </c>
      <c r="T16" s="4034">
        <f>IF(SUMIF(T6:T13,"&lt;9E307")=M14,SUMIF(T6:T13,"&lt;9E307"),"有误，请检查")</f>
        <v>0</v>
      </c>
      <c r="U16" s="4035"/>
      <c r="V16" s="4036"/>
      <c r="W16" s="4036"/>
      <c r="X16" s="4037"/>
      <c r="Y16" s="4038"/>
      <c r="Z16" s="4039"/>
      <c r="AA16" s="4036"/>
      <c r="AB16" s="4036"/>
      <c r="AC16" s="4037"/>
      <c r="AD16" s="4037"/>
      <c r="AE16" s="4035"/>
      <c r="AF16" s="4036"/>
      <c r="AG16" s="4038"/>
      <c r="AH16" s="4035"/>
      <c r="AI16" s="4039"/>
      <c r="AJ16" s="4039"/>
      <c r="AK16" s="4036"/>
      <c r="AL16" s="4036"/>
      <c r="AM16" s="4038"/>
      <c r="AN16" s="724"/>
      <c r="AO16" s="3919"/>
      <c r="AP16" s="3919"/>
      <c r="AQ16" s="3919"/>
      <c r="AR16" s="3919"/>
      <c r="AS16" s="4040">
        <f>ROUND(SUMPRODUCT(AS6:AS13,K6:K13)/SUMPRODUCT((AS6:AS13&gt;0)*(K6:K13)),3)</f>
        <v>0.773</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75" spans="1:67">
      <c r="A17" s="4041"/>
      <c r="B17" s="4042"/>
      <c r="C17" s="724"/>
      <c r="D17" s="4043"/>
      <c r="E17" s="4043"/>
      <c r="F17" s="724"/>
      <c r="G17" s="724"/>
      <c r="H17" s="724"/>
      <c r="I17" s="724"/>
      <c r="J17" s="724"/>
      <c r="K17" s="4044"/>
      <c r="L17" s="404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2"/>
      <c r="AP17" s="3912"/>
      <c r="AQ17" s="3912"/>
      <c r="AR17" s="3912"/>
    </row>
    <row r="18" ht="14.75" spans="1:67">
      <c r="A18" s="2053" t="s">
        <v>722</v>
      </c>
      <c r="B18" s="4045"/>
      <c r="C18" s="3918"/>
      <c r="D18" s="4046"/>
      <c r="E18" s="3918"/>
      <c r="F18" s="3918"/>
      <c r="G18" s="3918"/>
      <c r="H18" s="3918"/>
      <c r="I18" s="3918"/>
      <c r="J18" s="3918"/>
      <c r="K18" s="4044"/>
      <c r="L18" s="4044"/>
      <c r="M18" s="724"/>
      <c r="N18" s="742">
        <f>ROUND(1-(2026-2009)/60,2)</f>
        <v>0.72</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2"/>
      <c r="AP18" s="3912"/>
      <c r="AQ18" s="3912"/>
      <c r="AR18" s="3912"/>
    </row>
    <row r="19" ht="14" spans="1:67">
      <c r="A19" s="4047" t="s">
        <v>723</v>
      </c>
      <c r="B19" s="4048">
        <v>0</v>
      </c>
      <c r="C19" s="4049" t="s">
        <v>724</v>
      </c>
      <c r="D19" s="4046"/>
      <c r="E19" s="3918"/>
      <c r="F19" s="3918"/>
      <c r="G19" s="3918"/>
      <c r="H19" s="3918"/>
      <c r="I19" s="3918"/>
      <c r="J19" s="3918"/>
      <c r="K19" s="4044"/>
      <c r="L19" s="4044"/>
      <c r="M19" s="724"/>
      <c r="N19" s="742">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2"/>
      <c r="AP19" s="3912"/>
      <c r="AQ19" s="3912"/>
      <c r="AR19" s="3912"/>
    </row>
    <row r="20" ht="14" spans="1:67">
      <c r="A20" s="4050" t="s">
        <v>725</v>
      </c>
      <c r="B20" s="4051">
        <v>1.5</v>
      </c>
      <c r="C20" s="4052" t="s">
        <v>726</v>
      </c>
      <c r="D20" s="4046"/>
      <c r="E20" s="3918"/>
      <c r="F20" s="3918"/>
      <c r="G20" s="3918"/>
      <c r="H20" s="3918"/>
      <c r="I20" s="3918"/>
      <c r="J20" s="3918"/>
      <c r="K20" s="4053" t="s">
        <v>727</v>
      </c>
      <c r="L20" s="4053" t="s">
        <v>728</v>
      </c>
      <c r="M20" s="4053" t="s">
        <v>729</v>
      </c>
      <c r="N20" s="4053" t="s">
        <v>730</v>
      </c>
      <c r="O20" s="4053" t="s">
        <v>731</v>
      </c>
      <c r="P20" s="4054" t="s">
        <v>732</v>
      </c>
      <c r="Q20" s="4055" t="s">
        <v>733</v>
      </c>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2"/>
      <c r="AP20" s="3912"/>
      <c r="AQ20" s="3912"/>
      <c r="AR20" s="3912"/>
    </row>
    <row r="21" ht="14" spans="1:67">
      <c r="A21" s="4056" t="s">
        <v>734</v>
      </c>
      <c r="B21" s="4051">
        <v>1.5</v>
      </c>
      <c r="C21" s="3918"/>
      <c r="D21" s="4046"/>
      <c r="E21" s="3918"/>
      <c r="F21" s="3918"/>
      <c r="G21" s="3918"/>
      <c r="H21" s="3918"/>
      <c r="I21" s="3918"/>
      <c r="J21" s="3918"/>
      <c r="K21" s="4057">
        <v>1</v>
      </c>
      <c r="L21" s="4053" t="s">
        <v>735</v>
      </c>
      <c r="M21" s="4057">
        <v>258.81</v>
      </c>
      <c r="N21" s="4057">
        <v>2</v>
      </c>
      <c r="O21" s="4053" t="s">
        <v>736</v>
      </c>
      <c r="P21" s="742">
        <f>M27</f>
        <v>1470</v>
      </c>
      <c r="Q21" s="724">
        <f>ROUND(P21*M21/10000,0)</f>
        <v>38</v>
      </c>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2"/>
      <c r="AP21" s="3912"/>
      <c r="AQ21" s="3912"/>
      <c r="AR21" s="3912"/>
    </row>
    <row r="22" ht="14" spans="1:67">
      <c r="A22" s="4050" t="s">
        <v>737</v>
      </c>
      <c r="B22" s="4058">
        <f>B19+B20</f>
        <v>1.5</v>
      </c>
      <c r="C22" s="3918"/>
      <c r="D22" s="4046"/>
      <c r="E22" s="3918"/>
      <c r="F22" s="3918"/>
      <c r="G22" s="3918"/>
      <c r="H22" s="3918"/>
      <c r="I22" s="3918"/>
      <c r="J22" s="3918"/>
      <c r="K22" s="4057">
        <v>2</v>
      </c>
      <c r="L22" s="4053" t="s">
        <v>735</v>
      </c>
      <c r="M22" s="4057">
        <v>16465.7</v>
      </c>
      <c r="N22" s="4057" t="s">
        <v>738</v>
      </c>
      <c r="O22" s="4053" t="s">
        <v>739</v>
      </c>
      <c r="P22" s="742">
        <f>O27</f>
        <v>2625</v>
      </c>
      <c r="Q22" s="724">
        <f>ROUND(P22*M22/10000,0)</f>
        <v>4322</v>
      </c>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2"/>
      <c r="AP22" s="3912"/>
      <c r="AQ22" s="3912"/>
      <c r="AR22" s="3912"/>
    </row>
    <row r="23" ht="14" spans="1:67">
      <c r="A23" s="4056" t="s">
        <v>740</v>
      </c>
      <c r="B23" s="4058">
        <f>B19+B21</f>
        <v>1.5</v>
      </c>
      <c r="C23" s="3918"/>
      <c r="D23" s="4046"/>
      <c r="E23" s="3918"/>
      <c r="F23" s="3918"/>
      <c r="G23" s="3918"/>
      <c r="H23" s="3918"/>
      <c r="I23" s="3918"/>
      <c r="J23" s="3918"/>
      <c r="K23" s="4057"/>
      <c r="L23" s="4053"/>
      <c r="M23" s="4057"/>
      <c r="N23" s="4057"/>
      <c r="O23" s="4053"/>
      <c r="P23" s="742"/>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2"/>
      <c r="AP23" s="3912"/>
      <c r="AQ23" s="3912"/>
      <c r="AR23" s="3912"/>
    </row>
    <row r="24" ht="14.75" spans="1:67">
      <c r="A24" s="4059" t="s">
        <v>741</v>
      </c>
      <c r="B24" s="4060">
        <f>B20-B21</f>
        <v>0</v>
      </c>
      <c r="C24" s="3918"/>
      <c r="D24" s="4046"/>
      <c r="E24" s="3918"/>
      <c r="F24" s="3918"/>
      <c r="G24" s="3918"/>
      <c r="H24" s="3918"/>
      <c r="I24" s="3918"/>
      <c r="J24" s="3918"/>
      <c r="K24" s="4057"/>
      <c r="L24" s="4057"/>
      <c r="M24" s="4057">
        <f>M21+M22+M23</f>
        <v>16724.51</v>
      </c>
      <c r="N24" s="4057"/>
      <c r="O24" s="4057"/>
      <c r="P24" s="724">
        <f>ROUND(Q24*10000/M24,0)</f>
        <v>2607</v>
      </c>
      <c r="Q24" s="724">
        <f>Q21+Q22+Q23</f>
        <v>4360</v>
      </c>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2"/>
      <c r="AP24" s="3912"/>
      <c r="AQ24" s="3912"/>
      <c r="AR24" s="3912"/>
    </row>
    <row r="25" ht="14.75" spans="1:67">
      <c r="A25" s="3921"/>
      <c r="B25" s="3922"/>
      <c r="C25" s="3918"/>
      <c r="D25" s="4046"/>
      <c r="E25" s="3918"/>
      <c r="F25" s="3918"/>
      <c r="G25" s="3918"/>
      <c r="H25" s="3918"/>
      <c r="I25" s="3918"/>
      <c r="J25" s="3918"/>
      <c r="K25" s="4044"/>
      <c r="L25" s="4044"/>
      <c r="M25" s="724"/>
      <c r="N25" s="724"/>
      <c r="O25" s="724"/>
      <c r="P25" s="4055"/>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2"/>
      <c r="AP25" s="3912"/>
      <c r="AQ25" s="3912"/>
      <c r="AR25" s="3912"/>
    </row>
    <row r="26" ht="14.75" spans="1:67">
      <c r="A26" s="3913" t="s">
        <v>742</v>
      </c>
      <c r="B26" s="4061" t="s">
        <v>743</v>
      </c>
      <c r="C26" s="4062" t="s">
        <v>744</v>
      </c>
      <c r="D26" s="4046"/>
      <c r="E26" s="3918"/>
      <c r="F26" s="3918"/>
      <c r="G26" s="3918"/>
      <c r="H26" s="3918"/>
      <c r="I26" s="3918"/>
      <c r="J26" s="3918"/>
      <c r="K26" s="4044"/>
      <c r="L26" s="4044"/>
      <c r="M26" s="724"/>
      <c r="N26" s="724"/>
      <c r="O26" s="724">
        <v>2625</v>
      </c>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2"/>
      <c r="AP26" s="3912"/>
      <c r="AQ26" s="3912"/>
      <c r="AR26" s="3912"/>
    </row>
    <row r="27" s="3902" customFormat="1" ht="14" spans="1:67">
      <c r="A27" s="4063" t="s">
        <v>745</v>
      </c>
      <c r="B27" s="4064"/>
      <c r="C27" s="4065" t="s">
        <v>746</v>
      </c>
      <c r="D27" s="4066"/>
      <c r="E27" s="1668"/>
      <c r="F27" s="1668"/>
      <c r="G27" s="3918"/>
      <c r="H27" s="3918"/>
      <c r="I27" s="3918"/>
      <c r="J27" s="3918"/>
      <c r="K27" s="4044"/>
      <c r="L27" s="4067" t="s">
        <v>747</v>
      </c>
      <c r="M27" s="4068">
        <f>(M28+M31+M32)*(1+L34)</f>
        <v>1470</v>
      </c>
      <c r="N27" s="4069" t="s">
        <v>748</v>
      </c>
      <c r="O27" s="4068">
        <f>(O28+O31+O32)*(1+L34)</f>
        <v>2625</v>
      </c>
      <c r="P27" s="4070"/>
      <c r="Q27" s="4068"/>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2"/>
      <c r="AP27" s="3912"/>
      <c r="AQ27" s="3912"/>
      <c r="AR27" s="3912"/>
      <c r="AS27" s="40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2" customFormat="1" ht="14" spans="1:67">
      <c r="A28" s="4072" t="s">
        <v>749</v>
      </c>
      <c r="B28" s="4073">
        <v>200</v>
      </c>
      <c r="C28" s="4074"/>
      <c r="D28" s="4066"/>
      <c r="E28" s="1668"/>
      <c r="F28" s="1668"/>
      <c r="G28" s="3918"/>
      <c r="H28" s="3918"/>
      <c r="I28" s="3918"/>
      <c r="J28" s="3918"/>
      <c r="K28" s="4075" t="s">
        <v>478</v>
      </c>
      <c r="L28" s="4076">
        <f t="shared" ref="L28:O28" si="13">L29+L30</f>
        <v>258.81</v>
      </c>
      <c r="M28" s="4077">
        <f>M29</f>
        <v>1000</v>
      </c>
      <c r="N28" s="4078">
        <f t="shared" si="13"/>
        <v>16465.7</v>
      </c>
      <c r="O28" s="4077">
        <f t="shared" si="13"/>
        <v>1900</v>
      </c>
      <c r="P28" s="4078"/>
      <c r="Q28" s="4077"/>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2"/>
      <c r="AP28" s="3912"/>
      <c r="AQ28" s="3912"/>
      <c r="AR28" s="3912"/>
      <c r="AS28" s="40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2" customFormat="1" ht="28.75" spans="1:67">
      <c r="A29" s="4079" t="s">
        <v>750</v>
      </c>
      <c r="B29" s="4080">
        <f ca="1">成本法!C16</f>
        <v>334</v>
      </c>
      <c r="C29" s="4081" t="s">
        <v>751</v>
      </c>
      <c r="D29" s="4066"/>
      <c r="E29" s="1668"/>
      <c r="F29" s="1668"/>
      <c r="G29" s="3918"/>
      <c r="H29" s="3918"/>
      <c r="I29" s="3918"/>
      <c r="J29" s="3918"/>
      <c r="K29" s="4082" t="s">
        <v>610</v>
      </c>
      <c r="L29" s="4076">
        <f>136.12+122.69</f>
        <v>258.81</v>
      </c>
      <c r="M29" s="4077">
        <v>1000</v>
      </c>
      <c r="N29" s="4078">
        <f>16465.7-N30</f>
        <v>15903.26</v>
      </c>
      <c r="O29" s="4077">
        <v>1500</v>
      </c>
      <c r="P29" s="4078"/>
      <c r="Q29" s="4077"/>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2"/>
      <c r="AP29" s="3912"/>
      <c r="AQ29" s="3912"/>
      <c r="AR29" s="3912"/>
      <c r="AS29" s="40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2" customFormat="1" ht="14" spans="1:67">
      <c r="A30" s="4083" t="s">
        <v>752</v>
      </c>
      <c r="B30" s="4084">
        <v>200</v>
      </c>
      <c r="C30" s="4074"/>
      <c r="D30" s="4066"/>
      <c r="E30" s="1668"/>
      <c r="F30" s="1668"/>
      <c r="G30" s="3918"/>
      <c r="H30" s="3918"/>
      <c r="I30" s="3918"/>
      <c r="J30" s="3918"/>
      <c r="K30" s="4082" t="s">
        <v>611</v>
      </c>
      <c r="L30" s="4076">
        <v>0</v>
      </c>
      <c r="M30" s="4077">
        <v>0</v>
      </c>
      <c r="N30" s="4078">
        <v>562.44</v>
      </c>
      <c r="O30" s="4077">
        <v>400</v>
      </c>
      <c r="P30" s="4078"/>
      <c r="Q30" s="4077"/>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2"/>
      <c r="AP30" s="3912"/>
      <c r="AQ30" s="3912"/>
      <c r="AR30" s="3912"/>
      <c r="AS30" s="40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2" customFormat="1" ht="14" spans="1:67">
      <c r="A31" s="4072" t="s">
        <v>753</v>
      </c>
      <c r="B31" s="4058">
        <f>B30-B32</f>
        <v>200</v>
      </c>
      <c r="C31" s="4085"/>
      <c r="D31" s="4066"/>
      <c r="E31" s="1668"/>
      <c r="F31" s="1668"/>
      <c r="G31" s="3918"/>
      <c r="H31" s="3918"/>
      <c r="I31" s="3918"/>
      <c r="J31" s="3918"/>
      <c r="K31" s="4075" t="s">
        <v>480</v>
      </c>
      <c r="L31" s="4076">
        <f>L28</f>
        <v>258.81</v>
      </c>
      <c r="M31" s="4077">
        <v>100</v>
      </c>
      <c r="N31" s="4078">
        <f>N28</f>
        <v>16465.7</v>
      </c>
      <c r="O31" s="4077">
        <v>200</v>
      </c>
      <c r="P31" s="4078"/>
      <c r="Q31" s="4077"/>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2"/>
      <c r="AP31" s="3912"/>
      <c r="AQ31" s="3912"/>
      <c r="AR31" s="3912"/>
      <c r="AS31" s="40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2" customFormat="1" ht="14.75" spans="1:67">
      <c r="A32" s="4086" t="s">
        <v>754</v>
      </c>
      <c r="B32" s="4087">
        <v>0</v>
      </c>
      <c r="C32" s="4074"/>
      <c r="D32" s="4046"/>
      <c r="E32" s="3918"/>
      <c r="F32" s="3918"/>
      <c r="G32" s="3918"/>
      <c r="H32" s="3918"/>
      <c r="I32" s="3918"/>
      <c r="J32" s="3918"/>
      <c r="K32" s="4075" t="s">
        <v>479</v>
      </c>
      <c r="L32" s="4088">
        <f>L28</f>
        <v>258.81</v>
      </c>
      <c r="M32" s="4089">
        <v>300</v>
      </c>
      <c r="N32" s="4090">
        <f>N28</f>
        <v>16465.7</v>
      </c>
      <c r="O32" s="4089">
        <v>400</v>
      </c>
      <c r="P32" s="4090"/>
      <c r="Q32" s="4089"/>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2"/>
      <c r="AP32" s="3912"/>
      <c r="AQ32" s="3912"/>
      <c r="AR32" s="3912"/>
      <c r="AS32" s="40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2" customFormat="1" ht="14" spans="1:67">
      <c r="A33" s="4063" t="s">
        <v>755</v>
      </c>
      <c r="B33" s="4091">
        <v>0.03</v>
      </c>
      <c r="C33" s="4092" t="s">
        <v>756</v>
      </c>
      <c r="D33" s="4046"/>
      <c r="E33" s="3918"/>
      <c r="F33" s="3918"/>
      <c r="G33" s="3918"/>
      <c r="H33" s="3918"/>
      <c r="I33" s="3918"/>
      <c r="J33" s="3918"/>
      <c r="K33" s="4044"/>
      <c r="L33" s="404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2"/>
      <c r="AP33" s="3912"/>
      <c r="AQ33" s="3912"/>
      <c r="AR33" s="3912"/>
      <c r="AS33" s="40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2" customFormat="1" ht="14" spans="1:67">
      <c r="A34" s="4072" t="s">
        <v>757</v>
      </c>
      <c r="B34" s="4093">
        <v>0</v>
      </c>
      <c r="C34" s="4092" t="s">
        <v>758</v>
      </c>
      <c r="D34" s="4094" t="s">
        <v>759</v>
      </c>
      <c r="E34" s="4042"/>
      <c r="F34" s="3918"/>
      <c r="G34" s="3918"/>
      <c r="H34" s="3918"/>
      <c r="I34" s="3918"/>
      <c r="J34" s="3918"/>
      <c r="K34" s="4075" t="s">
        <v>760</v>
      </c>
      <c r="L34" s="4095">
        <v>0.05</v>
      </c>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2"/>
      <c r="AP34" s="3912"/>
      <c r="AQ34" s="3912"/>
      <c r="AR34" s="3912"/>
      <c r="AS34" s="40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2" customFormat="1" ht="14" spans="1:67">
      <c r="A35" s="4072" t="s">
        <v>761</v>
      </c>
      <c r="B35" s="4073">
        <v>185</v>
      </c>
      <c r="C35" s="4092" t="s">
        <v>762</v>
      </c>
      <c r="D35" s="4066"/>
      <c r="E35" s="1668"/>
      <c r="F35" s="1668"/>
      <c r="G35" s="3918"/>
      <c r="H35" s="3918"/>
      <c r="I35" s="3918"/>
      <c r="J35" s="3918"/>
      <c r="K35" s="4075"/>
      <c r="L35" s="4095"/>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2"/>
      <c r="AP35" s="3912"/>
      <c r="AQ35" s="3912"/>
      <c r="AR35" s="3912"/>
      <c r="AS35" s="40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2" customFormat="1" ht="14" spans="1:67">
      <c r="A36" s="4096" t="s">
        <v>763</v>
      </c>
      <c r="B36" s="4093">
        <v>0.01</v>
      </c>
      <c r="C36" s="4092"/>
      <c r="D36" s="4066"/>
      <c r="E36" s="1668"/>
      <c r="F36" s="1668"/>
      <c r="G36" s="3918"/>
      <c r="H36" s="3918"/>
      <c r="I36" s="3918"/>
      <c r="J36" s="3918"/>
      <c r="K36" s="4044"/>
      <c r="L36" s="404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2"/>
      <c r="AP36" s="3912"/>
      <c r="AQ36" s="3912"/>
      <c r="AR36" s="3912"/>
      <c r="AS36" s="40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097" t="s">
        <v>764</v>
      </c>
      <c r="B37" s="4098">
        <v>0.01</v>
      </c>
      <c r="D37" s="4046"/>
      <c r="E37" s="3918"/>
      <c r="F37" s="3918"/>
      <c r="G37" s="3918"/>
      <c r="H37" s="3918"/>
      <c r="I37" s="3918"/>
      <c r="J37" s="3918"/>
      <c r="K37" s="4044"/>
      <c r="L37" s="404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2"/>
      <c r="AP37" s="3912"/>
      <c r="AQ37" s="3912"/>
      <c r="AR37" s="3912"/>
    </row>
    <row r="38" ht="14" spans="1:67">
      <c r="A38" s="4083" t="s">
        <v>765</v>
      </c>
      <c r="B38" s="4099">
        <v>0.03</v>
      </c>
      <c r="C38" s="4092" t="s">
        <v>766</v>
      </c>
      <c r="D38" s="4046"/>
      <c r="E38" s="3918"/>
      <c r="F38" s="3918"/>
      <c r="G38" s="3918"/>
      <c r="H38" s="3918"/>
      <c r="I38" s="3918"/>
      <c r="J38" s="3918"/>
      <c r="K38" s="4044"/>
      <c r="L38" s="404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2"/>
      <c r="AP38" s="3912"/>
      <c r="AQ38" s="3912"/>
      <c r="AR38" s="3912"/>
    </row>
    <row r="39" ht="14" spans="1:67">
      <c r="A39" s="4072" t="s">
        <v>767</v>
      </c>
      <c r="B39" s="4093">
        <v>0.03</v>
      </c>
      <c r="C39" s="4092" t="s">
        <v>768</v>
      </c>
      <c r="D39" s="4046"/>
      <c r="E39" s="3918"/>
      <c r="F39" s="3918"/>
      <c r="G39" s="3918"/>
      <c r="H39" s="3918"/>
      <c r="I39" s="3918"/>
      <c r="J39" s="3918"/>
      <c r="K39" s="4044"/>
      <c r="L39" s="404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2"/>
      <c r="AP39" s="3912"/>
      <c r="AQ39" s="3912"/>
      <c r="AR39" s="3912"/>
    </row>
    <row r="40" ht="14" spans="1:67">
      <c r="A40" s="4086" t="s">
        <v>769</v>
      </c>
      <c r="B40" s="4100">
        <f ca="1">存贷款利率!I1</f>
        <v>0.015</v>
      </c>
      <c r="C40" s="4101"/>
      <c r="D40" s="4046"/>
      <c r="E40" s="3918"/>
      <c r="F40" s="3918"/>
      <c r="G40" s="3918"/>
      <c r="H40" s="3918"/>
      <c r="I40" s="3918"/>
      <c r="J40" s="3918"/>
      <c r="K40" s="4044"/>
      <c r="L40" s="404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2"/>
      <c r="AP40" s="3912"/>
      <c r="AQ40" s="3912"/>
      <c r="AR40" s="3912"/>
    </row>
    <row r="41" ht="14.75" spans="1:67">
      <c r="A41" s="4102" t="s">
        <v>770</v>
      </c>
      <c r="B41" s="4103">
        <f ca="1">IF(A41="利息：取LPR",存贷款利率!G1,存贷款利率!G1+C41)</f>
        <v>0.0306</v>
      </c>
      <c r="C41" s="4104"/>
      <c r="D41" s="724"/>
      <c r="E41" s="4046"/>
      <c r="F41" s="3918"/>
      <c r="G41" s="3918"/>
      <c r="H41" s="3918"/>
      <c r="I41" s="3918"/>
      <c r="J41" s="3918"/>
      <c r="K41" s="4044"/>
      <c r="L41" s="404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2"/>
      <c r="AP41" s="3912"/>
      <c r="AQ41" s="3912"/>
      <c r="AR41" s="3912"/>
    </row>
    <row r="42" ht="14" spans="1:67">
      <c r="A42" s="4105" t="s">
        <v>771</v>
      </c>
      <c r="B42" s="4106"/>
      <c r="C42" s="4085"/>
      <c r="D42" s="724"/>
      <c r="E42" s="4046"/>
      <c r="F42" s="3918"/>
      <c r="G42" s="3918"/>
      <c r="H42" s="3918"/>
      <c r="I42" s="3918"/>
      <c r="J42" s="3918"/>
      <c r="K42" s="4044"/>
      <c r="L42" s="404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2"/>
      <c r="AP42" s="3912"/>
      <c r="AQ42" s="3912"/>
      <c r="AR42" s="3912"/>
    </row>
    <row r="43" ht="14" spans="1:67">
      <c r="A43" s="4107" t="s">
        <v>772</v>
      </c>
      <c r="B43" s="4108">
        <v>0.09</v>
      </c>
      <c r="C43" s="4109"/>
      <c r="D43" s="4046"/>
      <c r="E43" s="3918"/>
      <c r="F43" s="3918"/>
      <c r="G43" s="3918"/>
      <c r="H43" s="3918"/>
      <c r="I43" s="3918"/>
      <c r="J43" s="3918"/>
      <c r="K43" s="4044"/>
      <c r="L43" s="404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2"/>
      <c r="AP43" s="3912"/>
      <c r="AQ43" s="3912"/>
      <c r="AR43" s="3912"/>
    </row>
    <row r="44" ht="14" spans="1:67">
      <c r="A44" s="4107" t="s">
        <v>773</v>
      </c>
      <c r="B44" s="4110">
        <f>B45+B46+B47</f>
        <v>0.1</v>
      </c>
      <c r="C44" s="4085"/>
      <c r="D44" s="4046"/>
      <c r="E44" s="3918"/>
      <c r="F44" s="3918"/>
      <c r="G44" s="3918"/>
      <c r="H44" s="3918"/>
      <c r="I44" s="3918"/>
      <c r="J44" s="3918"/>
      <c r="K44" s="4044"/>
      <c r="L44" s="404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2"/>
      <c r="AP44" s="3912"/>
      <c r="AQ44" s="3912"/>
      <c r="AR44" s="3912"/>
    </row>
    <row r="45" ht="14" spans="1:67">
      <c r="A45" s="4111" t="s">
        <v>774</v>
      </c>
      <c r="B45" s="4112">
        <v>0.05</v>
      </c>
      <c r="C45" s="4092" t="s">
        <v>775</v>
      </c>
      <c r="D45" s="4046"/>
      <c r="E45" s="3918"/>
      <c r="F45" s="3918"/>
      <c r="G45" s="3918"/>
      <c r="H45" s="3918"/>
      <c r="I45" s="3918"/>
      <c r="J45" s="3918"/>
      <c r="K45" s="4044"/>
      <c r="L45" s="404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2"/>
      <c r="AP45" s="3912"/>
      <c r="AQ45" s="3912"/>
      <c r="AR45" s="3912"/>
    </row>
    <row r="46" ht="14" spans="1:67">
      <c r="A46" s="4111" t="s">
        <v>776</v>
      </c>
      <c r="B46" s="4113">
        <v>0.03</v>
      </c>
      <c r="C46" s="4081" t="s">
        <v>777</v>
      </c>
      <c r="D46" s="4046"/>
      <c r="E46" s="3918"/>
      <c r="F46" s="3918"/>
      <c r="G46" s="3918"/>
      <c r="H46" s="3918"/>
      <c r="I46" s="3918"/>
      <c r="J46" s="3918"/>
      <c r="K46" s="4044"/>
      <c r="L46" s="404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2"/>
      <c r="AP46" s="3912"/>
      <c r="AQ46" s="3912"/>
      <c r="AR46" s="3912"/>
    </row>
    <row r="47" ht="14" spans="1:67">
      <c r="A47" s="4111" t="s">
        <v>778</v>
      </c>
      <c r="B47" s="4113">
        <v>0.02</v>
      </c>
      <c r="C47" s="4081" t="s">
        <v>779</v>
      </c>
      <c r="D47" s="4046"/>
      <c r="E47" s="3918"/>
      <c r="F47" s="3918"/>
      <c r="G47" s="3918"/>
      <c r="H47" s="3918"/>
      <c r="I47" s="3918"/>
      <c r="J47" s="3918"/>
      <c r="K47" s="4044"/>
      <c r="L47" s="404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2"/>
      <c r="AP47" s="3912"/>
      <c r="AQ47" s="3912"/>
      <c r="AR47" s="3912"/>
    </row>
    <row r="48" ht="14.75" spans="1:67">
      <c r="A48" s="4114" t="s">
        <v>780</v>
      </c>
      <c r="B48" s="4115"/>
      <c r="C48" s="4116" t="s">
        <v>781</v>
      </c>
      <c r="D48" s="4046"/>
      <c r="E48" s="3918"/>
      <c r="F48" s="3918"/>
      <c r="G48" s="3918"/>
      <c r="H48" s="3918"/>
      <c r="I48" s="3918"/>
      <c r="J48" s="3918"/>
      <c r="K48" s="4044"/>
      <c r="L48" s="404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2"/>
      <c r="AP48" s="3912"/>
      <c r="AQ48" s="3912"/>
      <c r="AR48" s="3912"/>
    </row>
    <row r="49" ht="14" spans="1:44">
      <c r="A49" s="4117" t="s">
        <v>782</v>
      </c>
      <c r="B49" s="4118">
        <v>0.03</v>
      </c>
      <c r="C49" s="4081" t="s">
        <v>777</v>
      </c>
      <c r="D49" s="4046"/>
      <c r="E49" s="3918"/>
      <c r="F49" s="3918"/>
      <c r="G49" s="3918"/>
      <c r="H49" s="3918"/>
      <c r="I49" s="3918"/>
      <c r="J49" s="3918"/>
      <c r="K49" s="4044"/>
      <c r="L49" s="404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2"/>
      <c r="AP49" s="3912"/>
      <c r="AQ49" s="3912"/>
      <c r="AR49" s="3912"/>
    </row>
    <row r="50" ht="14.75" spans="1:44">
      <c r="A50" s="4086" t="s">
        <v>783</v>
      </c>
      <c r="B50" s="4113">
        <v>0.0005</v>
      </c>
      <c r="C50" s="4081" t="s">
        <v>784</v>
      </c>
      <c r="D50" s="4046"/>
      <c r="E50" s="3918"/>
      <c r="F50" s="3918"/>
      <c r="G50" s="3918"/>
      <c r="H50" s="3918"/>
      <c r="I50" s="3918"/>
      <c r="J50" s="3918"/>
      <c r="K50" s="4044"/>
      <c r="L50" s="404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2"/>
      <c r="AP50" s="3912"/>
      <c r="AQ50" s="3912"/>
      <c r="AR50" s="3912"/>
    </row>
    <row r="51" ht="14" spans="1:44">
      <c r="A51" s="4119" t="s">
        <v>785</v>
      </c>
      <c r="B51" s="4120">
        <v>0.012</v>
      </c>
      <c r="C51" s="1668"/>
      <c r="D51" s="4046"/>
      <c r="E51" s="3918"/>
      <c r="F51" s="3918"/>
      <c r="G51" s="3918"/>
      <c r="H51" s="3918"/>
      <c r="I51" s="3918"/>
      <c r="J51" s="3918"/>
      <c r="K51" s="4044"/>
      <c r="L51" s="404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2"/>
      <c r="AP51" s="3912"/>
      <c r="AQ51" s="3912"/>
      <c r="AR51" s="3912"/>
    </row>
    <row r="52" ht="14.75" spans="1:44">
      <c r="A52" s="4079" t="s">
        <v>786</v>
      </c>
      <c r="B52" s="4121">
        <v>0.12</v>
      </c>
      <c r="C52" s="1668"/>
      <c r="D52" s="4046"/>
      <c r="E52" s="3918"/>
      <c r="F52" s="3918"/>
      <c r="G52" s="3918"/>
      <c r="H52" s="3918"/>
      <c r="I52" s="3918"/>
      <c r="J52" s="3918"/>
      <c r="K52" s="4044"/>
      <c r="L52" s="404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2"/>
      <c r="AP52" s="3912"/>
      <c r="AQ52" s="3912"/>
      <c r="AR52" s="3912"/>
    </row>
    <row r="53" ht="14" spans="1:44">
      <c r="A53" s="4119" t="s">
        <v>787</v>
      </c>
      <c r="B53" s="4122">
        <f>SUMIF(A55:A64,B54,B55:B64)</f>
        <v>1.5</v>
      </c>
      <c r="C53" s="1668"/>
      <c r="D53" s="4046"/>
      <c r="E53" s="3918"/>
      <c r="F53" s="3918"/>
      <c r="G53" s="3918"/>
      <c r="H53" s="3918"/>
      <c r="I53" s="3918"/>
      <c r="J53" s="3918"/>
      <c r="K53" s="4044"/>
      <c r="L53" s="404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2"/>
      <c r="AP53" s="3912"/>
      <c r="AQ53" s="3912"/>
      <c r="AR53" s="3912"/>
    </row>
    <row r="54" ht="14" spans="1:44">
      <c r="A54" s="4072" t="s">
        <v>788</v>
      </c>
      <c r="B54" s="4123" t="s">
        <v>295</v>
      </c>
      <c r="C54" s="1668" t="s">
        <v>789</v>
      </c>
      <c r="D54" s="4124" t="s">
        <v>790</v>
      </c>
      <c r="E54" s="3918"/>
      <c r="F54" s="3918"/>
      <c r="G54" s="3918"/>
      <c r="H54" s="3918"/>
      <c r="I54" s="3918"/>
      <c r="J54" s="3918"/>
      <c r="K54" s="4044"/>
      <c r="L54" s="404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2"/>
      <c r="AP54" s="3912"/>
      <c r="AQ54" s="3912"/>
      <c r="AR54" s="3912"/>
    </row>
    <row r="55" ht="14" spans="1:44">
      <c r="A55" s="4125" t="s">
        <v>791</v>
      </c>
      <c r="B55" s="4126"/>
      <c r="C55" s="4127">
        <v>30</v>
      </c>
      <c r="D55" s="4046"/>
      <c r="E55" s="3918"/>
      <c r="F55" s="3918"/>
      <c r="G55" s="3918"/>
      <c r="H55" s="3918"/>
      <c r="I55" s="3918"/>
      <c r="J55" s="3918"/>
      <c r="K55" s="4044"/>
      <c r="L55" s="404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2"/>
      <c r="AP55" s="3912"/>
      <c r="AQ55" s="3912"/>
      <c r="AR55" s="3912"/>
    </row>
    <row r="56" ht="14" spans="1:44">
      <c r="A56" s="4125" t="s">
        <v>792</v>
      </c>
      <c r="B56" s="4126"/>
      <c r="C56" s="4127">
        <v>24</v>
      </c>
      <c r="D56" s="4046"/>
      <c r="E56" s="3918"/>
      <c r="F56" s="3918"/>
      <c r="G56" s="3918"/>
      <c r="H56" s="3918"/>
      <c r="I56" s="4128"/>
      <c r="J56" s="3918"/>
      <c r="K56" s="4044"/>
      <c r="L56" s="404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2"/>
      <c r="AP56" s="3912"/>
      <c r="AQ56" s="3912"/>
      <c r="AR56" s="3912"/>
    </row>
    <row r="57" ht="14" spans="1:44">
      <c r="A57" s="4125" t="s">
        <v>793</v>
      </c>
      <c r="B57" s="4126"/>
      <c r="C57" s="4127">
        <v>18</v>
      </c>
      <c r="D57" s="4046"/>
      <c r="E57" s="3918"/>
      <c r="F57" s="3918"/>
      <c r="G57" s="3918"/>
      <c r="H57" s="3918"/>
      <c r="I57" s="3918"/>
      <c r="J57" s="3918"/>
      <c r="K57" s="4044"/>
      <c r="L57" s="404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2"/>
      <c r="AP57" s="3912"/>
      <c r="AQ57" s="3912"/>
      <c r="AR57" s="3912"/>
    </row>
    <row r="58" ht="14" spans="1:44">
      <c r="A58" s="4125" t="s">
        <v>794</v>
      </c>
      <c r="B58" s="4126"/>
      <c r="C58" s="4127">
        <v>12</v>
      </c>
      <c r="D58" s="4046"/>
      <c r="E58" s="3918"/>
      <c r="F58" s="3918"/>
      <c r="G58" s="3918"/>
      <c r="H58" s="3918"/>
      <c r="I58" s="3918"/>
      <c r="J58" s="3918"/>
      <c r="K58" s="4044"/>
      <c r="L58" s="404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2"/>
      <c r="AP58" s="3912"/>
      <c r="AQ58" s="3912"/>
      <c r="AR58" s="3912"/>
    </row>
    <row r="59" ht="14" spans="1:44">
      <c r="A59" s="4125" t="s">
        <v>795</v>
      </c>
      <c r="B59" s="4126"/>
      <c r="C59" s="4127">
        <v>3</v>
      </c>
      <c r="D59" s="4046"/>
      <c r="E59" s="3918"/>
      <c r="F59" s="3918"/>
      <c r="G59" s="3918"/>
      <c r="H59" s="3918"/>
      <c r="I59" s="3918"/>
      <c r="J59" s="3918"/>
      <c r="K59" s="4044"/>
      <c r="L59" s="404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2"/>
      <c r="AP59" s="3912"/>
      <c r="AQ59" s="3912"/>
      <c r="AR59" s="3912"/>
    </row>
    <row r="60" ht="14" spans="1:44">
      <c r="A60" s="4125" t="s">
        <v>796</v>
      </c>
      <c r="B60" s="4126">
        <v>1.5</v>
      </c>
      <c r="C60" s="4127">
        <v>1.5</v>
      </c>
      <c r="D60" s="4046"/>
      <c r="E60" s="3918"/>
      <c r="F60" s="3918"/>
      <c r="G60" s="3918"/>
      <c r="H60" s="3918"/>
      <c r="I60" s="3918"/>
      <c r="J60" s="3918"/>
      <c r="K60" s="4044"/>
      <c r="L60" s="404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2"/>
      <c r="AP60" s="3912"/>
      <c r="AQ60" s="3912"/>
      <c r="AR60" s="3912"/>
    </row>
    <row r="61" ht="14" spans="1:44">
      <c r="A61" s="4125" t="s">
        <v>797</v>
      </c>
      <c r="B61" s="4126"/>
      <c r="C61" s="4129"/>
      <c r="D61" s="4046"/>
      <c r="E61" s="3918"/>
      <c r="F61" s="3918"/>
      <c r="G61" s="3918"/>
      <c r="H61" s="3918"/>
      <c r="I61" s="3918"/>
      <c r="J61" s="3918"/>
      <c r="K61" s="4044"/>
      <c r="L61" s="404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2"/>
      <c r="AP61" s="3912"/>
      <c r="AQ61" s="3912"/>
      <c r="AR61" s="3912"/>
    </row>
    <row r="62" ht="14" spans="1:44">
      <c r="A62" s="4125" t="s">
        <v>798</v>
      </c>
      <c r="B62" s="4126"/>
      <c r="C62" s="4129"/>
      <c r="D62" s="4046"/>
      <c r="E62" s="3918"/>
      <c r="F62" s="3918"/>
      <c r="G62" s="3918"/>
      <c r="H62" s="3918"/>
      <c r="I62" s="3918"/>
      <c r="J62" s="3918"/>
      <c r="K62" s="4044"/>
      <c r="L62" s="404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2"/>
      <c r="AP62" s="3912"/>
      <c r="AQ62" s="3912"/>
      <c r="AR62" s="3912"/>
    </row>
    <row r="63" ht="14" spans="1:44">
      <c r="A63" s="4125" t="s">
        <v>799</v>
      </c>
      <c r="B63" s="4126"/>
      <c r="C63" s="4129"/>
      <c r="D63" s="4046"/>
      <c r="E63" s="3918"/>
      <c r="F63" s="3918"/>
      <c r="G63" s="3918"/>
      <c r="H63" s="3918"/>
      <c r="I63" s="3918"/>
      <c r="J63" s="3918"/>
      <c r="K63" s="4044"/>
      <c r="L63" s="404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2"/>
      <c r="AP63" s="3912"/>
      <c r="AQ63" s="3912"/>
      <c r="AR63" s="3912"/>
    </row>
    <row r="64" ht="14.75" spans="1:44">
      <c r="A64" s="4130" t="s">
        <v>800</v>
      </c>
      <c r="B64" s="4131"/>
      <c r="C64" s="4129"/>
      <c r="D64" s="4046"/>
      <c r="E64" s="3918"/>
      <c r="F64" s="3918"/>
      <c r="G64" s="3918"/>
      <c r="H64" s="3918"/>
      <c r="I64" s="3918"/>
      <c r="J64" s="3918"/>
      <c r="K64" s="4044"/>
      <c r="L64" s="404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2"/>
      <c r="AP64" s="3912"/>
      <c r="AQ64" s="3912"/>
      <c r="AR64" s="3912"/>
    </row>
    <row r="65" s="742" customFormat="1" spans="1:45">
      <c r="A65" s="4132"/>
      <c r="B65" s="724"/>
      <c r="C65" s="724"/>
      <c r="D65" s="4043"/>
      <c r="E65" s="724"/>
      <c r="F65" s="724"/>
      <c r="G65" s="724"/>
      <c r="H65" s="724"/>
      <c r="I65" s="724"/>
      <c r="J65" s="724"/>
      <c r="K65" s="4044"/>
      <c r="L65" s="404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2"/>
      <c r="AP65" s="3912"/>
      <c r="AQ65" s="3912"/>
      <c r="AR65" s="3912"/>
      <c r="AS65" s="4133"/>
    </row>
    <row r="66" s="742" customFormat="1" spans="1:45">
      <c r="A66" s="4132"/>
      <c r="B66" s="724"/>
      <c r="C66" s="724"/>
      <c r="D66" s="4043"/>
      <c r="E66" s="724"/>
      <c r="F66" s="724"/>
      <c r="G66" s="724"/>
      <c r="H66" s="724"/>
      <c r="I66" s="724"/>
      <c r="J66" s="724"/>
      <c r="K66" s="4044"/>
      <c r="L66" s="404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2"/>
      <c r="AP66" s="3912"/>
      <c r="AQ66" s="3912"/>
      <c r="AR66" s="3912"/>
      <c r="AS66" s="4133"/>
    </row>
    <row r="67" s="742" customFormat="1" spans="1:45">
      <c r="A67" s="4132"/>
      <c r="B67" s="724"/>
      <c r="C67" s="724"/>
      <c r="D67" s="4043"/>
      <c r="E67" s="724"/>
      <c r="F67" s="724"/>
      <c r="G67" s="724"/>
      <c r="H67" s="724"/>
      <c r="I67" s="724"/>
      <c r="J67" s="724"/>
      <c r="K67" s="4044"/>
      <c r="L67" s="404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2"/>
      <c r="AP67" s="3912"/>
      <c r="AQ67" s="3912"/>
      <c r="AR67" s="3912"/>
      <c r="AS67" s="4133"/>
    </row>
    <row r="68" s="742" customFormat="1" spans="1:45">
      <c r="A68" s="4132"/>
      <c r="B68" s="724"/>
      <c r="C68" s="724"/>
      <c r="D68" s="4043"/>
      <c r="E68" s="724"/>
      <c r="F68" s="724"/>
      <c r="G68" s="724"/>
      <c r="H68" s="724"/>
      <c r="I68" s="724"/>
      <c r="J68" s="724"/>
      <c r="K68" s="4044"/>
      <c r="L68" s="404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2"/>
      <c r="AP68" s="3912"/>
      <c r="AQ68" s="3912"/>
      <c r="AR68" s="3912"/>
      <c r="AS68" s="4133"/>
    </row>
    <row r="69" s="742" customFormat="1" spans="1:45">
      <c r="A69" s="4132"/>
      <c r="B69" s="724"/>
      <c r="C69" s="724"/>
      <c r="D69" s="4043"/>
      <c r="E69" s="724"/>
      <c r="F69" s="724"/>
      <c r="G69" s="724"/>
      <c r="H69" s="724"/>
      <c r="I69" s="724"/>
      <c r="J69" s="724"/>
      <c r="K69" s="4044"/>
      <c r="L69" s="404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2"/>
      <c r="AP69" s="3912"/>
      <c r="AQ69" s="3912"/>
      <c r="AR69" s="3912"/>
      <c r="AS69" s="4133"/>
    </row>
    <row r="70" s="742" customFormat="1" spans="1:45">
      <c r="A70" s="3808"/>
      <c r="D70" s="4134"/>
      <c r="K70" s="717"/>
      <c r="L70" s="717"/>
      <c r="AO70" s="4133"/>
      <c r="AP70" s="4133"/>
      <c r="AQ70" s="4133"/>
      <c r="AR70" s="4133"/>
      <c r="AS70" s="4133"/>
    </row>
    <row r="71" s="742" customFormat="1" spans="1:45">
      <c r="A71" s="3808"/>
      <c r="D71" s="4134"/>
      <c r="K71" s="717"/>
      <c r="L71" s="717"/>
      <c r="AO71" s="4133"/>
      <c r="AP71" s="4133"/>
      <c r="AQ71" s="4133"/>
      <c r="AR71" s="4133"/>
      <c r="AS71" s="4133"/>
    </row>
    <row r="72" s="742" customFormat="1" spans="1:45">
      <c r="A72" s="3808"/>
      <c r="D72" s="4134"/>
      <c r="K72" s="717"/>
      <c r="L72" s="717"/>
      <c r="AO72" s="4133"/>
      <c r="AP72" s="4133"/>
      <c r="AQ72" s="4133"/>
      <c r="AR72" s="4133"/>
      <c r="AS72" s="4133"/>
    </row>
    <row r="73" s="742" customFormat="1" spans="1:45">
      <c r="A73" s="3808"/>
      <c r="D73" s="4134"/>
      <c r="K73" s="717"/>
      <c r="L73" s="717"/>
      <c r="AO73" s="4133"/>
      <c r="AP73" s="4133"/>
      <c r="AQ73" s="4133"/>
      <c r="AR73" s="4133"/>
      <c r="AS73" s="4133"/>
    </row>
    <row r="74" s="742" customFormat="1" spans="1:45">
      <c r="A74" s="3808"/>
      <c r="D74" s="4134"/>
      <c r="K74" s="717"/>
      <c r="L74" s="717"/>
      <c r="AO74" s="4133"/>
      <c r="AP74" s="4133"/>
      <c r="AQ74" s="4133"/>
      <c r="AR74" s="4133"/>
      <c r="AS74" s="4133"/>
    </row>
    <row r="75" s="742" customFormat="1" spans="1:45">
      <c r="A75" s="3808"/>
      <c r="D75" s="4134"/>
      <c r="K75" s="717"/>
      <c r="L75" s="717"/>
      <c r="AO75" s="4133"/>
      <c r="AP75" s="4133"/>
      <c r="AQ75" s="4133"/>
      <c r="AR75" s="4133"/>
      <c r="AS75" s="4133"/>
    </row>
    <row r="76" s="742" customFormat="1" spans="1:45">
      <c r="A76" s="3808"/>
      <c r="D76" s="4134"/>
      <c r="K76" s="717"/>
      <c r="L76" s="717"/>
      <c r="AO76" s="4133"/>
      <c r="AP76" s="4133"/>
      <c r="AQ76" s="4133"/>
      <c r="AR76" s="4133"/>
      <c r="AS76" s="4133"/>
    </row>
    <row r="77" s="742" customFormat="1" spans="1:45">
      <c r="A77" s="3808"/>
      <c r="D77" s="4134"/>
      <c r="K77" s="717"/>
      <c r="L77" s="717"/>
      <c r="AO77" s="4133"/>
      <c r="AP77" s="4133"/>
      <c r="AQ77" s="4133"/>
      <c r="AR77" s="4133"/>
      <c r="AS77" s="4133"/>
    </row>
    <row r="78" s="742" customFormat="1" spans="1:45">
      <c r="A78" s="3808"/>
      <c r="D78" s="4134"/>
      <c r="K78" s="717"/>
      <c r="L78" s="717"/>
      <c r="AO78" s="4133"/>
      <c r="AP78" s="4133"/>
      <c r="AQ78" s="4133"/>
      <c r="AR78" s="4133"/>
      <c r="AS78" s="4133"/>
    </row>
    <row r="79" s="742" customFormat="1" spans="1:45">
      <c r="A79" s="3808"/>
      <c r="D79" s="4134"/>
      <c r="K79" s="717"/>
      <c r="L79" s="717"/>
      <c r="AO79" s="4133"/>
      <c r="AP79" s="4133"/>
      <c r="AQ79" s="4133"/>
      <c r="AR79" s="4133"/>
      <c r="AS79" s="4133"/>
    </row>
    <row r="80" s="742" customFormat="1" spans="1:45">
      <c r="A80" s="3808"/>
      <c r="D80" s="4134"/>
      <c r="K80" s="717"/>
      <c r="L80" s="717"/>
      <c r="AO80" s="4133"/>
      <c r="AP80" s="4133"/>
      <c r="AQ80" s="4133"/>
      <c r="AR80" s="4133"/>
      <c r="AS80" s="4133"/>
    </row>
    <row r="81" s="742" customFormat="1" spans="1:45">
      <c r="A81" s="3808"/>
      <c r="D81" s="4134"/>
      <c r="K81" s="717"/>
      <c r="L81" s="717"/>
      <c r="AO81" s="4133"/>
      <c r="AP81" s="4133"/>
      <c r="AQ81" s="4133"/>
      <c r="AR81" s="4133"/>
      <c r="AS81" s="4133"/>
    </row>
    <row r="82" s="742" customFormat="1" spans="1:45">
      <c r="A82" s="3808"/>
      <c r="D82" s="4134"/>
      <c r="K82" s="717"/>
      <c r="L82" s="717"/>
      <c r="AO82" s="4133"/>
      <c r="AP82" s="4133"/>
      <c r="AQ82" s="4133"/>
      <c r="AR82" s="4133"/>
      <c r="AS82" s="4133"/>
    </row>
    <row r="83" s="742" customFormat="1" spans="1:45">
      <c r="A83" s="3808"/>
      <c r="D83" s="4134"/>
      <c r="K83" s="717"/>
      <c r="L83" s="717"/>
      <c r="AO83" s="4133"/>
      <c r="AP83" s="4133"/>
      <c r="AQ83" s="4133"/>
      <c r="AR83" s="4133"/>
      <c r="AS83" s="4133"/>
    </row>
    <row r="84" s="742" customFormat="1" spans="1:45">
      <c r="A84" s="3808"/>
      <c r="D84" s="4134"/>
      <c r="K84" s="717"/>
      <c r="L84" s="717"/>
      <c r="AO84" s="4133"/>
      <c r="AP84" s="4133"/>
      <c r="AQ84" s="4133"/>
      <c r="AR84" s="4133"/>
      <c r="AS84" s="4133"/>
    </row>
    <row r="85" s="742" customFormat="1" spans="1:45">
      <c r="A85" s="3808"/>
      <c r="D85" s="4134"/>
      <c r="K85" s="717"/>
      <c r="L85" s="717"/>
      <c r="AO85" s="4133"/>
      <c r="AP85" s="4133"/>
      <c r="AQ85" s="4133"/>
      <c r="AR85" s="4133"/>
      <c r="AS85" s="4133"/>
    </row>
    <row r="86" s="742" customFormat="1" spans="1:45">
      <c r="A86" s="3808"/>
      <c r="D86" s="4134"/>
      <c r="K86" s="717"/>
      <c r="L86" s="717"/>
      <c r="AO86" s="4133"/>
      <c r="AP86" s="4133"/>
      <c r="AQ86" s="4133"/>
      <c r="AR86" s="4133"/>
      <c r="AS86" s="4133"/>
    </row>
    <row r="87" s="742" customFormat="1" spans="1:45">
      <c r="A87" s="3808"/>
      <c r="D87" s="4134"/>
      <c r="K87" s="717"/>
      <c r="L87" s="717"/>
      <c r="AO87" s="4133"/>
      <c r="AP87" s="4133"/>
      <c r="AQ87" s="4133"/>
      <c r="AR87" s="4133"/>
      <c r="AS87" s="4133"/>
    </row>
    <row r="88" s="742" customFormat="1" spans="1:45">
      <c r="A88" s="3808"/>
      <c r="D88" s="4134"/>
      <c r="K88" s="717"/>
      <c r="L88" s="717"/>
      <c r="AO88" s="4133"/>
      <c r="AP88" s="4133"/>
      <c r="AQ88" s="4133"/>
      <c r="AR88" s="4133"/>
      <c r="AS88" s="4133"/>
    </row>
    <row r="89" s="742" customFormat="1" spans="1:45">
      <c r="A89" s="3808"/>
      <c r="D89" s="4134"/>
      <c r="K89" s="717"/>
      <c r="L89" s="717"/>
      <c r="AO89" s="4133"/>
      <c r="AP89" s="4133"/>
      <c r="AQ89" s="4133"/>
      <c r="AR89" s="4133"/>
      <c r="AS89" s="4133"/>
    </row>
    <row r="90" s="742" customFormat="1" spans="1:45">
      <c r="A90" s="3808"/>
      <c r="D90" s="4134"/>
      <c r="K90" s="717"/>
      <c r="L90" s="717"/>
      <c r="AO90" s="4133"/>
      <c r="AP90" s="4133"/>
      <c r="AQ90" s="4133"/>
      <c r="AR90" s="4133"/>
      <c r="AS90" s="4133"/>
    </row>
    <row r="91" s="742" customFormat="1" spans="1:45">
      <c r="A91" s="3808"/>
      <c r="D91" s="4134"/>
      <c r="K91" s="717"/>
      <c r="L91" s="717"/>
      <c r="AO91" s="4133"/>
      <c r="AP91" s="4133"/>
      <c r="AQ91" s="4133"/>
      <c r="AR91" s="4133"/>
      <c r="AS91" s="4133"/>
    </row>
    <row r="92" s="742" customFormat="1" spans="1:45">
      <c r="A92" s="3808"/>
      <c r="D92" s="4134"/>
      <c r="K92" s="717"/>
      <c r="L92" s="717"/>
      <c r="AO92" s="4133"/>
      <c r="AP92" s="4133"/>
      <c r="AQ92" s="4133"/>
      <c r="AR92" s="4133"/>
      <c r="AS92" s="4133"/>
    </row>
    <row r="93" s="742" customFormat="1" spans="1:45">
      <c r="A93" s="3808"/>
      <c r="D93" s="4134"/>
      <c r="K93" s="717"/>
      <c r="L93" s="717"/>
      <c r="AO93" s="4133"/>
      <c r="AP93" s="4133"/>
      <c r="AQ93" s="4133"/>
      <c r="AR93" s="4133"/>
      <c r="AS93" s="4133"/>
    </row>
    <row r="94" s="742" customFormat="1" spans="1:45">
      <c r="A94" s="3808"/>
      <c r="D94" s="4134"/>
      <c r="K94" s="717"/>
      <c r="L94" s="717"/>
      <c r="AO94" s="4133"/>
      <c r="AP94" s="4133"/>
      <c r="AQ94" s="4133"/>
      <c r="AR94" s="4133"/>
      <c r="AS94" s="4133"/>
    </row>
    <row r="95" s="742" customFormat="1" spans="1:45">
      <c r="A95" s="3808"/>
      <c r="D95" s="4134"/>
      <c r="K95" s="717"/>
      <c r="L95" s="717"/>
      <c r="AO95" s="4133"/>
      <c r="AP95" s="4133"/>
      <c r="AQ95" s="4133"/>
      <c r="AR95" s="4133"/>
      <c r="AS95" s="4133"/>
    </row>
    <row r="96" s="742" customFormat="1" spans="1:45">
      <c r="A96" s="3808"/>
      <c r="D96" s="4134"/>
      <c r="K96" s="717"/>
      <c r="L96" s="717"/>
      <c r="AO96" s="4133"/>
      <c r="AP96" s="4133"/>
      <c r="AQ96" s="4133"/>
      <c r="AR96" s="4133"/>
      <c r="AS96" s="4133"/>
    </row>
    <row r="97" s="742" customFormat="1" spans="1:45">
      <c r="A97" s="3808"/>
      <c r="D97" s="4134"/>
      <c r="K97" s="717"/>
      <c r="L97" s="717"/>
      <c r="AO97" s="4133"/>
      <c r="AP97" s="4133"/>
      <c r="AQ97" s="4133"/>
      <c r="AR97" s="4133"/>
      <c r="AS97" s="4133"/>
    </row>
    <row r="98" s="742" customFormat="1" spans="1:45">
      <c r="A98" s="3808"/>
      <c r="D98" s="4134"/>
      <c r="K98" s="717"/>
      <c r="L98" s="717"/>
      <c r="AO98" s="4133"/>
      <c r="AP98" s="4133"/>
      <c r="AQ98" s="4133"/>
      <c r="AR98" s="4133"/>
      <c r="AS98" s="4133"/>
    </row>
    <row r="99" s="742" customFormat="1" spans="1:45">
      <c r="A99" s="3808"/>
      <c r="D99" s="4134"/>
      <c r="K99" s="717"/>
      <c r="L99" s="717"/>
      <c r="AO99" s="4133"/>
      <c r="AP99" s="4133"/>
      <c r="AQ99" s="4133"/>
      <c r="AR99" s="4133"/>
      <c r="AS99" s="4133"/>
    </row>
    <row r="100" s="742" customFormat="1" spans="1:45">
      <c r="A100" s="3808"/>
      <c r="D100" s="4134"/>
      <c r="K100" s="717"/>
      <c r="L100" s="717"/>
      <c r="AO100" s="4133"/>
      <c r="AP100" s="4133"/>
      <c r="AQ100" s="4133"/>
      <c r="AR100" s="4133"/>
      <c r="AS100" s="4133"/>
    </row>
    <row r="101" s="742" customFormat="1" spans="1:45">
      <c r="A101" s="3808"/>
      <c r="D101" s="4134"/>
      <c r="K101" s="717"/>
      <c r="L101" s="717"/>
      <c r="AO101" s="4133"/>
      <c r="AP101" s="4133"/>
      <c r="AQ101" s="4133"/>
      <c r="AR101" s="4133"/>
      <c r="AS101" s="4133"/>
    </row>
    <row r="102" s="742" customFormat="1" spans="1:45">
      <c r="A102" s="3808"/>
      <c r="D102" s="4134"/>
      <c r="K102" s="717"/>
      <c r="L102" s="717"/>
      <c r="AO102" s="4133"/>
      <c r="AP102" s="4133"/>
      <c r="AQ102" s="4133"/>
      <c r="AR102" s="4133"/>
      <c r="AS102" s="4133"/>
    </row>
    <row r="103" s="742" customFormat="1" spans="1:45">
      <c r="A103" s="3808"/>
      <c r="D103" s="4134"/>
      <c r="K103" s="717"/>
      <c r="L103" s="717"/>
      <c r="AO103" s="4133"/>
      <c r="AP103" s="4133"/>
      <c r="AQ103" s="4133"/>
      <c r="AR103" s="4133"/>
      <c r="AS103" s="4133"/>
    </row>
    <row r="104" s="742" customFormat="1" spans="1:45">
      <c r="A104" s="3808"/>
      <c r="D104" s="4134"/>
      <c r="K104" s="717"/>
      <c r="L104" s="717"/>
      <c r="AO104" s="4133"/>
      <c r="AP104" s="4133"/>
      <c r="AQ104" s="4133"/>
      <c r="AR104" s="4133"/>
      <c r="AS104" s="4133"/>
    </row>
    <row r="105" s="742" customFormat="1" spans="1:45">
      <c r="A105" s="3808"/>
      <c r="D105" s="4134"/>
      <c r="K105" s="717"/>
      <c r="L105" s="717"/>
      <c r="AO105" s="4133"/>
      <c r="AP105" s="4133"/>
      <c r="AQ105" s="4133"/>
      <c r="AR105" s="4133"/>
      <c r="AS105" s="4133"/>
    </row>
    <row r="106" s="742" customFormat="1" spans="1:45">
      <c r="A106" s="3808"/>
      <c r="D106" s="4134"/>
      <c r="K106" s="717"/>
      <c r="L106" s="717"/>
      <c r="AO106" s="4133"/>
      <c r="AP106" s="4133"/>
      <c r="AQ106" s="4133"/>
      <c r="AR106" s="4133"/>
      <c r="AS106" s="4133"/>
    </row>
    <row r="107" s="742" customFormat="1" spans="1:45">
      <c r="A107" s="3808"/>
      <c r="D107" s="4134"/>
      <c r="K107" s="717"/>
      <c r="L107" s="717"/>
      <c r="AO107" s="4133"/>
      <c r="AP107" s="4133"/>
      <c r="AQ107" s="4133"/>
      <c r="AR107" s="4133"/>
      <c r="AS107" s="4133"/>
    </row>
    <row r="108" s="742" customFormat="1" spans="1:45">
      <c r="A108" s="3808"/>
      <c r="D108" s="4134"/>
      <c r="K108" s="717"/>
      <c r="L108" s="717"/>
      <c r="AO108" s="4133"/>
      <c r="AP108" s="4133"/>
      <c r="AQ108" s="4133"/>
      <c r="AR108" s="4133"/>
      <c r="AS108" s="4133"/>
    </row>
    <row r="109" s="742" customFormat="1" spans="1:45">
      <c r="A109" s="3808"/>
      <c r="D109" s="4134"/>
      <c r="K109" s="717"/>
      <c r="L109" s="717"/>
      <c r="AO109" s="4133"/>
      <c r="AP109" s="4133"/>
      <c r="AQ109" s="4133"/>
      <c r="AR109" s="4133"/>
      <c r="AS109" s="4133"/>
    </row>
    <row r="110" s="742" customFormat="1" spans="1:45">
      <c r="A110" s="3808"/>
      <c r="D110" s="4134"/>
      <c r="K110" s="717"/>
      <c r="L110" s="717"/>
      <c r="AO110" s="4133"/>
      <c r="AP110" s="4133"/>
      <c r="AQ110" s="4133"/>
      <c r="AR110" s="4133"/>
      <c r="AS110" s="4133"/>
    </row>
    <row r="111" s="742" customFormat="1" spans="1:45">
      <c r="A111" s="3808"/>
      <c r="D111" s="4134"/>
      <c r="K111" s="717"/>
      <c r="L111" s="717"/>
      <c r="AO111" s="4133"/>
      <c r="AP111" s="4133"/>
      <c r="AQ111" s="4133"/>
      <c r="AR111" s="4133"/>
      <c r="AS111" s="4133"/>
    </row>
    <row r="112" s="742" customFormat="1" spans="1:45">
      <c r="A112" s="3808"/>
      <c r="D112" s="4134"/>
      <c r="K112" s="717"/>
      <c r="L112" s="717"/>
      <c r="AO112" s="4133"/>
      <c r="AP112" s="4133"/>
      <c r="AQ112" s="4133"/>
      <c r="AR112" s="4133"/>
      <c r="AS112" s="4133"/>
    </row>
    <row r="113" s="742" customFormat="1" spans="1:45">
      <c r="A113" s="3808"/>
      <c r="D113" s="4134"/>
      <c r="K113" s="717"/>
      <c r="L113" s="717"/>
      <c r="AO113" s="4133"/>
      <c r="AP113" s="4133"/>
      <c r="AQ113" s="4133"/>
      <c r="AR113" s="4133"/>
      <c r="AS113" s="4133"/>
    </row>
    <row r="114" s="742" customFormat="1" spans="1:45">
      <c r="A114" s="3808"/>
      <c r="D114" s="4134"/>
      <c r="K114" s="717"/>
      <c r="L114" s="717"/>
      <c r="AO114" s="4133"/>
      <c r="AP114" s="4133"/>
      <c r="AQ114" s="4133"/>
      <c r="AR114" s="4133"/>
      <c r="AS114" s="4133"/>
    </row>
    <row r="115" s="742" customFormat="1" spans="1:45">
      <c r="A115" s="3808"/>
      <c r="D115" s="4134"/>
      <c r="K115" s="717"/>
      <c r="L115" s="717"/>
      <c r="AO115" s="4133"/>
      <c r="AP115" s="4133"/>
      <c r="AQ115" s="4133"/>
      <c r="AR115" s="4133"/>
      <c r="AS115" s="4133"/>
    </row>
    <row r="116" s="742" customFormat="1" spans="1:45">
      <c r="A116" s="3808"/>
      <c r="D116" s="4134"/>
      <c r="K116" s="717"/>
      <c r="L116" s="717"/>
      <c r="AO116" s="4133"/>
      <c r="AP116" s="4133"/>
      <c r="AQ116" s="4133"/>
      <c r="AR116" s="4133"/>
      <c r="AS116" s="4133"/>
    </row>
    <row r="117" s="742" customFormat="1" spans="1:45">
      <c r="A117" s="3808"/>
      <c r="D117" s="4134"/>
      <c r="K117" s="717"/>
      <c r="L117" s="717"/>
      <c r="AO117" s="4133"/>
      <c r="AP117" s="4133"/>
      <c r="AQ117" s="4133"/>
      <c r="AR117" s="4133"/>
      <c r="AS117" s="4133"/>
    </row>
    <row r="118" s="742" customFormat="1" spans="1:45">
      <c r="A118" s="3808"/>
      <c r="D118" s="4134"/>
      <c r="K118" s="717"/>
      <c r="L118" s="717"/>
      <c r="AO118" s="4133"/>
      <c r="AP118" s="4133"/>
      <c r="AQ118" s="4133"/>
      <c r="AR118" s="4133"/>
      <c r="AS118" s="4133"/>
    </row>
    <row r="119" s="742" customFormat="1" spans="1:45">
      <c r="A119" s="3808"/>
      <c r="D119" s="4134"/>
      <c r="K119" s="717"/>
      <c r="L119" s="717"/>
      <c r="AO119" s="4133"/>
      <c r="AP119" s="4133"/>
      <c r="AQ119" s="4133"/>
      <c r="AR119" s="4133"/>
      <c r="AS119" s="4133"/>
    </row>
    <row r="120" s="742" customFormat="1" spans="1:45">
      <c r="A120" s="3808"/>
      <c r="D120" s="4134"/>
      <c r="K120" s="717"/>
      <c r="L120" s="717"/>
      <c r="AO120" s="4133"/>
      <c r="AP120" s="4133"/>
      <c r="AQ120" s="4133"/>
      <c r="AR120" s="4133"/>
      <c r="AS120" s="4133"/>
    </row>
    <row r="121" s="742" customFormat="1" spans="1:45">
      <c r="A121" s="3808"/>
      <c r="D121" s="4134"/>
      <c r="K121" s="717"/>
      <c r="L121" s="717"/>
      <c r="AO121" s="4133"/>
      <c r="AP121" s="4133"/>
      <c r="AQ121" s="4133"/>
      <c r="AR121" s="4133"/>
      <c r="AS121" s="4133"/>
    </row>
    <row r="122" s="742" customFormat="1" spans="1:45">
      <c r="A122" s="3808"/>
      <c r="D122" s="4134"/>
      <c r="K122" s="717"/>
      <c r="L122" s="717"/>
      <c r="AO122" s="4133"/>
      <c r="AP122" s="4133"/>
      <c r="AQ122" s="4133"/>
      <c r="AR122" s="4133"/>
      <c r="AS122" s="4133"/>
    </row>
    <row r="123" s="742" customFormat="1" spans="1:45">
      <c r="A123" s="3808"/>
      <c r="D123" s="4134"/>
      <c r="K123" s="717"/>
      <c r="L123" s="717"/>
      <c r="AO123" s="4133"/>
      <c r="AP123" s="4133"/>
      <c r="AQ123" s="4133"/>
      <c r="AR123" s="4133"/>
      <c r="AS123" s="4133"/>
    </row>
    <row r="124" s="742" customFormat="1" spans="1:45">
      <c r="A124" s="3808"/>
      <c r="D124" s="4134"/>
      <c r="K124" s="717"/>
      <c r="L124" s="717"/>
      <c r="AO124" s="4133"/>
      <c r="AP124" s="4133"/>
      <c r="AQ124" s="4133"/>
      <c r="AR124" s="4133"/>
      <c r="AS124" s="4133"/>
    </row>
    <row r="125" s="742" customFormat="1" spans="1:45">
      <c r="A125" s="3808"/>
      <c r="D125" s="4134"/>
      <c r="K125" s="717"/>
      <c r="L125" s="717"/>
      <c r="AO125" s="4133"/>
      <c r="AP125" s="4133"/>
      <c r="AQ125" s="4133"/>
      <c r="AR125" s="4133"/>
      <c r="AS125" s="4133"/>
    </row>
    <row r="126" s="742" customFormat="1" spans="1:45">
      <c r="A126" s="3808"/>
      <c r="D126" s="4134"/>
      <c r="K126" s="717"/>
      <c r="L126" s="717"/>
      <c r="AO126" s="4133"/>
      <c r="AP126" s="4133"/>
      <c r="AQ126" s="4133"/>
      <c r="AR126" s="4133"/>
      <c r="AS126" s="4133"/>
    </row>
    <row r="127" s="742" customFormat="1" spans="1:45">
      <c r="A127" s="3808"/>
      <c r="D127" s="4134"/>
      <c r="K127" s="717"/>
      <c r="L127" s="717"/>
      <c r="AO127" s="4133"/>
      <c r="AP127" s="4133"/>
      <c r="AQ127" s="4133"/>
      <c r="AR127" s="4133"/>
      <c r="AS127" s="4133"/>
    </row>
    <row r="128" s="742" customFormat="1" spans="1:45">
      <c r="A128" s="3808"/>
      <c r="D128" s="4134"/>
      <c r="K128" s="717"/>
      <c r="L128" s="717"/>
      <c r="AO128" s="4133"/>
      <c r="AP128" s="4133"/>
      <c r="AQ128" s="4133"/>
      <c r="AR128" s="4133"/>
      <c r="AS128" s="4133"/>
    </row>
    <row r="129" s="742" customFormat="1" spans="1:45">
      <c r="A129" s="3808"/>
      <c r="D129" s="4134"/>
      <c r="K129" s="717"/>
      <c r="L129" s="717"/>
      <c r="AO129" s="4133"/>
      <c r="AP129" s="4133"/>
      <c r="AQ129" s="4133"/>
      <c r="AR129" s="4133"/>
      <c r="AS129" s="4133"/>
    </row>
    <row r="130" s="742" customFormat="1" spans="1:45">
      <c r="A130" s="3808"/>
      <c r="D130" s="4134"/>
      <c r="K130" s="717"/>
      <c r="L130" s="717"/>
      <c r="AO130" s="4133"/>
      <c r="AP130" s="4133"/>
      <c r="AQ130" s="4133"/>
      <c r="AR130" s="4133"/>
      <c r="AS130" s="4133"/>
    </row>
    <row r="131" s="742" customFormat="1" spans="1:45">
      <c r="A131" s="3808"/>
      <c r="D131" s="4134"/>
      <c r="K131" s="717"/>
      <c r="L131" s="717"/>
      <c r="AO131" s="4133"/>
      <c r="AP131" s="4133"/>
      <c r="AQ131" s="4133"/>
      <c r="AR131" s="4133"/>
      <c r="AS131" s="4133"/>
    </row>
    <row r="132" s="742" customFormat="1" spans="1:45">
      <c r="A132" s="3808"/>
      <c r="D132" s="4134"/>
      <c r="K132" s="717"/>
      <c r="L132" s="717"/>
      <c r="AO132" s="4133"/>
      <c r="AP132" s="4133"/>
      <c r="AQ132" s="4133"/>
      <c r="AR132" s="4133"/>
      <c r="AS132" s="4133"/>
    </row>
    <row r="133" s="742" customFormat="1" spans="1:45">
      <c r="A133" s="3808"/>
      <c r="D133" s="4134"/>
      <c r="K133" s="717"/>
      <c r="L133" s="717"/>
      <c r="AO133" s="4133"/>
      <c r="AP133" s="4133"/>
      <c r="AQ133" s="4133"/>
      <c r="AR133" s="4133"/>
      <c r="AS133" s="4133"/>
    </row>
    <row r="134" s="742" customFormat="1" spans="1:45">
      <c r="A134" s="3808"/>
      <c r="D134" s="4134"/>
      <c r="K134" s="717"/>
      <c r="L134" s="717"/>
      <c r="AO134" s="4133"/>
      <c r="AP134" s="4133"/>
      <c r="AQ134" s="4133"/>
      <c r="AR134" s="4133"/>
      <c r="AS134" s="4133"/>
    </row>
    <row r="135" s="3903" customFormat="1" spans="1:45">
      <c r="A135" s="4135"/>
      <c r="D135" s="4136"/>
      <c r="K135" s="2372"/>
      <c r="L135" s="2372"/>
      <c r="AO135" s="3908"/>
      <c r="AP135" s="3908"/>
      <c r="AQ135" s="3908"/>
      <c r="AR135" s="3908"/>
      <c r="AS135" s="3908"/>
    </row>
    <row r="136" s="3903" customFormat="1" spans="1:45">
      <c r="A136" s="4135"/>
      <c r="D136" s="4136"/>
      <c r="K136" s="2372"/>
      <c r="L136" s="2372"/>
      <c r="AO136" s="3908"/>
      <c r="AP136" s="3908"/>
      <c r="AQ136" s="3908"/>
      <c r="AR136" s="3908"/>
      <c r="AS136" s="3908"/>
    </row>
    <row r="137" s="3903" customFormat="1" spans="1:45">
      <c r="A137" s="4135"/>
      <c r="D137" s="4136"/>
      <c r="K137" s="2372"/>
      <c r="L137" s="2372"/>
      <c r="AO137" s="3908"/>
      <c r="AP137" s="3908"/>
      <c r="AQ137" s="3908"/>
      <c r="AR137" s="3908"/>
      <c r="AS137" s="3908"/>
    </row>
    <row r="138" s="3903" customFormat="1" spans="1:45">
      <c r="A138" s="4135"/>
      <c r="D138" s="4136"/>
      <c r="K138" s="2372"/>
      <c r="L138" s="2372"/>
      <c r="AO138" s="3908"/>
      <c r="AP138" s="3908"/>
      <c r="AQ138" s="3908"/>
      <c r="AR138" s="3908"/>
      <c r="AS138" s="3908"/>
    </row>
    <row r="139" s="3903" customFormat="1" spans="1:45">
      <c r="A139" s="4135"/>
      <c r="D139" s="4136"/>
      <c r="K139" s="2372"/>
      <c r="L139" s="2372"/>
      <c r="AO139" s="3908"/>
      <c r="AP139" s="3908"/>
      <c r="AQ139" s="3908"/>
      <c r="AR139" s="3908"/>
      <c r="AS139" s="3908"/>
    </row>
    <row r="140" s="3903" customFormat="1" spans="1:45">
      <c r="A140" s="4135"/>
      <c r="D140" s="4136"/>
      <c r="K140" s="2372"/>
      <c r="L140" s="2372"/>
      <c r="AO140" s="3908"/>
      <c r="AP140" s="3908"/>
      <c r="AQ140" s="3908"/>
      <c r="AR140" s="3908"/>
      <c r="AS140" s="3908"/>
    </row>
    <row r="141" s="3903" customFormat="1" spans="1:45">
      <c r="A141" s="4135"/>
      <c r="D141" s="4136"/>
      <c r="K141" s="2372"/>
      <c r="L141" s="2372"/>
      <c r="AO141" s="3908"/>
      <c r="AP141" s="3908"/>
      <c r="AQ141" s="3908"/>
      <c r="AR141" s="3908"/>
      <c r="AS141" s="3908"/>
    </row>
    <row r="142" s="3903" customFormat="1" spans="1:45">
      <c r="A142" s="4135"/>
      <c r="D142" s="4136"/>
      <c r="K142" s="2372"/>
      <c r="L142" s="2372"/>
      <c r="AO142" s="3908"/>
      <c r="AP142" s="3908"/>
      <c r="AQ142" s="3908"/>
      <c r="AR142" s="3908"/>
      <c r="AS142" s="3908"/>
    </row>
    <row r="143" s="3903" customFormat="1" spans="1:45">
      <c r="A143" s="4135"/>
      <c r="D143" s="4136"/>
      <c r="K143" s="2372"/>
      <c r="L143" s="2372"/>
      <c r="AO143" s="3908"/>
      <c r="AP143" s="3908"/>
      <c r="AQ143" s="3908"/>
      <c r="AR143" s="3908"/>
      <c r="AS143" s="3908"/>
    </row>
    <row r="144" s="3903" customFormat="1" spans="1:45">
      <c r="A144" s="4135"/>
      <c r="D144" s="4136"/>
      <c r="K144" s="2372"/>
      <c r="L144" s="2372"/>
      <c r="AO144" s="3908"/>
      <c r="AP144" s="3908"/>
      <c r="AQ144" s="3908"/>
      <c r="AR144" s="3908"/>
      <c r="AS144" s="3908"/>
    </row>
    <row r="145" s="3903" customFormat="1" spans="1:45">
      <c r="A145" s="4135"/>
      <c r="D145" s="4136"/>
      <c r="K145" s="2372"/>
      <c r="L145" s="2372"/>
      <c r="AO145" s="3908"/>
      <c r="AP145" s="3908"/>
      <c r="AQ145" s="3908"/>
      <c r="AR145" s="3908"/>
      <c r="AS145" s="3908"/>
    </row>
    <row r="146" s="3903" customFormat="1" spans="1:45">
      <c r="A146" s="4135"/>
      <c r="D146" s="4136"/>
      <c r="K146" s="2372"/>
      <c r="L146" s="2372"/>
      <c r="AO146" s="3908"/>
      <c r="AP146" s="3908"/>
      <c r="AQ146" s="3908"/>
      <c r="AR146" s="3908"/>
      <c r="AS146" s="3908"/>
    </row>
    <row r="147" s="3903" customFormat="1" spans="1:45">
      <c r="A147" s="4135"/>
      <c r="D147" s="4136"/>
      <c r="K147" s="2372"/>
      <c r="L147" s="2372"/>
      <c r="AO147" s="3908"/>
      <c r="AP147" s="3908"/>
      <c r="AQ147" s="3908"/>
      <c r="AR147" s="3908"/>
      <c r="AS147" s="3908"/>
    </row>
    <row r="148" s="3903" customFormat="1" spans="1:45">
      <c r="A148" s="4135"/>
      <c r="D148" s="4136"/>
      <c r="K148" s="2372"/>
      <c r="L148" s="2372"/>
      <c r="AO148" s="3908"/>
      <c r="AP148" s="3908"/>
      <c r="AQ148" s="3908"/>
      <c r="AR148" s="3908"/>
      <c r="AS148" s="3908"/>
    </row>
    <row r="149" s="3903" customFormat="1" spans="1:45">
      <c r="A149" s="4135"/>
      <c r="D149" s="4136"/>
      <c r="K149" s="2372"/>
      <c r="L149" s="2372"/>
      <c r="AO149" s="3908"/>
      <c r="AP149" s="3908"/>
      <c r="AQ149" s="3908"/>
      <c r="AR149" s="3908"/>
      <c r="AS149" s="3908"/>
    </row>
    <row r="150" s="3903" customFormat="1" spans="1:45">
      <c r="A150" s="4135"/>
      <c r="D150" s="4136"/>
      <c r="K150" s="2372"/>
      <c r="L150" s="2372"/>
      <c r="AO150" s="3908"/>
      <c r="AP150" s="3908"/>
      <c r="AQ150" s="3908"/>
      <c r="AR150" s="3908"/>
      <c r="AS150" s="3908"/>
    </row>
    <row r="151" s="3903" customFormat="1" spans="1:45">
      <c r="A151" s="4135"/>
      <c r="D151" s="4136"/>
      <c r="K151" s="2372"/>
      <c r="L151" s="2372"/>
      <c r="AO151" s="3908"/>
      <c r="AP151" s="3908"/>
      <c r="AQ151" s="3908"/>
      <c r="AR151" s="3908"/>
      <c r="AS151" s="3908"/>
    </row>
    <row r="152" s="3903" customFormat="1" spans="1:45">
      <c r="A152" s="4135"/>
      <c r="D152" s="4136"/>
      <c r="K152" s="2372"/>
      <c r="L152" s="2372"/>
      <c r="AO152" s="3908"/>
      <c r="AP152" s="3908"/>
      <c r="AQ152" s="3908"/>
      <c r="AR152" s="3908"/>
      <c r="AS152" s="3908"/>
    </row>
    <row r="153" s="3903" customFormat="1" spans="1:45">
      <c r="A153" s="4135"/>
      <c r="D153" s="4136"/>
      <c r="K153" s="2372"/>
      <c r="L153" s="2372"/>
      <c r="AO153" s="3908"/>
      <c r="AP153" s="3908"/>
      <c r="AQ153" s="3908"/>
      <c r="AR153" s="3908"/>
      <c r="AS153" s="3908"/>
    </row>
    <row r="154" s="3903" customFormat="1" spans="1:45">
      <c r="A154" s="4135"/>
      <c r="D154" s="4136"/>
      <c r="K154" s="2372"/>
      <c r="L154" s="2372"/>
      <c r="AO154" s="3908"/>
      <c r="AP154" s="3908"/>
      <c r="AQ154" s="3908"/>
      <c r="AR154" s="3908"/>
      <c r="AS154" s="3908"/>
    </row>
    <row r="155" s="3903" customFormat="1" spans="1:45">
      <c r="A155" s="4135"/>
      <c r="D155" s="4136"/>
      <c r="K155" s="2372"/>
      <c r="L155" s="2372"/>
      <c r="AO155" s="3908"/>
      <c r="AP155" s="3908"/>
      <c r="AQ155" s="3908"/>
      <c r="AR155" s="3908"/>
      <c r="AS155" s="3908"/>
    </row>
    <row r="156" s="3903" customFormat="1" spans="1:45">
      <c r="A156" s="4135"/>
      <c r="D156" s="4136"/>
      <c r="K156" s="2372"/>
      <c r="L156" s="2372"/>
      <c r="AO156" s="3908"/>
      <c r="AP156" s="3908"/>
      <c r="AQ156" s="3908"/>
      <c r="AR156" s="3908"/>
      <c r="AS156" s="3908"/>
    </row>
    <row r="157" s="3903" customFormat="1" spans="1:45">
      <c r="A157" s="4135"/>
      <c r="D157" s="4136"/>
      <c r="K157" s="2372"/>
      <c r="L157" s="2372"/>
      <c r="AO157" s="3908"/>
      <c r="AP157" s="3908"/>
      <c r="AQ157" s="3908"/>
      <c r="AR157" s="3908"/>
      <c r="AS157" s="3908"/>
    </row>
    <row r="158" s="3903" customFormat="1" spans="1:45">
      <c r="A158" s="4135"/>
      <c r="D158" s="4136"/>
      <c r="K158" s="2372"/>
      <c r="L158" s="2372"/>
      <c r="AO158" s="3908"/>
      <c r="AP158" s="3908"/>
      <c r="AQ158" s="3908"/>
      <c r="AR158" s="3908"/>
      <c r="AS158" s="3908"/>
    </row>
    <row r="159" s="3903" customFormat="1" spans="1:45">
      <c r="A159" s="4135"/>
      <c r="D159" s="4136"/>
      <c r="K159" s="2372"/>
      <c r="L159" s="2372"/>
      <c r="AO159" s="3908"/>
      <c r="AP159" s="3908"/>
      <c r="AQ159" s="3908"/>
      <c r="AR159" s="3908"/>
      <c r="AS159" s="3908"/>
    </row>
    <row r="160" s="3903" customFormat="1" spans="1:45">
      <c r="A160" s="4135"/>
      <c r="D160" s="4136"/>
      <c r="K160" s="2372"/>
      <c r="L160" s="2372"/>
      <c r="AO160" s="3908"/>
      <c r="AP160" s="3908"/>
      <c r="AQ160" s="3908"/>
      <c r="AR160" s="3908"/>
      <c r="AS160" s="3908"/>
    </row>
    <row r="161" s="3903" customFormat="1" spans="1:45">
      <c r="A161" s="4135"/>
      <c r="D161" s="4136"/>
      <c r="K161" s="2372"/>
      <c r="L161" s="2372"/>
      <c r="AO161" s="3908"/>
      <c r="AP161" s="3908"/>
      <c r="AQ161" s="3908"/>
      <c r="AR161" s="3908"/>
      <c r="AS161" s="3908"/>
    </row>
    <row r="162" s="3903" customFormat="1" spans="1:45">
      <c r="A162" s="4135"/>
      <c r="D162" s="4136"/>
      <c r="K162" s="2372"/>
      <c r="L162" s="2372"/>
      <c r="AO162" s="3908"/>
      <c r="AP162" s="3908"/>
      <c r="AQ162" s="3908"/>
      <c r="AR162" s="3908"/>
      <c r="AS162" s="3908"/>
    </row>
    <row r="163" s="3903" customFormat="1" spans="1:45">
      <c r="A163" s="4135"/>
      <c r="D163" s="4136"/>
      <c r="K163" s="2372"/>
      <c r="L163" s="2372"/>
      <c r="AO163" s="3908"/>
      <c r="AP163" s="3908"/>
      <c r="AQ163" s="3908"/>
      <c r="AR163" s="3908"/>
      <c r="AS163" s="3908"/>
    </row>
    <row r="164" s="3903" customFormat="1" spans="1:45">
      <c r="A164" s="4135"/>
      <c r="D164" s="4136"/>
      <c r="K164" s="2372"/>
      <c r="L164" s="2372"/>
      <c r="AO164" s="3908"/>
      <c r="AP164" s="3908"/>
      <c r="AQ164" s="3908"/>
      <c r="AR164" s="3908"/>
      <c r="AS164" s="3908"/>
    </row>
    <row r="165" s="3903" customFormat="1" spans="1:45">
      <c r="A165" s="4135"/>
      <c r="D165" s="4136"/>
      <c r="K165" s="2372"/>
      <c r="L165" s="2372"/>
      <c r="AO165" s="3908"/>
      <c r="AP165" s="3908"/>
      <c r="AQ165" s="3908"/>
      <c r="AR165" s="3908"/>
      <c r="AS165" s="3908"/>
    </row>
    <row r="166" s="3903" customFormat="1" spans="1:45">
      <c r="A166" s="4135"/>
      <c r="D166" s="4136"/>
      <c r="K166" s="2372"/>
      <c r="L166" s="2372"/>
      <c r="AO166" s="3908"/>
      <c r="AP166" s="3908"/>
      <c r="AQ166" s="3908"/>
      <c r="AR166" s="3908"/>
      <c r="AS166" s="3908"/>
    </row>
    <row r="167" s="3903" customFormat="1" spans="1:45">
      <c r="A167" s="4135"/>
      <c r="D167" s="4136"/>
      <c r="K167" s="2372"/>
      <c r="L167" s="2372"/>
      <c r="AO167" s="3908"/>
      <c r="AP167" s="3908"/>
      <c r="AQ167" s="3908"/>
      <c r="AR167" s="3908"/>
      <c r="AS167" s="3908"/>
    </row>
    <row r="168" s="3903" customFormat="1" spans="1:45">
      <c r="A168" s="4135"/>
      <c r="D168" s="4136"/>
      <c r="K168" s="2372"/>
      <c r="L168" s="2372"/>
      <c r="AO168" s="3908"/>
      <c r="AP168" s="3908"/>
      <c r="AQ168" s="3908"/>
      <c r="AR168" s="3908"/>
      <c r="AS168" s="3908"/>
    </row>
    <row r="169" s="3903" customFormat="1" spans="1:45">
      <c r="A169" s="4135"/>
      <c r="D169" s="4136"/>
      <c r="K169" s="2372"/>
      <c r="L169" s="2372"/>
      <c r="AO169" s="3908"/>
      <c r="AP169" s="3908"/>
      <c r="AQ169" s="3908"/>
      <c r="AR169" s="3908"/>
      <c r="AS169" s="3908"/>
    </row>
    <row r="170" s="3903" customFormat="1" spans="1:45">
      <c r="A170" s="4135"/>
      <c r="D170" s="4136"/>
      <c r="K170" s="2372"/>
      <c r="L170" s="2372"/>
      <c r="AO170" s="3908"/>
      <c r="AP170" s="3908"/>
      <c r="AQ170" s="3908"/>
      <c r="AR170" s="3908"/>
      <c r="AS170" s="3908"/>
    </row>
    <row r="171" s="3903" customFormat="1" spans="1:45">
      <c r="A171" s="4135"/>
      <c r="D171" s="4136"/>
      <c r="K171" s="2372"/>
      <c r="L171" s="2372"/>
      <c r="AO171" s="3908"/>
      <c r="AP171" s="3908"/>
      <c r="AQ171" s="3908"/>
      <c r="AR171" s="3908"/>
      <c r="AS171" s="3908"/>
    </row>
    <row r="172" s="3903" customFormat="1" spans="1:45">
      <c r="A172" s="4135"/>
      <c r="D172" s="4136"/>
      <c r="K172" s="2372"/>
      <c r="L172" s="2372"/>
      <c r="AO172" s="3908"/>
      <c r="AP172" s="3908"/>
      <c r="AQ172" s="3908"/>
      <c r="AR172" s="3908"/>
      <c r="AS172" s="3908"/>
    </row>
    <row r="173" s="3903" customFormat="1" spans="1:45">
      <c r="A173" s="4135"/>
      <c r="D173" s="4136"/>
      <c r="K173" s="2372"/>
      <c r="L173" s="2372"/>
      <c r="AO173" s="3908"/>
      <c r="AP173" s="3908"/>
      <c r="AQ173" s="3908"/>
      <c r="AR173" s="3908"/>
      <c r="AS173" s="3908"/>
    </row>
    <row r="174" s="3903" customFormat="1" spans="1:45">
      <c r="A174" s="4135"/>
      <c r="D174" s="4136"/>
      <c r="K174" s="2372"/>
      <c r="L174" s="2372"/>
      <c r="AO174" s="3908"/>
      <c r="AP174" s="3908"/>
      <c r="AQ174" s="3908"/>
      <c r="AR174" s="3908"/>
      <c r="AS174" s="3908"/>
    </row>
    <row r="175" s="3903" customFormat="1" spans="1:45">
      <c r="A175" s="4135"/>
      <c r="D175" s="4136"/>
      <c r="K175" s="2372"/>
      <c r="L175" s="2372"/>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3" sqref="G3:G7"/>
    </sheetView>
  </sheetViews>
  <sheetFormatPr defaultColWidth="9" defaultRowHeight="14"/>
  <cols>
    <col min="1" max="1" width="9.5" style="3829" customWidth="1"/>
    <col min="2" max="2" width="24.5" style="3830" customWidth="1"/>
    <col min="3" max="3" width="24.5" style="3831" customWidth="1"/>
    <col min="4" max="4" width="2.62727272727273" style="3831" customWidth="1"/>
    <col min="5" max="5" width="5.87272727272727" style="3831" customWidth="1"/>
    <col min="6" max="6" width="27" style="3830" customWidth="1"/>
    <col min="7" max="7" width="27" style="3832" customWidth="1"/>
    <col min="8" max="8" width="11.8727272727273" style="3833" customWidth="1"/>
    <col min="9" max="9" width="16.7545454545455" style="3834" customWidth="1"/>
    <col min="10" max="10" width="2.62727272727273" style="3833" customWidth="1"/>
    <col min="11" max="11" width="11.8727272727273" style="3833" customWidth="1"/>
    <col min="12" max="12" width="16.7545454545455" style="3834" customWidth="1"/>
    <col min="13" max="13" width="2.62727272727273" style="3833" customWidth="1"/>
    <col min="14" max="14" width="11.8727272727273" style="3833" customWidth="1"/>
    <col min="15" max="15" width="16.7545454545455" style="3834" customWidth="1"/>
    <col min="16" max="16" width="2.62727272727273" style="3833" customWidth="1"/>
    <col min="17" max="17" width="11.8727272727273" style="3833" customWidth="1"/>
    <col min="18" max="18" width="16.7545454545455" style="3835" customWidth="1"/>
    <col min="19" max="29" width="9" style="712"/>
    <col min="30" max="16384" width="9" style="3829"/>
  </cols>
  <sheetData>
    <row r="1" s="3827" customFormat="1" ht="18.75" spans="1:29">
      <c r="A1" s="3836" t="s">
        <v>801</v>
      </c>
      <c r="B1" s="3837"/>
      <c r="C1" s="3837"/>
      <c r="D1" s="3837"/>
      <c r="E1" s="3837"/>
      <c r="F1" s="3837"/>
      <c r="G1" s="3837"/>
      <c r="H1" s="3838"/>
      <c r="I1" s="3839"/>
      <c r="J1" s="3838"/>
      <c r="K1" s="3838"/>
      <c r="L1" s="3839"/>
      <c r="M1" s="3838"/>
      <c r="N1" s="3838"/>
      <c r="O1" s="3839"/>
      <c r="P1" s="3838"/>
      <c r="Q1" s="3840"/>
      <c r="R1" s="3841"/>
      <c r="S1" s="3842"/>
      <c r="T1" s="3842"/>
      <c r="U1" s="3842"/>
      <c r="V1" s="3842"/>
      <c r="W1" s="3842"/>
      <c r="X1" s="3842"/>
      <c r="Y1" s="3842"/>
      <c r="Z1" s="3842"/>
      <c r="AA1" s="3842"/>
      <c r="AB1" s="3842"/>
      <c r="AC1" s="3842"/>
    </row>
    <row r="2" ht="14.75" spans="1:29">
      <c r="A2" s="3843"/>
      <c r="B2" s="3844"/>
      <c r="C2" s="3845" t="s">
        <v>802</v>
      </c>
      <c r="D2" s="3846"/>
      <c r="E2" s="3843"/>
      <c r="F2" s="3847"/>
      <c r="G2" s="3845" t="s">
        <v>803</v>
      </c>
      <c r="H2" s="712"/>
      <c r="I2" s="712"/>
      <c r="J2" s="712"/>
      <c r="K2" s="712"/>
      <c r="L2" s="712"/>
      <c r="M2" s="712"/>
      <c r="N2" s="712"/>
      <c r="O2" s="712"/>
      <c r="P2" s="712"/>
      <c r="Q2" s="712"/>
      <c r="R2" s="712"/>
    </row>
    <row r="3" ht="26" spans="1:29">
      <c r="A3" s="3848" t="s">
        <v>804</v>
      </c>
      <c r="B3" s="3849" t="s">
        <v>805</v>
      </c>
      <c r="C3" s="3850"/>
      <c r="D3" s="3851"/>
      <c r="E3" s="3852" t="s">
        <v>804</v>
      </c>
      <c r="F3" s="3853" t="s">
        <v>806</v>
      </c>
      <c r="G3" s="3854"/>
      <c r="H3" s="712"/>
      <c r="I3" s="712"/>
      <c r="J3" s="712"/>
      <c r="K3" s="712"/>
      <c r="L3" s="712"/>
      <c r="M3" s="712"/>
      <c r="N3" s="712"/>
      <c r="O3" s="712"/>
      <c r="P3" s="712"/>
      <c r="Q3" s="712"/>
      <c r="R3" s="712"/>
    </row>
    <row r="4" spans="1:29">
      <c r="A4" s="3852"/>
      <c r="B4" s="2882" t="s">
        <v>807</v>
      </c>
      <c r="C4" s="3855"/>
      <c r="D4" s="3851"/>
      <c r="E4" s="3856"/>
      <c r="F4" s="3206" t="s">
        <v>808</v>
      </c>
      <c r="G4" s="3857"/>
      <c r="H4" s="712"/>
      <c r="I4" s="712"/>
      <c r="J4" s="712"/>
      <c r="K4" s="712"/>
      <c r="L4" s="712"/>
      <c r="M4" s="712"/>
      <c r="N4" s="712"/>
      <c r="O4" s="712"/>
      <c r="P4" s="712"/>
      <c r="Q4" s="712"/>
      <c r="R4" s="712"/>
    </row>
    <row r="5" spans="1:29">
      <c r="A5" s="3852"/>
      <c r="B5" s="2882" t="s">
        <v>809</v>
      </c>
      <c r="C5" s="3855"/>
      <c r="D5" s="3851"/>
      <c r="E5" s="3856"/>
      <c r="F5" s="2882" t="s">
        <v>618</v>
      </c>
      <c r="G5" s="3857"/>
      <c r="H5" s="712"/>
      <c r="I5" s="712"/>
      <c r="J5" s="712"/>
      <c r="K5" s="712"/>
      <c r="L5" s="712"/>
      <c r="M5" s="712"/>
      <c r="N5" s="712"/>
      <c r="O5" s="712"/>
      <c r="P5" s="712"/>
      <c r="Q5" s="712"/>
      <c r="R5" s="712"/>
    </row>
    <row r="6" spans="1:29">
      <c r="A6" s="3852"/>
      <c r="B6" s="2882" t="s">
        <v>808</v>
      </c>
      <c r="C6" s="3857"/>
      <c r="D6" s="3851"/>
      <c r="E6" s="3856"/>
      <c r="F6" s="2882" t="s">
        <v>810</v>
      </c>
      <c r="G6" s="3857"/>
      <c r="H6" s="712"/>
      <c r="I6" s="712"/>
      <c r="J6" s="712"/>
      <c r="K6" s="712"/>
      <c r="L6" s="712"/>
      <c r="M6" s="712"/>
      <c r="N6" s="712"/>
      <c r="O6" s="712"/>
      <c r="P6" s="712"/>
      <c r="Q6" s="712"/>
      <c r="R6" s="712"/>
    </row>
    <row r="7" ht="14.75" spans="1:29">
      <c r="A7" s="3852"/>
      <c r="B7" s="2882" t="s">
        <v>618</v>
      </c>
      <c r="C7" s="3857"/>
      <c r="D7" s="3858"/>
      <c r="E7" s="3859"/>
      <c r="F7" s="3860" t="s">
        <v>811</v>
      </c>
      <c r="G7" s="3861"/>
      <c r="H7" s="712"/>
      <c r="I7" s="712"/>
      <c r="J7" s="712"/>
      <c r="K7" s="712"/>
      <c r="L7" s="712"/>
      <c r="M7" s="712"/>
      <c r="N7" s="712"/>
      <c r="O7" s="712"/>
      <c r="P7" s="712"/>
      <c r="Q7" s="712"/>
      <c r="R7" s="712"/>
    </row>
    <row r="8" spans="1:29">
      <c r="A8" s="3852"/>
      <c r="B8" s="2882" t="s">
        <v>810</v>
      </c>
      <c r="C8" s="3857"/>
      <c r="D8" s="3858"/>
      <c r="E8" s="3858"/>
      <c r="F8" s="2913"/>
      <c r="G8" s="2913"/>
      <c r="H8" s="712"/>
      <c r="I8" s="712"/>
      <c r="J8" s="712"/>
      <c r="K8" s="712"/>
      <c r="L8" s="712"/>
      <c r="M8" s="712"/>
      <c r="N8" s="712"/>
      <c r="O8" s="712"/>
      <c r="P8" s="712"/>
      <c r="Q8" s="712"/>
      <c r="R8" s="712"/>
    </row>
    <row r="9" spans="1:29">
      <c r="A9" s="3852"/>
      <c r="B9" s="2882" t="s">
        <v>812</v>
      </c>
      <c r="C9" s="3855"/>
      <c r="D9" s="3851"/>
      <c r="E9" s="3858"/>
      <c r="F9" s="2913"/>
      <c r="G9" s="2913"/>
      <c r="H9" s="712"/>
      <c r="I9" s="712"/>
      <c r="J9" s="712"/>
      <c r="K9" s="712"/>
      <c r="L9" s="712"/>
      <c r="M9" s="712"/>
      <c r="N9" s="712"/>
      <c r="O9" s="712"/>
      <c r="P9" s="712"/>
      <c r="Q9" s="712"/>
      <c r="R9" s="712"/>
    </row>
    <row r="10" s="3828" customFormat="1" ht="14.75" spans="1:29">
      <c r="A10" s="3862"/>
      <c r="B10" s="3863" t="s">
        <v>813</v>
      </c>
      <c r="C10" s="3864"/>
      <c r="D10" s="3851"/>
      <c r="E10" s="3851"/>
      <c r="F10" s="2913"/>
      <c r="G10" s="2913"/>
      <c r="H10" s="3865"/>
      <c r="I10" s="3866"/>
      <c r="J10" s="3867"/>
      <c r="K10" s="3865"/>
      <c r="L10" s="3866"/>
      <c r="M10" s="3867"/>
      <c r="N10" s="3865"/>
      <c r="O10" s="3866"/>
      <c r="P10" s="3867"/>
      <c r="Q10" s="3865"/>
      <c r="R10" s="3866"/>
      <c r="S10" s="712"/>
      <c r="T10" s="712"/>
      <c r="U10" s="712"/>
      <c r="V10" s="712"/>
      <c r="W10" s="712"/>
      <c r="X10" s="712"/>
      <c r="Y10" s="712"/>
      <c r="Z10" s="712"/>
      <c r="AA10" s="712"/>
      <c r="AB10" s="712"/>
      <c r="AC10" s="712"/>
    </row>
    <row r="11" s="3828" customFormat="1" spans="1:29">
      <c r="A11" s="3868"/>
      <c r="B11" s="3858"/>
      <c r="C11" s="3851"/>
      <c r="D11" s="3851"/>
      <c r="E11" s="3851"/>
      <c r="F11" s="3858"/>
      <c r="G11" s="3869"/>
      <c r="H11" s="3865"/>
      <c r="I11" s="3866"/>
      <c r="J11" s="3867"/>
      <c r="K11" s="3865"/>
      <c r="L11" s="3866"/>
      <c r="M11" s="3867"/>
      <c r="N11" s="3865"/>
      <c r="O11" s="3866"/>
      <c r="P11" s="3867"/>
      <c r="Q11" s="3865"/>
      <c r="R11" s="3866"/>
      <c r="S11" s="712"/>
      <c r="T11" s="712"/>
      <c r="U11" s="712"/>
      <c r="V11" s="712"/>
      <c r="W11" s="712"/>
      <c r="X11" s="712"/>
      <c r="Y11" s="712"/>
      <c r="Z11" s="712"/>
      <c r="AA11" s="712"/>
      <c r="AB11" s="712"/>
      <c r="AC11" s="712"/>
    </row>
    <row r="12" s="3827" customFormat="1" ht="18" spans="1:29">
      <c r="A12" s="3868"/>
      <c r="B12" s="3858"/>
      <c r="C12" s="3851"/>
      <c r="D12" s="3870"/>
      <c r="E12" s="3851"/>
      <c r="F12" s="3858"/>
      <c r="G12" s="3869"/>
      <c r="H12" s="3871"/>
      <c r="I12" s="3872"/>
      <c r="J12" s="3871"/>
      <c r="K12" s="3871"/>
      <c r="L12" s="3873"/>
      <c r="M12" s="3871"/>
      <c r="N12" s="3874"/>
      <c r="O12" s="3875"/>
      <c r="P12" s="3874"/>
      <c r="Q12" s="3874"/>
      <c r="R12" s="3841"/>
      <c r="S12" s="3842"/>
      <c r="T12" s="3842"/>
      <c r="U12" s="3842"/>
      <c r="V12" s="3842"/>
      <c r="W12" s="3842"/>
      <c r="X12" s="3842"/>
      <c r="Y12" s="3842"/>
      <c r="Z12" s="3842"/>
      <c r="AA12" s="3842"/>
      <c r="AB12" s="3842"/>
      <c r="AC12" s="3842"/>
    </row>
    <row r="13" ht="14.75" spans="1:29">
      <c r="A13" s="3876" t="s">
        <v>814</v>
      </c>
      <c r="B13" s="3870"/>
      <c r="C13" s="3870"/>
      <c r="D13" s="3868"/>
      <c r="E13" s="3870"/>
      <c r="F13" s="3870"/>
      <c r="G13" s="3870"/>
    </row>
    <row r="14" ht="14.75" spans="1:29">
      <c r="A14" s="3877"/>
      <c r="B14" s="3877"/>
      <c r="C14" s="3878" t="s">
        <v>802</v>
      </c>
      <c r="D14" s="3851"/>
      <c r="E14" s="3879"/>
      <c r="F14" s="3879"/>
      <c r="G14" s="3845" t="s">
        <v>803</v>
      </c>
    </row>
    <row r="15" ht="26" spans="1:29">
      <c r="A15" s="3880" t="s">
        <v>804</v>
      </c>
      <c r="B15" s="3881" t="s">
        <v>805</v>
      </c>
      <c r="C15" s="3882">
        <f>C3</f>
        <v>0</v>
      </c>
      <c r="D15" s="3851"/>
      <c r="E15" s="3883" t="s">
        <v>804</v>
      </c>
      <c r="F15" s="3881" t="s">
        <v>806</v>
      </c>
      <c r="G15" s="3884">
        <f>G3</f>
        <v>0</v>
      </c>
    </row>
    <row r="16" spans="1:29">
      <c r="A16" s="3885"/>
      <c r="B16" s="3886" t="s">
        <v>807</v>
      </c>
      <c r="C16" s="3887">
        <f>C4</f>
        <v>0</v>
      </c>
      <c r="D16" s="3851"/>
      <c r="E16" s="3888"/>
      <c r="F16" s="3889" t="s">
        <v>808</v>
      </c>
      <c r="G16" s="3890">
        <f>G4</f>
        <v>0</v>
      </c>
    </row>
    <row r="17" spans="1:18">
      <c r="A17" s="3885"/>
      <c r="B17" s="3886" t="s">
        <v>809</v>
      </c>
      <c r="C17" s="3887">
        <f>C5</f>
        <v>0</v>
      </c>
      <c r="D17" s="3858"/>
      <c r="E17" s="3888"/>
      <c r="F17" s="3889" t="s">
        <v>815</v>
      </c>
      <c r="G17" s="3891"/>
    </row>
    <row r="18" spans="1:18">
      <c r="A18" s="3885"/>
      <c r="B18" s="3889" t="s">
        <v>808</v>
      </c>
      <c r="C18" s="3890">
        <f>C6</f>
        <v>0</v>
      </c>
      <c r="D18" s="3858"/>
      <c r="E18" s="3888"/>
      <c r="F18" s="3889" t="s">
        <v>811</v>
      </c>
      <c r="G18" s="3890">
        <f>G7</f>
        <v>0</v>
      </c>
    </row>
    <row r="19" spans="1:18">
      <c r="A19" s="3885"/>
      <c r="B19" s="3889" t="s">
        <v>815</v>
      </c>
      <c r="C19" s="3891"/>
      <c r="D19" s="3851"/>
      <c r="E19" s="3888"/>
      <c r="F19" s="2882" t="s">
        <v>618</v>
      </c>
      <c r="G19" s="3890">
        <f>G5</f>
        <v>0</v>
      </c>
    </row>
    <row r="20" spans="1:18">
      <c r="A20" s="3885"/>
      <c r="B20" s="3889" t="s">
        <v>816</v>
      </c>
      <c r="C20" s="3887">
        <f>C9</f>
        <v>0</v>
      </c>
      <c r="D20" s="3858"/>
      <c r="E20" s="3888"/>
      <c r="F20" s="2882" t="s">
        <v>810</v>
      </c>
      <c r="G20" s="3890">
        <f>G6</f>
        <v>0</v>
      </c>
    </row>
    <row r="21" spans="1:18">
      <c r="A21" s="3885"/>
      <c r="B21" s="2882" t="s">
        <v>618</v>
      </c>
      <c r="C21" s="3890">
        <f>C7</f>
        <v>0</v>
      </c>
      <c r="D21" s="3851"/>
      <c r="E21" s="3888"/>
      <c r="F21" s="3889" t="s">
        <v>817</v>
      </c>
      <c r="G21" s="3892"/>
    </row>
    <row r="22" ht="13.5" customHeight="1" spans="1:18">
      <c r="A22" s="3885"/>
      <c r="B22" s="2882" t="s">
        <v>810</v>
      </c>
      <c r="C22" s="3890">
        <f>C8</f>
        <v>0</v>
      </c>
      <c r="D22" s="3851"/>
      <c r="E22" s="3888"/>
      <c r="F22" s="3889" t="s">
        <v>813</v>
      </c>
      <c r="G22" s="3891"/>
    </row>
    <row r="23" s="712" customFormat="1" ht="14.75" spans="1:18">
      <c r="A23" s="3885"/>
      <c r="B23" s="3889" t="s">
        <v>817</v>
      </c>
      <c r="C23" s="3892"/>
      <c r="D23" s="3808"/>
      <c r="E23" s="3893"/>
      <c r="F23" s="3894" t="s">
        <v>566</v>
      </c>
      <c r="G23" s="3895"/>
      <c r="H23" s="3833"/>
      <c r="I23" s="3834"/>
      <c r="J23" s="3833"/>
      <c r="K23" s="3833"/>
      <c r="L23" s="3834"/>
      <c r="M23" s="3833"/>
      <c r="N23" s="3833"/>
      <c r="O23" s="3834"/>
      <c r="P23" s="3833"/>
      <c r="Q23" s="3833"/>
      <c r="R23" s="3835"/>
    </row>
    <row r="24" s="712" customFormat="1" ht="14.75" spans="1:18">
      <c r="A24" s="3896"/>
      <c r="B24" s="3894" t="s">
        <v>813</v>
      </c>
      <c r="C24" s="3897">
        <f>C10</f>
        <v>0</v>
      </c>
      <c r="D24" s="3808"/>
      <c r="E24" s="3898"/>
      <c r="F24" s="3898"/>
      <c r="G24" s="3899"/>
      <c r="H24" s="3833"/>
      <c r="I24" s="3834"/>
      <c r="J24" s="3833"/>
      <c r="K24" s="3833"/>
      <c r="L24" s="3834"/>
      <c r="M24" s="3833"/>
      <c r="N24" s="3833"/>
      <c r="O24" s="3834"/>
      <c r="P24" s="3833"/>
      <c r="Q24" s="3833"/>
      <c r="R24" s="3835"/>
    </row>
    <row r="25" s="712" customFormat="1" spans="1:18">
      <c r="B25" s="3833"/>
      <c r="C25" s="3833"/>
      <c r="D25" s="3833"/>
      <c r="H25" s="3833"/>
      <c r="I25" s="3834"/>
      <c r="J25" s="3833"/>
      <c r="K25" s="3833"/>
      <c r="L25" s="3834"/>
      <c r="M25" s="3833"/>
      <c r="N25" s="3833"/>
      <c r="O25" s="3834"/>
      <c r="P25" s="3833"/>
      <c r="Q25" s="3833"/>
      <c r="R25" s="3835"/>
    </row>
    <row r="26" s="712" customFormat="1" spans="1:18">
      <c r="B26" s="3833"/>
      <c r="C26" s="3833"/>
      <c r="D26" s="3833"/>
      <c r="H26" s="3833"/>
      <c r="I26" s="3834"/>
      <c r="J26" s="3833"/>
      <c r="K26" s="3833"/>
      <c r="L26" s="3834"/>
      <c r="M26" s="3833"/>
      <c r="N26" s="3833"/>
      <c r="O26" s="3834"/>
      <c r="P26" s="3833"/>
      <c r="Q26" s="3833"/>
      <c r="R26" s="3835"/>
    </row>
    <row r="27" s="712" customFormat="1" spans="1:18">
      <c r="B27" s="3833"/>
      <c r="C27" s="3833"/>
      <c r="D27" s="3833"/>
      <c r="H27" s="3833"/>
      <c r="I27" s="3834"/>
      <c r="J27" s="3833"/>
      <c r="K27" s="3833"/>
      <c r="L27" s="3834"/>
      <c r="M27" s="3833"/>
      <c r="N27" s="3833"/>
      <c r="O27" s="3834"/>
      <c r="P27" s="3833"/>
      <c r="Q27" s="3833"/>
      <c r="R27" s="3835"/>
    </row>
    <row r="28" s="712" customFormat="1" spans="1:18">
      <c r="B28" s="3833"/>
      <c r="C28" s="3833"/>
      <c r="D28" s="3833"/>
      <c r="H28" s="3833"/>
      <c r="I28" s="3834"/>
      <c r="J28" s="3833"/>
      <c r="K28" s="3833"/>
      <c r="L28" s="3834"/>
      <c r="M28" s="3833"/>
      <c r="N28" s="3833"/>
      <c r="O28" s="3834"/>
      <c r="P28" s="3833"/>
      <c r="Q28" s="3833"/>
      <c r="R28" s="3835"/>
    </row>
    <row r="29" s="712" customFormat="1" spans="1:18">
      <c r="B29" s="3833"/>
      <c r="C29" s="3833"/>
      <c r="D29" s="3833"/>
      <c r="H29" s="3833"/>
      <c r="I29" s="3834"/>
      <c r="J29" s="3833"/>
      <c r="K29" s="3833"/>
      <c r="L29" s="3834"/>
      <c r="M29" s="3833"/>
      <c r="N29" s="3833"/>
      <c r="O29" s="3834"/>
      <c r="P29" s="3833"/>
      <c r="Q29" s="3833"/>
      <c r="R29" s="3835"/>
    </row>
    <row r="30" s="712" customFormat="1" spans="1:18">
      <c r="B30" s="3833"/>
      <c r="C30" s="3833"/>
      <c r="D30" s="3833"/>
      <c r="H30" s="3833"/>
      <c r="I30" s="3834"/>
      <c r="J30" s="3833"/>
      <c r="K30" s="3833"/>
      <c r="L30" s="3834"/>
      <c r="M30" s="3833"/>
      <c r="N30" s="3833"/>
      <c r="O30" s="3834"/>
      <c r="P30" s="3833"/>
      <c r="Q30" s="3833"/>
      <c r="R30" s="3835"/>
    </row>
    <row r="31" s="712" customFormat="1" spans="1:18">
      <c r="B31" s="3833"/>
      <c r="C31" s="3833"/>
      <c r="D31" s="3833"/>
      <c r="H31" s="3833"/>
      <c r="I31" s="3834"/>
      <c r="J31" s="3833"/>
      <c r="K31" s="3833"/>
      <c r="L31" s="3834"/>
      <c r="M31" s="3833"/>
      <c r="N31" s="3833"/>
      <c r="O31" s="3834"/>
      <c r="P31" s="3833"/>
      <c r="Q31" s="3833"/>
      <c r="R31" s="3835"/>
    </row>
    <row r="32" s="712" customFormat="1" spans="1:18">
      <c r="B32" s="3833"/>
      <c r="C32" s="3833"/>
      <c r="D32" s="3833"/>
      <c r="H32" s="3833"/>
      <c r="I32" s="3834"/>
      <c r="J32" s="3833"/>
      <c r="K32" s="3833"/>
      <c r="L32" s="3834"/>
      <c r="M32" s="3833"/>
      <c r="N32" s="3833"/>
      <c r="O32" s="3834"/>
      <c r="P32" s="3833"/>
      <c r="Q32" s="3833"/>
      <c r="R32" s="3835"/>
    </row>
    <row r="33" s="712" customFormat="1" spans="2:18">
      <c r="B33" s="3833"/>
      <c r="C33" s="3833"/>
      <c r="D33" s="3833"/>
      <c r="H33" s="3833"/>
      <c r="I33" s="3834"/>
      <c r="J33" s="3833"/>
      <c r="K33" s="3833"/>
      <c r="L33" s="3834"/>
      <c r="M33" s="3833"/>
      <c r="N33" s="3833"/>
      <c r="O33" s="3834"/>
      <c r="P33" s="3833"/>
      <c r="Q33" s="3833"/>
      <c r="R33" s="3835"/>
    </row>
    <row r="34" s="712" customFormat="1" spans="2:18">
      <c r="B34" s="3833"/>
      <c r="C34" s="3833"/>
      <c r="D34" s="3833"/>
      <c r="H34" s="3833"/>
      <c r="I34" s="3834"/>
      <c r="J34" s="3833"/>
      <c r="K34" s="3833"/>
      <c r="L34" s="3834"/>
      <c r="M34" s="3833"/>
      <c r="N34" s="3833"/>
      <c r="O34" s="3834"/>
      <c r="P34" s="3833"/>
      <c r="Q34" s="3833"/>
      <c r="R34" s="3835"/>
    </row>
    <row r="35" s="712" customFormat="1" spans="2:18">
      <c r="B35" s="3833"/>
      <c r="C35" s="3833"/>
      <c r="D35" s="3833"/>
      <c r="H35" s="3833"/>
      <c r="I35" s="3834"/>
      <c r="J35" s="3833"/>
      <c r="K35" s="3833"/>
      <c r="L35" s="3834"/>
      <c r="M35" s="3833"/>
      <c r="N35" s="3833"/>
      <c r="O35" s="3834"/>
      <c r="P35" s="3833"/>
      <c r="Q35" s="3833"/>
      <c r="R35" s="3835"/>
    </row>
    <row r="36" s="712" customFormat="1" spans="2:18">
      <c r="B36" s="3833"/>
      <c r="C36" s="3833"/>
      <c r="D36" s="3833"/>
      <c r="H36" s="3833"/>
      <c r="I36" s="3834"/>
      <c r="J36" s="3833"/>
      <c r="K36" s="3833"/>
      <c r="L36" s="3834"/>
      <c r="M36" s="3833"/>
      <c r="N36" s="3833"/>
      <c r="O36" s="3834"/>
      <c r="P36" s="3833"/>
      <c r="Q36" s="3833"/>
      <c r="R36" s="3835"/>
    </row>
    <row r="37" s="712" customFormat="1" spans="2:18">
      <c r="B37" s="3833"/>
      <c r="C37" s="3833"/>
      <c r="D37" s="3833"/>
      <c r="H37" s="3833"/>
      <c r="I37" s="3834"/>
      <c r="J37" s="3833"/>
      <c r="K37" s="3833"/>
      <c r="L37" s="3834"/>
      <c r="M37" s="3833"/>
      <c r="N37" s="3833"/>
      <c r="O37" s="3834"/>
      <c r="P37" s="3833"/>
      <c r="Q37" s="3833"/>
      <c r="R37" s="3835"/>
    </row>
    <row r="38" s="712" customFormat="1" spans="2:18">
      <c r="B38" s="3833"/>
      <c r="C38" s="3833"/>
      <c r="D38" s="3833"/>
      <c r="E38" s="3833"/>
      <c r="F38" s="3833"/>
      <c r="G38" s="3834"/>
      <c r="H38" s="3833"/>
      <c r="I38" s="3834"/>
      <c r="J38" s="3833"/>
      <c r="K38" s="3833"/>
      <c r="L38" s="3834"/>
      <c r="M38" s="3833"/>
      <c r="N38" s="3833"/>
      <c r="O38" s="3834"/>
      <c r="P38" s="3833"/>
      <c r="Q38" s="3833"/>
      <c r="R38" s="3835"/>
    </row>
    <row r="39" s="712" customFormat="1" spans="2:18">
      <c r="B39" s="3833"/>
      <c r="C39" s="3833"/>
      <c r="D39" s="3833"/>
      <c r="E39" s="3833"/>
      <c r="F39" s="3833"/>
      <c r="G39" s="3834"/>
      <c r="H39" s="3833"/>
      <c r="I39" s="3834"/>
      <c r="J39" s="3833"/>
      <c r="K39" s="3833"/>
      <c r="L39" s="3834"/>
      <c r="M39" s="3833"/>
      <c r="N39" s="3833"/>
      <c r="O39" s="3834"/>
      <c r="P39" s="3833"/>
      <c r="Q39" s="3833"/>
      <c r="R39" s="3835"/>
    </row>
    <row r="40" s="712" customFormat="1" spans="2:18">
      <c r="B40" s="3833"/>
      <c r="C40" s="3833"/>
      <c r="D40" s="3833"/>
      <c r="E40" s="3833"/>
      <c r="F40" s="3833"/>
      <c r="G40" s="3834"/>
      <c r="H40" s="3833"/>
      <c r="I40" s="3834"/>
      <c r="J40" s="3833"/>
      <c r="K40" s="3833"/>
      <c r="L40" s="3834"/>
      <c r="M40" s="3833"/>
      <c r="N40" s="3833"/>
      <c r="O40" s="3834"/>
      <c r="P40" s="3833"/>
      <c r="Q40" s="3833"/>
      <c r="R40" s="3835"/>
    </row>
    <row r="41" s="712" customFormat="1" spans="2:18">
      <c r="B41" s="3833"/>
      <c r="C41" s="3833"/>
      <c r="D41" s="3833"/>
      <c r="E41" s="3833"/>
      <c r="F41" s="3833"/>
      <c r="G41" s="3834"/>
      <c r="H41" s="3833"/>
      <c r="I41" s="3834"/>
      <c r="J41" s="3833"/>
      <c r="K41" s="3833"/>
      <c r="L41" s="3834"/>
      <c r="M41" s="3833"/>
      <c r="N41" s="3833"/>
      <c r="O41" s="3834"/>
      <c r="P41" s="3833"/>
      <c r="Q41" s="3833"/>
      <c r="R41" s="3835"/>
    </row>
    <row r="42" s="712" customFormat="1" spans="2:18">
      <c r="B42" s="3833"/>
      <c r="C42" s="3833"/>
      <c r="D42" s="3833"/>
      <c r="E42" s="3833"/>
      <c r="F42" s="3833"/>
      <c r="G42" s="3834"/>
      <c r="H42" s="3833"/>
      <c r="I42" s="3834"/>
      <c r="J42" s="3833"/>
      <c r="K42" s="3833"/>
      <c r="L42" s="3834"/>
      <c r="M42" s="3833"/>
      <c r="N42" s="3833"/>
      <c r="O42" s="3834"/>
      <c r="P42" s="3833"/>
      <c r="Q42" s="3833"/>
      <c r="R42" s="3835"/>
    </row>
    <row r="43" s="712" customFormat="1" spans="2:18">
      <c r="B43" s="3833"/>
      <c r="C43" s="3833"/>
      <c r="D43" s="3833"/>
      <c r="E43" s="3833"/>
      <c r="F43" s="3833"/>
      <c r="G43" s="3834"/>
      <c r="H43" s="3833"/>
      <c r="I43" s="3834"/>
      <c r="J43" s="3833"/>
      <c r="K43" s="3833"/>
      <c r="L43" s="3834"/>
      <c r="M43" s="3833"/>
      <c r="N43" s="3833"/>
      <c r="O43" s="3834"/>
      <c r="P43" s="3833"/>
      <c r="Q43" s="3833"/>
      <c r="R43" s="3835"/>
    </row>
    <row r="44" s="712" customFormat="1" spans="2:18">
      <c r="B44" s="3833"/>
      <c r="C44" s="3833"/>
      <c r="D44" s="3833"/>
      <c r="E44" s="3833"/>
      <c r="F44" s="3833"/>
      <c r="G44" s="3834"/>
      <c r="H44" s="3833"/>
      <c r="I44" s="3834"/>
      <c r="J44" s="3833"/>
      <c r="K44" s="3833"/>
      <c r="L44" s="3834"/>
      <c r="M44" s="3833"/>
      <c r="N44" s="3833"/>
      <c r="O44" s="3834"/>
      <c r="P44" s="3833"/>
      <c r="Q44" s="3833"/>
      <c r="R44" s="3835"/>
    </row>
    <row r="45" s="712" customFormat="1" spans="2:18">
      <c r="B45" s="3833"/>
      <c r="C45" s="3833"/>
      <c r="D45" s="3833"/>
      <c r="E45" s="3833"/>
      <c r="F45" s="3833"/>
      <c r="G45" s="3834"/>
      <c r="H45" s="3833"/>
      <c r="I45" s="3834"/>
      <c r="J45" s="3833"/>
      <c r="K45" s="3833"/>
      <c r="L45" s="3834"/>
      <c r="M45" s="3833"/>
      <c r="N45" s="3833"/>
      <c r="O45" s="3834"/>
      <c r="P45" s="3833"/>
      <c r="Q45" s="3833"/>
      <c r="R45" s="3835"/>
    </row>
    <row r="46" s="712" customFormat="1" spans="2:18">
      <c r="B46" s="3833"/>
      <c r="C46" s="3833"/>
      <c r="D46" s="3833"/>
      <c r="E46" s="3833"/>
      <c r="F46" s="3833"/>
      <c r="G46" s="3834"/>
      <c r="H46" s="3833"/>
      <c r="I46" s="3834"/>
      <c r="J46" s="3833"/>
      <c r="K46" s="3833"/>
      <c r="L46" s="3834"/>
      <c r="M46" s="3833"/>
      <c r="N46" s="3833"/>
      <c r="O46" s="3834"/>
      <c r="P46" s="3833"/>
      <c r="Q46" s="3833"/>
      <c r="R46" s="3835"/>
    </row>
    <row r="47" s="712" customFormat="1" spans="2:18">
      <c r="B47" s="3833"/>
      <c r="C47" s="3833"/>
      <c r="D47" s="3833"/>
      <c r="E47" s="3833"/>
      <c r="F47" s="3833"/>
      <c r="G47" s="3834"/>
      <c r="H47" s="3833"/>
      <c r="I47" s="3834"/>
      <c r="J47" s="3833"/>
      <c r="K47" s="3833"/>
      <c r="L47" s="3834"/>
      <c r="M47" s="3833"/>
      <c r="N47" s="3833"/>
      <c r="O47" s="3834"/>
      <c r="P47" s="3833"/>
      <c r="Q47" s="3833"/>
      <c r="R47" s="3835"/>
    </row>
    <row r="48" s="712" customFormat="1" spans="2:18">
      <c r="B48" s="3833"/>
      <c r="C48" s="3833"/>
      <c r="D48" s="3833"/>
      <c r="E48" s="3833"/>
      <c r="F48" s="3833"/>
      <c r="G48" s="3834"/>
      <c r="H48" s="3833"/>
      <c r="I48" s="3834"/>
      <c r="J48" s="3833"/>
      <c r="K48" s="3833"/>
      <c r="L48" s="3834"/>
      <c r="M48" s="3833"/>
      <c r="N48" s="3833"/>
      <c r="O48" s="3834"/>
      <c r="P48" s="3833"/>
      <c r="Q48" s="3833"/>
      <c r="R48" s="3835"/>
    </row>
    <row r="49" s="712" customFormat="1" spans="2:18">
      <c r="B49" s="3833"/>
      <c r="C49" s="3833"/>
      <c r="D49" s="3833"/>
      <c r="E49" s="3833"/>
      <c r="F49" s="3833"/>
      <c r="G49" s="3834"/>
      <c r="H49" s="3833"/>
      <c r="I49" s="3834"/>
      <c r="J49" s="3833"/>
      <c r="K49" s="3833"/>
      <c r="L49" s="3834"/>
      <c r="M49" s="3833"/>
      <c r="N49" s="3833"/>
      <c r="O49" s="3834"/>
      <c r="P49" s="3833"/>
      <c r="Q49" s="3833"/>
      <c r="R49" s="3835"/>
    </row>
    <row r="50" s="712" customFormat="1" spans="2:18">
      <c r="B50" s="3833"/>
      <c r="C50" s="3833"/>
      <c r="D50" s="3833"/>
      <c r="E50" s="3833"/>
      <c r="F50" s="3833"/>
      <c r="G50" s="3834"/>
      <c r="H50" s="3833"/>
      <c r="I50" s="3834"/>
      <c r="J50" s="3833"/>
      <c r="K50" s="3833"/>
      <c r="L50" s="3834"/>
      <c r="M50" s="3833"/>
      <c r="N50" s="3833"/>
      <c r="O50" s="3834"/>
      <c r="P50" s="3833"/>
      <c r="Q50" s="3833"/>
      <c r="R50" s="3835"/>
    </row>
    <row r="51" s="712" customFormat="1" spans="2:18">
      <c r="B51" s="3833"/>
      <c r="C51" s="3833"/>
      <c r="D51" s="3833"/>
      <c r="E51" s="3833"/>
      <c r="F51" s="3833"/>
      <c r="G51" s="3834"/>
      <c r="H51" s="3833"/>
      <c r="I51" s="3834"/>
      <c r="J51" s="3833"/>
      <c r="K51" s="3833"/>
      <c r="L51" s="3834"/>
      <c r="M51" s="3833"/>
      <c r="N51" s="3833"/>
      <c r="O51" s="3834"/>
      <c r="P51" s="3833"/>
      <c r="Q51" s="3833"/>
      <c r="R51" s="3835"/>
    </row>
    <row r="52" s="712" customFormat="1" spans="2:18">
      <c r="B52" s="3833"/>
      <c r="C52" s="3833"/>
      <c r="D52" s="3833"/>
      <c r="E52" s="3833"/>
      <c r="F52" s="3833"/>
      <c r="G52" s="3834"/>
      <c r="H52" s="3833"/>
      <c r="I52" s="3834"/>
      <c r="J52" s="3833"/>
      <c r="K52" s="3833"/>
      <c r="L52" s="3834"/>
      <c r="M52" s="3833"/>
      <c r="N52" s="3833"/>
      <c r="O52" s="3834"/>
      <c r="P52" s="3833"/>
      <c r="Q52" s="3833"/>
      <c r="R52" s="3835"/>
    </row>
    <row r="53" s="712" customFormat="1" spans="2:18">
      <c r="B53" s="3833"/>
      <c r="C53" s="3833"/>
      <c r="D53" s="3833"/>
      <c r="E53" s="3833"/>
      <c r="F53" s="3833"/>
      <c r="G53" s="3834"/>
      <c r="H53" s="3833"/>
      <c r="I53" s="3834"/>
      <c r="J53" s="3833"/>
      <c r="K53" s="3833"/>
      <c r="L53" s="3834"/>
      <c r="M53" s="3833"/>
      <c r="N53" s="3833"/>
      <c r="O53" s="3834"/>
      <c r="P53" s="3833"/>
      <c r="Q53" s="3833"/>
      <c r="R53" s="3835"/>
    </row>
    <row r="54" s="712" customFormat="1" spans="2:18">
      <c r="B54" s="3833"/>
      <c r="C54" s="3833"/>
      <c r="D54" s="3833"/>
      <c r="E54" s="3833"/>
      <c r="F54" s="3833"/>
      <c r="G54" s="3834"/>
      <c r="H54" s="3833"/>
      <c r="I54" s="3834"/>
      <c r="J54" s="3833"/>
      <c r="K54" s="3833"/>
      <c r="L54" s="3834"/>
      <c r="M54" s="3833"/>
      <c r="N54" s="3833"/>
      <c r="O54" s="3834"/>
      <c r="P54" s="3833"/>
      <c r="Q54" s="3833"/>
      <c r="R54" s="3835"/>
    </row>
    <row r="55" s="712" customFormat="1" spans="2:18">
      <c r="B55" s="3833"/>
      <c r="C55" s="3833"/>
      <c r="D55" s="3833"/>
      <c r="E55" s="3833"/>
      <c r="F55" s="3833"/>
      <c r="G55" s="3834"/>
      <c r="H55" s="3833"/>
      <c r="I55" s="3834"/>
      <c r="J55" s="3833"/>
      <c r="K55" s="3833"/>
      <c r="L55" s="3834"/>
      <c r="M55" s="3833"/>
      <c r="N55" s="3833"/>
      <c r="O55" s="3834"/>
      <c r="P55" s="3833"/>
      <c r="Q55" s="3833"/>
      <c r="R55" s="3835"/>
    </row>
    <row r="56" s="712" customFormat="1" spans="2:18">
      <c r="B56" s="3833"/>
      <c r="C56" s="3833"/>
      <c r="D56" s="3833"/>
      <c r="E56" s="3833"/>
      <c r="F56" s="3833"/>
      <c r="G56" s="3834"/>
      <c r="H56" s="3833"/>
      <c r="I56" s="3834"/>
      <c r="J56" s="3833"/>
      <c r="K56" s="3833"/>
      <c r="L56" s="3834"/>
      <c r="M56" s="3833"/>
      <c r="N56" s="3833"/>
      <c r="O56" s="3834"/>
      <c r="P56" s="3833"/>
      <c r="Q56" s="3833"/>
      <c r="R56" s="3835"/>
    </row>
    <row r="57" s="712" customFormat="1" spans="2:18">
      <c r="B57" s="3833"/>
      <c r="C57" s="3833"/>
      <c r="D57" s="3833"/>
      <c r="E57" s="3833"/>
      <c r="F57" s="3833"/>
      <c r="G57" s="3834"/>
      <c r="H57" s="3833"/>
      <c r="I57" s="3834"/>
      <c r="J57" s="3833"/>
      <c r="K57" s="3833"/>
      <c r="L57" s="3834"/>
      <c r="M57" s="3833"/>
      <c r="N57" s="3833"/>
      <c r="O57" s="3834"/>
      <c r="P57" s="3833"/>
      <c r="Q57" s="3833"/>
      <c r="R57" s="3835"/>
    </row>
    <row r="58" s="712" customFormat="1" spans="2:18">
      <c r="B58" s="3833"/>
      <c r="C58" s="3833"/>
      <c r="D58" s="3833"/>
      <c r="E58" s="3833"/>
      <c r="F58" s="3833"/>
      <c r="G58" s="3834"/>
      <c r="H58" s="3833"/>
      <c r="I58" s="3834"/>
      <c r="J58" s="3833"/>
      <c r="K58" s="3833"/>
      <c r="L58" s="3834"/>
      <c r="M58" s="3833"/>
      <c r="N58" s="3833"/>
      <c r="O58" s="3834"/>
      <c r="P58" s="3833"/>
      <c r="Q58" s="3833"/>
      <c r="R58" s="3835"/>
    </row>
    <row r="59" s="712" customFormat="1" spans="2:18">
      <c r="B59" s="3833"/>
      <c r="C59" s="3833"/>
      <c r="D59" s="3833"/>
      <c r="E59" s="3833"/>
      <c r="F59" s="3833"/>
      <c r="G59" s="3834"/>
      <c r="H59" s="3833"/>
      <c r="I59" s="3834"/>
      <c r="J59" s="3833"/>
      <c r="K59" s="3833"/>
      <c r="L59" s="3834"/>
      <c r="M59" s="3833"/>
      <c r="N59" s="3833"/>
      <c r="O59" s="3834"/>
      <c r="P59" s="3833"/>
      <c r="Q59" s="3833"/>
      <c r="R59" s="3835"/>
    </row>
    <row r="60" s="712" customFormat="1" spans="2:18">
      <c r="B60" s="3833"/>
      <c r="C60" s="3833"/>
      <c r="D60" s="3833"/>
      <c r="E60" s="3833"/>
      <c r="F60" s="3833"/>
      <c r="G60" s="3834"/>
      <c r="H60" s="3833"/>
      <c r="I60" s="3834"/>
      <c r="J60" s="3833"/>
      <c r="K60" s="3833"/>
      <c r="L60" s="3834"/>
      <c r="M60" s="3833"/>
      <c r="N60" s="3833"/>
      <c r="O60" s="3834"/>
      <c r="P60" s="3833"/>
      <c r="Q60" s="3833"/>
      <c r="R60" s="3835"/>
    </row>
    <row r="61" s="712" customFormat="1" spans="2:18">
      <c r="B61" s="3833"/>
      <c r="C61" s="3833"/>
      <c r="D61" s="3833"/>
      <c r="E61" s="3833"/>
      <c r="F61" s="3833"/>
      <c r="G61" s="3834"/>
      <c r="H61" s="3833"/>
      <c r="I61" s="3834"/>
      <c r="J61" s="3833"/>
      <c r="K61" s="3833"/>
      <c r="L61" s="3834"/>
      <c r="M61" s="3833"/>
      <c r="N61" s="3833"/>
      <c r="O61" s="3834"/>
      <c r="P61" s="3833"/>
      <c r="Q61" s="3833"/>
      <c r="R61" s="3835"/>
    </row>
    <row r="62" s="712" customFormat="1" spans="2:18">
      <c r="B62" s="3833"/>
      <c r="C62" s="3833"/>
      <c r="D62" s="3833"/>
      <c r="E62" s="3833"/>
      <c r="F62" s="3833"/>
      <c r="G62" s="3834"/>
      <c r="H62" s="3833"/>
      <c r="I62" s="3834"/>
      <c r="J62" s="3833"/>
      <c r="K62" s="3833"/>
      <c r="L62" s="3834"/>
      <c r="M62" s="3833"/>
      <c r="N62" s="3833"/>
      <c r="O62" s="3834"/>
      <c r="P62" s="3833"/>
      <c r="Q62" s="3833"/>
      <c r="R62" s="3835"/>
    </row>
    <row r="63" s="712" customFormat="1" spans="2:18">
      <c r="B63" s="3833"/>
      <c r="C63" s="3833"/>
      <c r="D63" s="3833"/>
      <c r="E63" s="3833"/>
      <c r="F63" s="3833"/>
      <c r="G63" s="3834"/>
      <c r="H63" s="3833"/>
      <c r="I63" s="3834"/>
      <c r="J63" s="3833"/>
      <c r="K63" s="3833"/>
      <c r="L63" s="3834"/>
      <c r="M63" s="3833"/>
      <c r="N63" s="3833"/>
      <c r="O63" s="3834"/>
      <c r="P63" s="3833"/>
      <c r="Q63" s="3833"/>
      <c r="R63" s="3835"/>
    </row>
    <row r="64" s="712" customFormat="1" spans="2:18">
      <c r="B64" s="3833"/>
      <c r="C64" s="3833"/>
      <c r="D64" s="3833"/>
      <c r="E64" s="3833"/>
      <c r="F64" s="3833"/>
      <c r="G64" s="3834"/>
      <c r="H64" s="3833"/>
      <c r="I64" s="3834"/>
      <c r="J64" s="3833"/>
      <c r="K64" s="3833"/>
      <c r="L64" s="3834"/>
      <c r="M64" s="3833"/>
      <c r="N64" s="3833"/>
      <c r="O64" s="3834"/>
      <c r="P64" s="3833"/>
      <c r="Q64" s="3833"/>
      <c r="R64" s="3835"/>
    </row>
    <row r="65" s="712" customFormat="1" spans="2:18">
      <c r="B65" s="3833"/>
      <c r="C65" s="3833"/>
      <c r="D65" s="3833"/>
      <c r="E65" s="3833"/>
      <c r="F65" s="3833"/>
      <c r="G65" s="3834"/>
      <c r="H65" s="3833"/>
      <c r="I65" s="3834"/>
      <c r="J65" s="3833"/>
      <c r="K65" s="3833"/>
      <c r="L65" s="3834"/>
      <c r="M65" s="3833"/>
      <c r="N65" s="3833"/>
      <c r="O65" s="3834"/>
      <c r="P65" s="3833"/>
      <c r="Q65" s="3833"/>
      <c r="R65" s="3835"/>
    </row>
    <row r="66" s="712" customFormat="1" spans="2:18">
      <c r="B66" s="3833"/>
      <c r="C66" s="3833"/>
      <c r="D66" s="3833"/>
      <c r="E66" s="3833"/>
      <c r="F66" s="3833"/>
      <c r="G66" s="3834"/>
      <c r="H66" s="3833"/>
      <c r="I66" s="3834"/>
      <c r="J66" s="3833"/>
      <c r="K66" s="3833"/>
      <c r="L66" s="3834"/>
      <c r="M66" s="3833"/>
      <c r="N66" s="3833"/>
      <c r="O66" s="3834"/>
      <c r="P66" s="3833"/>
      <c r="Q66" s="3833"/>
      <c r="R66" s="3835"/>
    </row>
    <row r="67" s="712" customFormat="1" spans="2:18">
      <c r="B67" s="3833"/>
      <c r="C67" s="3833"/>
      <c r="D67" s="3833"/>
      <c r="E67" s="3833"/>
      <c r="F67" s="3833"/>
      <c r="G67" s="3834"/>
      <c r="H67" s="3833"/>
      <c r="I67" s="3834"/>
      <c r="J67" s="3833"/>
      <c r="K67" s="3833"/>
      <c r="L67" s="3834"/>
      <c r="M67" s="3833"/>
      <c r="N67" s="3833"/>
      <c r="O67" s="3834"/>
      <c r="P67" s="3833"/>
      <c r="Q67" s="3833"/>
      <c r="R67" s="3835"/>
    </row>
    <row r="68" s="712" customFormat="1" spans="2:18">
      <c r="B68" s="3833"/>
      <c r="C68" s="3833"/>
      <c r="D68" s="3833"/>
      <c r="E68" s="3833"/>
      <c r="F68" s="3833"/>
      <c r="G68" s="3834"/>
      <c r="H68" s="3833"/>
      <c r="I68" s="3834"/>
      <c r="J68" s="3833"/>
      <c r="K68" s="3833"/>
      <c r="L68" s="3834"/>
      <c r="M68" s="3833"/>
      <c r="N68" s="3833"/>
      <c r="O68" s="3834"/>
      <c r="P68" s="3833"/>
      <c r="Q68" s="3833"/>
      <c r="R68" s="3835"/>
    </row>
    <row r="69" s="712" customFormat="1" spans="2:18">
      <c r="B69" s="3833"/>
      <c r="C69" s="3833"/>
      <c r="D69" s="3833"/>
      <c r="E69" s="3833"/>
      <c r="F69" s="3833"/>
      <c r="G69" s="3834"/>
      <c r="H69" s="3833"/>
      <c r="I69" s="3834"/>
      <c r="J69" s="3833"/>
      <c r="K69" s="3833"/>
      <c r="L69" s="3834"/>
      <c r="M69" s="3833"/>
      <c r="N69" s="3833"/>
      <c r="O69" s="3834"/>
      <c r="P69" s="3833"/>
      <c r="Q69" s="3833"/>
      <c r="R69" s="3835"/>
    </row>
    <row r="70" s="712" customFormat="1" spans="2:18">
      <c r="B70" s="3833"/>
      <c r="C70" s="3833"/>
      <c r="D70" s="3833"/>
      <c r="E70" s="3833"/>
      <c r="F70" s="3833"/>
      <c r="G70" s="3834"/>
      <c r="H70" s="3833"/>
      <c r="I70" s="3834"/>
      <c r="J70" s="3833"/>
      <c r="K70" s="3833"/>
      <c r="L70" s="3834"/>
      <c r="M70" s="3833"/>
      <c r="N70" s="3833"/>
      <c r="O70" s="3834"/>
      <c r="P70" s="3833"/>
      <c r="Q70" s="3833"/>
      <c r="R70" s="3835"/>
    </row>
    <row r="71" s="712" customFormat="1" spans="2:18">
      <c r="B71" s="3833"/>
      <c r="C71" s="3833"/>
      <c r="D71" s="3833"/>
      <c r="E71" s="3833"/>
      <c r="F71" s="3833"/>
      <c r="G71" s="3834"/>
      <c r="H71" s="3833"/>
      <c r="I71" s="3834"/>
      <c r="J71" s="3833"/>
      <c r="K71" s="3833"/>
      <c r="L71" s="3834"/>
      <c r="M71" s="3833"/>
      <c r="N71" s="3833"/>
      <c r="O71" s="3834"/>
      <c r="P71" s="3833"/>
      <c r="Q71" s="3833"/>
      <c r="R71" s="3835"/>
    </row>
    <row r="72" s="712" customFormat="1" spans="2:18">
      <c r="B72" s="3833"/>
      <c r="C72" s="3833"/>
      <c r="D72" s="3833"/>
      <c r="E72" s="3833"/>
      <c r="F72" s="3833"/>
      <c r="G72" s="3834"/>
      <c r="H72" s="3833"/>
      <c r="I72" s="3834"/>
      <c r="J72" s="3833"/>
      <c r="K72" s="3833"/>
      <c r="L72" s="3834"/>
      <c r="M72" s="3833"/>
      <c r="N72" s="3833"/>
      <c r="O72" s="3834"/>
      <c r="P72" s="3833"/>
      <c r="Q72" s="3833"/>
      <c r="R72" s="3835"/>
    </row>
    <row r="73" s="712" customFormat="1" spans="2:18">
      <c r="B73" s="3833"/>
      <c r="C73" s="3833"/>
      <c r="D73" s="3833"/>
      <c r="E73" s="3833"/>
      <c r="F73" s="3833"/>
      <c r="G73" s="3834"/>
      <c r="H73" s="3833"/>
      <c r="I73" s="3834"/>
      <c r="J73" s="3833"/>
      <c r="K73" s="3833"/>
      <c r="L73" s="3834"/>
      <c r="M73" s="3833"/>
      <c r="N73" s="3833"/>
      <c r="O73" s="3834"/>
      <c r="P73" s="3833"/>
      <c r="Q73" s="3833"/>
      <c r="R73" s="3835"/>
    </row>
    <row r="74" s="712" customFormat="1" spans="2:18">
      <c r="B74" s="3833"/>
      <c r="C74" s="3833"/>
      <c r="D74" s="3833"/>
      <c r="E74" s="3833"/>
      <c r="F74" s="3833"/>
      <c r="G74" s="3834"/>
      <c r="H74" s="3833"/>
      <c r="I74" s="3834"/>
      <c r="J74" s="3833"/>
      <c r="K74" s="3833"/>
      <c r="L74" s="3834"/>
      <c r="M74" s="3833"/>
      <c r="N74" s="3833"/>
      <c r="O74" s="3834"/>
      <c r="P74" s="3833"/>
      <c r="Q74" s="3833"/>
      <c r="R74" s="3835"/>
    </row>
    <row r="75" s="712" customFormat="1" spans="2:18">
      <c r="B75" s="3833"/>
      <c r="C75" s="3833"/>
      <c r="D75" s="3833"/>
      <c r="E75" s="3833"/>
      <c r="F75" s="3833"/>
      <c r="G75" s="3834"/>
      <c r="H75" s="3833"/>
      <c r="I75" s="3834"/>
      <c r="J75" s="3833"/>
      <c r="K75" s="3833"/>
      <c r="L75" s="3834"/>
      <c r="M75" s="3833"/>
      <c r="N75" s="3833"/>
      <c r="O75" s="3834"/>
      <c r="P75" s="3833"/>
      <c r="Q75" s="3833"/>
      <c r="R75" s="3835"/>
    </row>
    <row r="76" s="712" customFormat="1" spans="2:18">
      <c r="B76" s="3833"/>
      <c r="C76" s="3833"/>
      <c r="D76" s="3833"/>
      <c r="E76" s="3833"/>
      <c r="F76" s="3833"/>
      <c r="G76" s="3834"/>
      <c r="H76" s="3833"/>
      <c r="I76" s="3834"/>
      <c r="J76" s="3833"/>
      <c r="K76" s="3833"/>
      <c r="L76" s="3834"/>
      <c r="M76" s="3833"/>
      <c r="N76" s="3833"/>
      <c r="O76" s="3834"/>
      <c r="P76" s="3833"/>
      <c r="Q76" s="3833"/>
      <c r="R76" s="3835"/>
    </row>
    <row r="77" s="712" customFormat="1" spans="2:18">
      <c r="B77" s="3833"/>
      <c r="C77" s="3833"/>
      <c r="D77" s="3833"/>
      <c r="E77" s="3833"/>
      <c r="F77" s="3833"/>
      <c r="G77" s="3834"/>
      <c r="H77" s="3833"/>
      <c r="I77" s="3834"/>
      <c r="J77" s="3833"/>
      <c r="K77" s="3833"/>
      <c r="L77" s="3834"/>
      <c r="M77" s="3833"/>
      <c r="N77" s="3833"/>
      <c r="O77" s="3834"/>
      <c r="P77" s="3833"/>
      <c r="Q77" s="3833"/>
      <c r="R77" s="3835"/>
    </row>
    <row r="78" s="712" customFormat="1" spans="2:18">
      <c r="B78" s="3833"/>
      <c r="C78" s="3833"/>
      <c r="D78" s="3833"/>
      <c r="E78" s="3833"/>
      <c r="F78" s="3833"/>
      <c r="G78" s="3834"/>
      <c r="H78" s="3833"/>
      <c r="I78" s="3834"/>
      <c r="J78" s="3833"/>
      <c r="K78" s="3833"/>
      <c r="L78" s="3834"/>
      <c r="M78" s="3833"/>
      <c r="N78" s="3833"/>
      <c r="O78" s="3834"/>
      <c r="P78" s="3833"/>
      <c r="Q78" s="3833"/>
      <c r="R78" s="3835"/>
    </row>
    <row r="79" s="712" customFormat="1" spans="2:18">
      <c r="B79" s="3833"/>
      <c r="C79" s="3833"/>
      <c r="D79" s="3833"/>
      <c r="E79" s="3833"/>
      <c r="F79" s="3833"/>
      <c r="G79" s="3834"/>
      <c r="H79" s="3833"/>
      <c r="I79" s="3834"/>
      <c r="J79" s="3833"/>
      <c r="K79" s="3833"/>
      <c r="L79" s="3834"/>
      <c r="M79" s="3833"/>
      <c r="N79" s="3833"/>
      <c r="O79" s="3834"/>
      <c r="P79" s="3833"/>
      <c r="Q79" s="3833"/>
      <c r="R79" s="3835"/>
    </row>
    <row r="80" s="712" customFormat="1" spans="2:18">
      <c r="B80" s="3833"/>
      <c r="C80" s="3833"/>
      <c r="D80" s="3833"/>
      <c r="E80" s="3833"/>
      <c r="F80" s="3833"/>
      <c r="G80" s="3834"/>
      <c r="H80" s="3833"/>
      <c r="I80" s="3834"/>
      <c r="J80" s="3833"/>
      <c r="K80" s="3833"/>
      <c r="L80" s="3834"/>
      <c r="M80" s="3833"/>
      <c r="N80" s="3833"/>
      <c r="O80" s="3834"/>
      <c r="P80" s="3833"/>
      <c r="Q80" s="3833"/>
      <c r="R80" s="3835"/>
    </row>
    <row r="81" s="712" customFormat="1" spans="2:18">
      <c r="B81" s="3833"/>
      <c r="C81" s="3833"/>
      <c r="D81" s="3833"/>
      <c r="E81" s="3833"/>
      <c r="F81" s="3833"/>
      <c r="G81" s="3834"/>
      <c r="H81" s="3833"/>
      <c r="I81" s="3834"/>
      <c r="J81" s="3833"/>
      <c r="K81" s="3833"/>
      <c r="L81" s="3834"/>
      <c r="M81" s="3833"/>
      <c r="N81" s="3833"/>
      <c r="O81" s="3834"/>
      <c r="P81" s="3833"/>
      <c r="Q81" s="3833"/>
      <c r="R81" s="3835"/>
    </row>
    <row r="82" s="712" customFormat="1" spans="2:18">
      <c r="B82" s="3833"/>
      <c r="C82" s="3833"/>
      <c r="D82" s="3833"/>
      <c r="E82" s="3833"/>
      <c r="F82" s="3833"/>
      <c r="G82" s="3834"/>
      <c r="H82" s="3833"/>
      <c r="I82" s="3834"/>
      <c r="J82" s="3833"/>
      <c r="K82" s="3833"/>
      <c r="L82" s="3834"/>
      <c r="M82" s="3833"/>
      <c r="N82" s="3833"/>
      <c r="O82" s="3834"/>
      <c r="P82" s="3833"/>
      <c r="Q82" s="3833"/>
      <c r="R82" s="3835"/>
    </row>
    <row r="83" s="712" customFormat="1" spans="2:18">
      <c r="B83" s="3833"/>
      <c r="C83" s="3833"/>
      <c r="D83" s="3833"/>
      <c r="E83" s="3833"/>
      <c r="F83" s="3833"/>
      <c r="G83" s="3834"/>
      <c r="H83" s="3833"/>
      <c r="I83" s="3834"/>
      <c r="J83" s="3833"/>
      <c r="K83" s="3833"/>
      <c r="L83" s="3834"/>
      <c r="M83" s="3833"/>
      <c r="N83" s="3833"/>
      <c r="O83" s="3834"/>
      <c r="P83" s="3833"/>
      <c r="Q83" s="3833"/>
      <c r="R83" s="3835"/>
    </row>
    <row r="84" s="712" customFormat="1" spans="2:18">
      <c r="B84" s="3833"/>
      <c r="C84" s="3833"/>
      <c r="D84" s="3833"/>
      <c r="E84" s="3833"/>
      <c r="F84" s="3833"/>
      <c r="G84" s="3834"/>
      <c r="H84" s="3833"/>
      <c r="I84" s="3834"/>
      <c r="J84" s="3833"/>
      <c r="K84" s="3833"/>
      <c r="L84" s="3834"/>
      <c r="M84" s="3833"/>
      <c r="N84" s="3833"/>
      <c r="O84" s="3834"/>
      <c r="P84" s="3833"/>
      <c r="Q84" s="3833"/>
      <c r="R84" s="3835"/>
    </row>
    <row r="85" s="712" customFormat="1" spans="2:18">
      <c r="B85" s="3833"/>
      <c r="C85" s="3833"/>
      <c r="D85" s="3833"/>
      <c r="E85" s="3833"/>
      <c r="F85" s="3833"/>
      <c r="G85" s="3834"/>
      <c r="H85" s="3833"/>
      <c r="I85" s="3834"/>
      <c r="J85" s="3833"/>
      <c r="K85" s="3833"/>
      <c r="L85" s="3834"/>
      <c r="M85" s="3833"/>
      <c r="N85" s="3833"/>
      <c r="O85" s="3834"/>
      <c r="P85" s="3833"/>
      <c r="Q85" s="3833"/>
      <c r="R85" s="3835"/>
    </row>
    <row r="86" s="712" customFormat="1" spans="2:18">
      <c r="B86" s="3833"/>
      <c r="C86" s="3833"/>
      <c r="D86" s="3833"/>
      <c r="E86" s="3833"/>
      <c r="F86" s="3833"/>
      <c r="G86" s="3834"/>
      <c r="H86" s="3833"/>
      <c r="I86" s="3834"/>
      <c r="J86" s="3833"/>
      <c r="K86" s="3833"/>
      <c r="L86" s="3834"/>
      <c r="M86" s="3833"/>
      <c r="N86" s="3833"/>
      <c r="O86" s="3834"/>
      <c r="P86" s="3833"/>
      <c r="Q86" s="3833"/>
      <c r="R86" s="3835"/>
    </row>
    <row r="87" s="712" customFormat="1" spans="2:18">
      <c r="B87" s="3833"/>
      <c r="C87" s="3833"/>
      <c r="D87" s="3833"/>
      <c r="E87" s="3833"/>
      <c r="F87" s="3833"/>
      <c r="G87" s="3834"/>
      <c r="H87" s="3833"/>
      <c r="I87" s="3834"/>
      <c r="J87" s="3833"/>
      <c r="K87" s="3833"/>
      <c r="L87" s="3834"/>
      <c r="M87" s="3833"/>
      <c r="N87" s="3833"/>
      <c r="O87" s="3834"/>
      <c r="P87" s="3833"/>
      <c r="Q87" s="3833"/>
      <c r="R87" s="3835"/>
    </row>
    <row r="88" s="712" customFormat="1" spans="2:18">
      <c r="B88" s="3833"/>
      <c r="C88" s="3833"/>
      <c r="D88" s="3833"/>
      <c r="E88" s="3833"/>
      <c r="F88" s="3833"/>
      <c r="G88" s="3834"/>
      <c r="H88" s="3833"/>
      <c r="I88" s="3834"/>
      <c r="J88" s="3833"/>
      <c r="K88" s="3833"/>
      <c r="L88" s="3834"/>
      <c r="M88" s="3833"/>
      <c r="N88" s="3833"/>
      <c r="O88" s="3834"/>
      <c r="P88" s="3833"/>
      <c r="Q88" s="3833"/>
      <c r="R88" s="3835"/>
    </row>
    <row r="89" s="712" customFormat="1" spans="2:18">
      <c r="B89" s="3833"/>
      <c r="C89" s="3833"/>
      <c r="D89" s="3833"/>
      <c r="E89" s="3833"/>
      <c r="F89" s="3833"/>
      <c r="G89" s="3834"/>
      <c r="H89" s="3833"/>
      <c r="I89" s="3834"/>
      <c r="J89" s="3833"/>
      <c r="K89" s="3833"/>
      <c r="L89" s="3834"/>
      <c r="M89" s="3833"/>
      <c r="N89" s="3833"/>
      <c r="O89" s="3834"/>
      <c r="P89" s="3833"/>
      <c r="Q89" s="3833"/>
      <c r="R89" s="3835"/>
    </row>
    <row r="90" s="712" customFormat="1" spans="2:18">
      <c r="B90" s="3833"/>
      <c r="C90" s="3833"/>
      <c r="D90" s="3833"/>
      <c r="E90" s="3833"/>
      <c r="F90" s="3833"/>
      <c r="G90" s="3834"/>
      <c r="H90" s="3833"/>
      <c r="I90" s="3834"/>
      <c r="J90" s="3833"/>
      <c r="K90" s="3833"/>
      <c r="L90" s="3834"/>
      <c r="M90" s="3833"/>
      <c r="N90" s="3833"/>
      <c r="O90" s="3834"/>
      <c r="P90" s="3833"/>
      <c r="Q90" s="3833"/>
      <c r="R90" s="3835"/>
    </row>
    <row r="91" s="712" customFormat="1" spans="2:18">
      <c r="B91" s="3833"/>
      <c r="C91" s="3833"/>
      <c r="D91" s="3833"/>
      <c r="E91" s="3833"/>
      <c r="F91" s="3833"/>
      <c r="G91" s="3834"/>
      <c r="H91" s="3833"/>
      <c r="I91" s="3834"/>
      <c r="J91" s="3833"/>
      <c r="K91" s="3833"/>
      <c r="L91" s="3834"/>
      <c r="M91" s="3833"/>
      <c r="N91" s="3833"/>
      <c r="O91" s="3834"/>
      <c r="P91" s="3833"/>
      <c r="Q91" s="3833"/>
      <c r="R91" s="3835"/>
    </row>
    <row r="92" s="712" customFormat="1" spans="2:18">
      <c r="B92" s="3833"/>
      <c r="C92" s="3833"/>
      <c r="D92" s="3833"/>
      <c r="E92" s="3833"/>
      <c r="F92" s="3833"/>
      <c r="G92" s="3834"/>
      <c r="H92" s="3833"/>
      <c r="I92" s="3834"/>
      <c r="J92" s="3833"/>
      <c r="K92" s="3833"/>
      <c r="L92" s="3834"/>
      <c r="M92" s="3833"/>
      <c r="N92" s="3833"/>
      <c r="O92" s="3834"/>
      <c r="P92" s="3833"/>
      <c r="Q92" s="3833"/>
      <c r="R92" s="3835"/>
    </row>
    <row r="93" s="712" customFormat="1" spans="2:18">
      <c r="B93" s="3833"/>
      <c r="C93" s="3833"/>
      <c r="D93" s="3833"/>
      <c r="E93" s="3833"/>
      <c r="F93" s="3833"/>
      <c r="G93" s="3834"/>
      <c r="H93" s="3833"/>
      <c r="I93" s="3834"/>
      <c r="J93" s="3833"/>
      <c r="K93" s="3833"/>
      <c r="L93" s="3834"/>
      <c r="M93" s="3833"/>
      <c r="N93" s="3833"/>
      <c r="O93" s="3834"/>
      <c r="P93" s="3833"/>
      <c r="Q93" s="3833"/>
      <c r="R93" s="3835"/>
    </row>
    <row r="94" s="712" customFormat="1" spans="2:18">
      <c r="B94" s="3833"/>
      <c r="C94" s="3833"/>
      <c r="D94" s="3833"/>
      <c r="E94" s="3833"/>
      <c r="F94" s="3833"/>
      <c r="G94" s="3834"/>
      <c r="H94" s="3833"/>
      <c r="I94" s="3834"/>
      <c r="J94" s="3833"/>
      <c r="K94" s="3833"/>
      <c r="L94" s="3834"/>
      <c r="M94" s="3833"/>
      <c r="N94" s="3833"/>
      <c r="O94" s="3834"/>
      <c r="P94" s="3833"/>
      <c r="Q94" s="3833"/>
      <c r="R94" s="3835"/>
    </row>
    <row r="95" s="712" customFormat="1" spans="2:18">
      <c r="B95" s="3833"/>
      <c r="C95" s="3833"/>
      <c r="D95" s="3833"/>
      <c r="E95" s="3833"/>
      <c r="F95" s="3833"/>
      <c r="G95" s="3834"/>
      <c r="H95" s="3833"/>
      <c r="I95" s="3834"/>
      <c r="J95" s="3833"/>
      <c r="K95" s="3833"/>
      <c r="L95" s="3834"/>
      <c r="M95" s="3833"/>
      <c r="N95" s="3833"/>
      <c r="O95" s="3834"/>
      <c r="P95" s="3833"/>
      <c r="Q95" s="3833"/>
      <c r="R95" s="3835"/>
    </row>
    <row r="96" s="712" customFormat="1" spans="2:18">
      <c r="B96" s="3833"/>
      <c r="C96" s="3833"/>
      <c r="D96" s="3833"/>
      <c r="E96" s="3833"/>
      <c r="F96" s="3833"/>
      <c r="G96" s="3834"/>
      <c r="H96" s="3833"/>
      <c r="I96" s="3834"/>
      <c r="J96" s="3833"/>
      <c r="K96" s="3833"/>
      <c r="L96" s="3834"/>
      <c r="M96" s="3833"/>
      <c r="N96" s="3833"/>
      <c r="O96" s="3834"/>
      <c r="P96" s="3833"/>
      <c r="Q96" s="3833"/>
      <c r="R96" s="3835"/>
    </row>
    <row r="97" s="712" customFormat="1" spans="2:18">
      <c r="B97" s="3833"/>
      <c r="C97" s="3833"/>
      <c r="D97" s="3833"/>
      <c r="E97" s="3833"/>
      <c r="F97" s="3833"/>
      <c r="G97" s="3834"/>
      <c r="H97" s="3833"/>
      <c r="I97" s="3834"/>
      <c r="J97" s="3833"/>
      <c r="K97" s="3833"/>
      <c r="L97" s="3834"/>
      <c r="M97" s="3833"/>
      <c r="N97" s="3833"/>
      <c r="O97" s="3834"/>
      <c r="P97" s="3833"/>
      <c r="Q97" s="3833"/>
      <c r="R97" s="3835"/>
    </row>
    <row r="98" s="712" customFormat="1" spans="2:18">
      <c r="B98" s="3833"/>
      <c r="C98" s="3833"/>
      <c r="D98" s="3833"/>
      <c r="E98" s="3833"/>
      <c r="F98" s="3833"/>
      <c r="G98" s="3834"/>
      <c r="H98" s="3833"/>
      <c r="I98" s="3834"/>
      <c r="J98" s="3833"/>
      <c r="K98" s="3833"/>
      <c r="L98" s="3834"/>
      <c r="M98" s="3833"/>
      <c r="N98" s="3833"/>
      <c r="O98" s="3834"/>
      <c r="P98" s="3833"/>
      <c r="Q98" s="3833"/>
      <c r="R98" s="3835"/>
    </row>
    <row r="99" s="712" customFormat="1" spans="2:18">
      <c r="B99" s="3833"/>
      <c r="C99" s="3833"/>
      <c r="D99" s="3833"/>
      <c r="E99" s="3833"/>
      <c r="F99" s="3833"/>
      <c r="G99" s="3834"/>
      <c r="H99" s="3833"/>
      <c r="I99" s="3834"/>
      <c r="J99" s="3833"/>
      <c r="K99" s="3833"/>
      <c r="L99" s="3834"/>
      <c r="M99" s="3833"/>
      <c r="N99" s="3833"/>
      <c r="O99" s="3834"/>
      <c r="P99" s="3833"/>
      <c r="Q99" s="3833"/>
      <c r="R99" s="3835"/>
    </row>
    <row r="100" s="712" customFormat="1" spans="2:18">
      <c r="B100" s="3833"/>
      <c r="C100" s="3833"/>
      <c r="D100" s="3833"/>
      <c r="E100" s="3833"/>
      <c r="F100" s="3833"/>
      <c r="G100" s="3834"/>
      <c r="H100" s="3833"/>
      <c r="I100" s="3834"/>
      <c r="J100" s="3833"/>
      <c r="K100" s="3833"/>
      <c r="L100" s="3834"/>
      <c r="M100" s="3833"/>
      <c r="N100" s="3833"/>
      <c r="O100" s="3834"/>
      <c r="P100" s="3833"/>
      <c r="Q100" s="3833"/>
      <c r="R100" s="3835"/>
    </row>
    <row r="101" s="712" customFormat="1" spans="2:18">
      <c r="B101" s="3833"/>
      <c r="C101" s="3833"/>
      <c r="D101" s="3833"/>
      <c r="E101" s="3833"/>
      <c r="F101" s="3833"/>
      <c r="G101" s="3834"/>
      <c r="H101" s="3833"/>
      <c r="I101" s="3834"/>
      <c r="J101" s="3833"/>
      <c r="K101" s="3833"/>
      <c r="L101" s="3834"/>
      <c r="M101" s="3833"/>
      <c r="N101" s="3833"/>
      <c r="O101" s="3834"/>
      <c r="P101" s="3833"/>
      <c r="Q101" s="3833"/>
      <c r="R101" s="3835"/>
    </row>
    <row r="102" s="712" customFormat="1" spans="2:18">
      <c r="B102" s="3833"/>
      <c r="C102" s="3833"/>
      <c r="D102" s="3833"/>
      <c r="E102" s="3833"/>
      <c r="F102" s="3833"/>
      <c r="G102" s="3834"/>
      <c r="H102" s="3833"/>
      <c r="I102" s="3834"/>
      <c r="J102" s="3833"/>
      <c r="K102" s="3833"/>
      <c r="L102" s="3834"/>
      <c r="M102" s="3833"/>
      <c r="N102" s="3833"/>
      <c r="O102" s="3834"/>
      <c r="P102" s="3833"/>
      <c r="Q102" s="3833"/>
      <c r="R102" s="3835"/>
    </row>
    <row r="103" s="712" customFormat="1" spans="2:18">
      <c r="B103" s="3833"/>
      <c r="C103" s="3833"/>
      <c r="D103" s="3833"/>
      <c r="E103" s="3833"/>
      <c r="F103" s="3833"/>
      <c r="G103" s="3834"/>
      <c r="H103" s="3833"/>
      <c r="I103" s="3834"/>
      <c r="J103" s="3833"/>
      <c r="K103" s="3833"/>
      <c r="L103" s="3834"/>
      <c r="M103" s="3833"/>
      <c r="N103" s="3833"/>
      <c r="O103" s="3834"/>
      <c r="P103" s="3833"/>
      <c r="Q103" s="3833"/>
      <c r="R103" s="3835"/>
    </row>
    <row r="104" s="712" customFormat="1" spans="2:18">
      <c r="B104" s="3833"/>
      <c r="C104" s="3833"/>
      <c r="D104" s="3833"/>
      <c r="E104" s="3833"/>
      <c r="F104" s="3833"/>
      <c r="G104" s="3834"/>
      <c r="H104" s="3833"/>
      <c r="I104" s="3834"/>
      <c r="J104" s="3833"/>
      <c r="K104" s="3833"/>
      <c r="L104" s="3834"/>
      <c r="M104" s="3833"/>
      <c r="N104" s="3833"/>
      <c r="O104" s="3834"/>
      <c r="P104" s="3833"/>
      <c r="Q104" s="3833"/>
      <c r="R104" s="3835"/>
    </row>
    <row r="105" s="712" customFormat="1" spans="2:18">
      <c r="B105" s="3833"/>
      <c r="C105" s="3833"/>
      <c r="D105" s="3833"/>
      <c r="E105" s="3833"/>
      <c r="F105" s="3833"/>
      <c r="G105" s="3834"/>
      <c r="H105" s="3833"/>
      <c r="I105" s="3834"/>
      <c r="J105" s="3833"/>
      <c r="K105" s="3833"/>
      <c r="L105" s="3834"/>
      <c r="M105" s="3833"/>
      <c r="N105" s="3833"/>
      <c r="O105" s="3834"/>
      <c r="P105" s="3833"/>
      <c r="Q105" s="3833"/>
      <c r="R105" s="3835"/>
    </row>
    <row r="106" s="712" customFormat="1" spans="2:18">
      <c r="B106" s="3833"/>
      <c r="C106" s="3833"/>
      <c r="D106" s="3833"/>
      <c r="E106" s="3833"/>
      <c r="F106" s="3833"/>
      <c r="G106" s="3834"/>
      <c r="H106" s="3833"/>
      <c r="I106" s="3834"/>
      <c r="J106" s="3833"/>
      <c r="K106" s="3833"/>
      <c r="L106" s="3834"/>
      <c r="M106" s="3833"/>
      <c r="N106" s="3833"/>
      <c r="O106" s="3834"/>
      <c r="P106" s="3833"/>
      <c r="Q106" s="3833"/>
      <c r="R106" s="3835"/>
    </row>
    <row r="107" s="712" customFormat="1" spans="2:18">
      <c r="B107" s="3833"/>
      <c r="C107" s="3833"/>
      <c r="D107" s="3833"/>
      <c r="E107" s="3833"/>
      <c r="F107" s="3833"/>
      <c r="G107" s="3834"/>
      <c r="H107" s="3833"/>
      <c r="I107" s="3834"/>
      <c r="J107" s="3833"/>
      <c r="K107" s="3833"/>
      <c r="L107" s="3834"/>
      <c r="M107" s="3833"/>
      <c r="N107" s="3833"/>
      <c r="O107" s="3834"/>
      <c r="P107" s="3833"/>
      <c r="Q107" s="3833"/>
      <c r="R107" s="3835"/>
    </row>
    <row r="108" s="712" customFormat="1" spans="2:18">
      <c r="B108" s="3833"/>
      <c r="C108" s="3833"/>
      <c r="D108" s="3833"/>
      <c r="E108" s="3833"/>
      <c r="F108" s="3833"/>
      <c r="G108" s="3834"/>
      <c r="H108" s="3833"/>
      <c r="I108" s="3834"/>
      <c r="J108" s="3833"/>
      <c r="K108" s="3833"/>
      <c r="L108" s="3834"/>
      <c r="M108" s="3833"/>
      <c r="N108" s="3833"/>
      <c r="O108" s="3834"/>
      <c r="P108" s="3833"/>
      <c r="Q108" s="3833"/>
      <c r="R108" s="3835"/>
    </row>
    <row r="109" s="712" customFormat="1" spans="2:18">
      <c r="B109" s="3833"/>
      <c r="C109" s="3833"/>
      <c r="D109" s="3833"/>
      <c r="E109" s="3833"/>
      <c r="F109" s="3833"/>
      <c r="G109" s="3834"/>
      <c r="H109" s="3833"/>
      <c r="I109" s="3834"/>
      <c r="J109" s="3833"/>
      <c r="K109" s="3833"/>
      <c r="L109" s="3834"/>
      <c r="M109" s="3833"/>
      <c r="N109" s="3833"/>
      <c r="O109" s="3834"/>
      <c r="P109" s="3833"/>
      <c r="Q109" s="3833"/>
      <c r="R109" s="3835"/>
    </row>
    <row r="110" s="712" customFormat="1" spans="2:18">
      <c r="B110" s="3833"/>
      <c r="C110" s="3833"/>
      <c r="D110" s="3833"/>
      <c r="E110" s="3833"/>
      <c r="F110" s="3833"/>
      <c r="G110" s="3834"/>
      <c r="H110" s="3833"/>
      <c r="I110" s="3834"/>
      <c r="J110" s="3833"/>
      <c r="K110" s="3833"/>
      <c r="L110" s="3834"/>
      <c r="M110" s="3833"/>
      <c r="N110" s="3833"/>
      <c r="O110" s="3834"/>
      <c r="P110" s="3833"/>
      <c r="Q110" s="3833"/>
      <c r="R110" s="3835"/>
    </row>
    <row r="111" s="712" customFormat="1" spans="2:18">
      <c r="B111" s="3833"/>
      <c r="C111" s="3833"/>
      <c r="D111" s="3833"/>
      <c r="E111" s="3833"/>
      <c r="F111" s="3833"/>
      <c r="G111" s="3834"/>
      <c r="H111" s="3833"/>
      <c r="I111" s="3834"/>
      <c r="J111" s="3833"/>
      <c r="K111" s="3833"/>
      <c r="L111" s="3834"/>
      <c r="M111" s="3833"/>
      <c r="N111" s="3833"/>
      <c r="O111" s="3834"/>
      <c r="P111" s="3833"/>
      <c r="Q111" s="3833"/>
      <c r="R111" s="3835"/>
    </row>
    <row r="112" s="712" customFormat="1" spans="2:18">
      <c r="B112" s="3833"/>
      <c r="C112" s="3833"/>
      <c r="D112" s="3833"/>
      <c r="E112" s="3833"/>
      <c r="F112" s="3833"/>
      <c r="G112" s="3834"/>
      <c r="H112" s="3833"/>
      <c r="I112" s="3834"/>
      <c r="J112" s="3833"/>
      <c r="K112" s="3833"/>
      <c r="L112" s="3834"/>
      <c r="M112" s="3833"/>
      <c r="N112" s="3833"/>
      <c r="O112" s="3834"/>
      <c r="P112" s="3833"/>
      <c r="Q112" s="3833"/>
      <c r="R112" s="3835"/>
    </row>
    <row r="113" s="712" customFormat="1" spans="2:18">
      <c r="B113" s="3833"/>
      <c r="C113" s="3833"/>
      <c r="D113" s="3833"/>
      <c r="E113" s="3833"/>
      <c r="F113" s="3833"/>
      <c r="G113" s="3834"/>
      <c r="H113" s="3833"/>
      <c r="I113" s="3834"/>
      <c r="J113" s="3833"/>
      <c r="K113" s="3833"/>
      <c r="L113" s="3834"/>
      <c r="M113" s="3833"/>
      <c r="N113" s="3833"/>
      <c r="O113" s="3834"/>
      <c r="P113" s="3833"/>
      <c r="Q113" s="3833"/>
      <c r="R113" s="3835"/>
    </row>
    <row r="114" s="712" customFormat="1" spans="2:18">
      <c r="B114" s="3833"/>
      <c r="C114" s="3833"/>
      <c r="D114" s="3833"/>
      <c r="E114" s="3833"/>
      <c r="F114" s="3833"/>
      <c r="G114" s="3834"/>
      <c r="H114" s="3833"/>
      <c r="I114" s="3834"/>
      <c r="J114" s="3833"/>
      <c r="K114" s="3833"/>
      <c r="L114" s="3834"/>
      <c r="M114" s="3833"/>
      <c r="N114" s="3833"/>
      <c r="O114" s="3834"/>
      <c r="P114" s="3833"/>
      <c r="Q114" s="3833"/>
      <c r="R114" s="3835"/>
    </row>
    <row r="115" s="712" customFormat="1" spans="2:18">
      <c r="B115" s="3833"/>
      <c r="C115" s="3833"/>
      <c r="D115" s="3833"/>
      <c r="E115" s="3833"/>
      <c r="F115" s="3833"/>
      <c r="G115" s="3834"/>
      <c r="H115" s="3833"/>
      <c r="I115" s="3834"/>
      <c r="J115" s="3833"/>
      <c r="K115" s="3833"/>
      <c r="L115" s="3834"/>
      <c r="M115" s="3833"/>
      <c r="N115" s="3833"/>
      <c r="O115" s="3834"/>
      <c r="P115" s="3833"/>
      <c r="Q115" s="3833"/>
      <c r="R115" s="3835"/>
    </row>
    <row r="116" s="712" customFormat="1" spans="2:18">
      <c r="B116" s="3833"/>
      <c r="C116" s="3833"/>
      <c r="D116" s="3833"/>
      <c r="E116" s="3833"/>
      <c r="F116" s="3833"/>
      <c r="G116" s="3834"/>
      <c r="H116" s="3833"/>
      <c r="I116" s="3834"/>
      <c r="J116" s="3833"/>
      <c r="K116" s="3833"/>
      <c r="L116" s="3834"/>
      <c r="M116" s="3833"/>
      <c r="N116" s="3833"/>
      <c r="O116" s="3834"/>
      <c r="P116" s="3833"/>
      <c r="Q116" s="3833"/>
      <c r="R116" s="3835"/>
    </row>
    <row r="117" s="712" customFormat="1" spans="2:18">
      <c r="B117" s="3833"/>
      <c r="C117" s="3833"/>
      <c r="D117" s="3833"/>
      <c r="E117" s="3833"/>
      <c r="F117" s="3833"/>
      <c r="G117" s="3834"/>
      <c r="H117" s="3833"/>
      <c r="I117" s="3834"/>
      <c r="J117" s="3833"/>
      <c r="K117" s="3833"/>
      <c r="L117" s="3834"/>
      <c r="M117" s="3833"/>
      <c r="N117" s="3833"/>
      <c r="O117" s="3834"/>
      <c r="P117" s="3833"/>
      <c r="Q117" s="3833"/>
      <c r="R117" s="3835"/>
    </row>
    <row r="118" s="712" customFormat="1" spans="2:18">
      <c r="B118" s="3833"/>
      <c r="C118" s="3833"/>
      <c r="D118" s="3833"/>
      <c r="E118" s="3833"/>
      <c r="F118" s="3833"/>
      <c r="G118" s="3834"/>
      <c r="H118" s="3833"/>
      <c r="I118" s="3834"/>
      <c r="J118" s="3833"/>
      <c r="K118" s="3833"/>
      <c r="L118" s="3834"/>
      <c r="M118" s="3833"/>
      <c r="N118" s="3833"/>
      <c r="O118" s="3834"/>
      <c r="P118" s="3833"/>
      <c r="Q118" s="3833"/>
      <c r="R118" s="3835"/>
    </row>
    <row r="119" s="712" customFormat="1" spans="2:18">
      <c r="B119" s="3833"/>
      <c r="C119" s="3833"/>
      <c r="D119" s="3833"/>
      <c r="E119" s="3833"/>
      <c r="F119" s="3833"/>
      <c r="G119" s="3834"/>
      <c r="H119" s="3833"/>
      <c r="I119" s="3834"/>
      <c r="J119" s="3833"/>
      <c r="K119" s="3833"/>
      <c r="L119" s="3834"/>
      <c r="M119" s="3833"/>
      <c r="N119" s="3833"/>
      <c r="O119" s="3834"/>
      <c r="P119" s="3833"/>
      <c r="Q119" s="3833"/>
      <c r="R119" s="3835"/>
    </row>
    <row r="120" s="712" customFormat="1" spans="2:18">
      <c r="B120" s="3833"/>
      <c r="C120" s="3833"/>
      <c r="D120" s="3833"/>
      <c r="E120" s="3833"/>
      <c r="F120" s="3833"/>
      <c r="G120" s="3834"/>
      <c r="H120" s="3833"/>
      <c r="I120" s="3834"/>
      <c r="J120" s="3833"/>
      <c r="K120" s="3833"/>
      <c r="L120" s="3834"/>
      <c r="M120" s="3833"/>
      <c r="N120" s="3833"/>
      <c r="O120" s="3834"/>
      <c r="P120" s="3833"/>
      <c r="Q120" s="3833"/>
      <c r="R120" s="3835"/>
    </row>
    <row r="121" s="712" customFormat="1" spans="2:18">
      <c r="B121" s="3833"/>
      <c r="C121" s="3833"/>
      <c r="D121" s="3833"/>
      <c r="E121" s="3833"/>
      <c r="F121" s="3833"/>
      <c r="G121" s="3834"/>
      <c r="H121" s="3833"/>
      <c r="I121" s="3834"/>
      <c r="J121" s="3833"/>
      <c r="K121" s="3833"/>
      <c r="L121" s="3834"/>
      <c r="M121" s="3833"/>
      <c r="N121" s="3833"/>
      <c r="O121" s="3834"/>
      <c r="P121" s="3833"/>
      <c r="Q121" s="3833"/>
      <c r="R121" s="3835"/>
    </row>
    <row r="122" s="712" customFormat="1" spans="2:18">
      <c r="B122" s="3833"/>
      <c r="C122" s="3833"/>
      <c r="D122" s="3833"/>
      <c r="E122" s="3833"/>
      <c r="F122" s="3833"/>
      <c r="G122" s="3834"/>
      <c r="H122" s="3833"/>
      <c r="I122" s="3834"/>
      <c r="J122" s="3833"/>
      <c r="K122" s="3833"/>
      <c r="L122" s="3834"/>
      <c r="M122" s="3833"/>
      <c r="N122" s="3833"/>
      <c r="O122" s="3834"/>
      <c r="P122" s="3833"/>
      <c r="Q122" s="3833"/>
      <c r="R122" s="3835"/>
    </row>
    <row r="123" s="712" customFormat="1" spans="2:18">
      <c r="B123" s="3833"/>
      <c r="C123" s="3833"/>
      <c r="D123" s="3833"/>
      <c r="E123" s="3833"/>
      <c r="F123" s="3833"/>
      <c r="G123" s="3834"/>
      <c r="H123" s="3833"/>
      <c r="I123" s="3834"/>
      <c r="J123" s="3833"/>
      <c r="K123" s="3833"/>
      <c r="L123" s="3834"/>
      <c r="M123" s="3833"/>
      <c r="N123" s="3833"/>
      <c r="O123" s="3834"/>
      <c r="P123" s="3833"/>
      <c r="Q123" s="3833"/>
      <c r="R123" s="3835"/>
    </row>
    <row r="124" s="712" customFormat="1" spans="2:18">
      <c r="B124" s="3833"/>
      <c r="C124" s="3833"/>
      <c r="D124" s="3833"/>
      <c r="E124" s="3833"/>
      <c r="F124" s="3833"/>
      <c r="G124" s="3834"/>
      <c r="H124" s="3833"/>
      <c r="I124" s="3834"/>
      <c r="J124" s="3833"/>
      <c r="K124" s="3833"/>
      <c r="L124" s="3834"/>
      <c r="M124" s="3833"/>
      <c r="N124" s="3833"/>
      <c r="O124" s="3834"/>
      <c r="P124" s="3833"/>
      <c r="Q124" s="3833"/>
      <c r="R124" s="3835"/>
    </row>
    <row r="125" s="712" customFormat="1" spans="2:18">
      <c r="B125" s="3833"/>
      <c r="C125" s="3833"/>
      <c r="D125" s="3833"/>
      <c r="E125" s="3833"/>
      <c r="F125" s="3833"/>
      <c r="G125" s="3834"/>
      <c r="H125" s="3833"/>
      <c r="I125" s="3834"/>
      <c r="J125" s="3833"/>
      <c r="K125" s="3833"/>
      <c r="L125" s="3834"/>
      <c r="M125" s="3833"/>
      <c r="N125" s="3833"/>
      <c r="O125" s="3834"/>
      <c r="P125" s="3833"/>
      <c r="Q125" s="3833"/>
      <c r="R125" s="3835"/>
    </row>
    <row r="126" s="712" customFormat="1" spans="2:18">
      <c r="B126" s="3833"/>
      <c r="C126" s="3833"/>
      <c r="D126" s="3833"/>
      <c r="E126" s="3833"/>
      <c r="F126" s="3833"/>
      <c r="G126" s="3834"/>
      <c r="H126" s="3833"/>
      <c r="I126" s="3834"/>
      <c r="J126" s="3833"/>
      <c r="K126" s="3833"/>
      <c r="L126" s="3834"/>
      <c r="M126" s="3833"/>
      <c r="N126" s="3833"/>
      <c r="O126" s="3834"/>
      <c r="P126" s="3833"/>
      <c r="Q126" s="3833"/>
      <c r="R126" s="3835"/>
    </row>
    <row r="127" s="712" customFormat="1" spans="2:18">
      <c r="B127" s="3833"/>
      <c r="C127" s="3833"/>
      <c r="D127" s="3833"/>
      <c r="E127" s="3833"/>
      <c r="F127" s="3833"/>
      <c r="G127" s="3834"/>
      <c r="H127" s="3833"/>
      <c r="I127" s="3834"/>
      <c r="J127" s="3833"/>
      <c r="K127" s="3833"/>
      <c r="L127" s="3834"/>
      <c r="M127" s="3833"/>
      <c r="N127" s="3833"/>
      <c r="O127" s="3834"/>
      <c r="P127" s="3833"/>
      <c r="Q127" s="3833"/>
      <c r="R127" s="3835"/>
    </row>
    <row r="128" s="712" customFormat="1" spans="2:18">
      <c r="B128" s="3833"/>
      <c r="C128" s="3833"/>
      <c r="D128" s="3833"/>
      <c r="E128" s="3833"/>
      <c r="F128" s="3833"/>
      <c r="G128" s="3834"/>
      <c r="H128" s="3833"/>
      <c r="I128" s="3834"/>
      <c r="J128" s="3833"/>
      <c r="K128" s="3833"/>
      <c r="L128" s="3834"/>
      <c r="M128" s="3833"/>
      <c r="N128" s="3833"/>
      <c r="O128" s="3834"/>
      <c r="P128" s="3833"/>
      <c r="Q128" s="3833"/>
      <c r="R128" s="3835"/>
    </row>
    <row r="129" s="712" customFormat="1" spans="2:18">
      <c r="B129" s="3833"/>
      <c r="C129" s="3833"/>
      <c r="D129" s="3833"/>
      <c r="E129" s="3833"/>
      <c r="F129" s="3833"/>
      <c r="G129" s="3834"/>
      <c r="H129" s="3833"/>
      <c r="I129" s="3834"/>
      <c r="J129" s="3833"/>
      <c r="K129" s="3833"/>
      <c r="L129" s="3834"/>
      <c r="M129" s="3833"/>
      <c r="N129" s="3833"/>
      <c r="O129" s="3834"/>
      <c r="P129" s="3833"/>
      <c r="Q129" s="3833"/>
      <c r="R129" s="3835"/>
    </row>
    <row r="130" s="712" customFormat="1" spans="2:18">
      <c r="B130" s="3833"/>
      <c r="C130" s="3833"/>
      <c r="D130" s="3833"/>
      <c r="E130" s="3833"/>
      <c r="F130" s="3833"/>
      <c r="G130" s="3834"/>
      <c r="H130" s="3833"/>
      <c r="I130" s="3834"/>
      <c r="J130" s="3833"/>
      <c r="K130" s="3833"/>
      <c r="L130" s="3834"/>
      <c r="M130" s="3833"/>
      <c r="N130" s="3833"/>
      <c r="O130" s="3834"/>
      <c r="P130" s="3833"/>
      <c r="Q130" s="3833"/>
      <c r="R130" s="3835"/>
    </row>
    <row r="131" s="712" customFormat="1" spans="2:18">
      <c r="B131" s="3833"/>
      <c r="C131" s="3833"/>
      <c r="D131" s="3833"/>
      <c r="E131" s="3833"/>
      <c r="F131" s="3833"/>
      <c r="G131" s="3834"/>
      <c r="H131" s="3833"/>
      <c r="I131" s="3834"/>
      <c r="J131" s="3833"/>
      <c r="K131" s="3833"/>
      <c r="L131" s="3834"/>
      <c r="M131" s="3833"/>
      <c r="N131" s="3833"/>
      <c r="O131" s="3834"/>
      <c r="P131" s="3833"/>
      <c r="Q131" s="3833"/>
      <c r="R131" s="3835"/>
    </row>
    <row r="132" s="712" customFormat="1" spans="2:18">
      <c r="B132" s="3833"/>
      <c r="C132" s="3833"/>
      <c r="D132" s="3833"/>
      <c r="E132" s="3833"/>
      <c r="F132" s="3833"/>
      <c r="G132" s="3834"/>
      <c r="H132" s="3833"/>
      <c r="I132" s="3834"/>
      <c r="J132" s="3833"/>
      <c r="K132" s="3833"/>
      <c r="L132" s="3834"/>
      <c r="M132" s="3833"/>
      <c r="N132" s="3833"/>
      <c r="O132" s="3834"/>
      <c r="P132" s="3833"/>
      <c r="Q132" s="3833"/>
      <c r="R132" s="3835"/>
    </row>
    <row r="133" s="712" customFormat="1" spans="2:18">
      <c r="B133" s="3833"/>
      <c r="C133" s="3833"/>
      <c r="D133" s="3833"/>
      <c r="E133" s="3833"/>
      <c r="F133" s="3833"/>
      <c r="G133" s="3834"/>
      <c r="H133" s="3833"/>
      <c r="I133" s="3834"/>
      <c r="J133" s="3833"/>
      <c r="K133" s="3833"/>
      <c r="L133" s="3834"/>
      <c r="M133" s="3833"/>
      <c r="N133" s="3833"/>
      <c r="O133" s="3834"/>
      <c r="P133" s="3833"/>
      <c r="Q133" s="3833"/>
      <c r="R133" s="3835"/>
    </row>
    <row r="134" s="712" customFormat="1" spans="2:18">
      <c r="B134" s="3833"/>
      <c r="C134" s="3833"/>
      <c r="D134" s="3833"/>
      <c r="E134" s="3833"/>
      <c r="F134" s="3833"/>
      <c r="G134" s="3834"/>
      <c r="H134" s="3833"/>
      <c r="I134" s="3834"/>
      <c r="J134" s="3833"/>
      <c r="K134" s="3833"/>
      <c r="L134" s="3834"/>
      <c r="M134" s="3833"/>
      <c r="N134" s="3833"/>
      <c r="O134" s="3834"/>
      <c r="P134" s="3833"/>
      <c r="Q134" s="3833"/>
      <c r="R134" s="3835"/>
    </row>
    <row r="135" s="712" customFormat="1" spans="2:18">
      <c r="B135" s="3833"/>
      <c r="C135" s="3833"/>
      <c r="D135" s="3833"/>
      <c r="E135" s="3833"/>
      <c r="F135" s="3833"/>
      <c r="G135" s="3834"/>
      <c r="H135" s="3833"/>
      <c r="I135" s="3834"/>
      <c r="J135" s="3833"/>
      <c r="K135" s="3833"/>
      <c r="L135" s="3834"/>
      <c r="M135" s="3833"/>
      <c r="N135" s="3833"/>
      <c r="O135" s="3834"/>
      <c r="P135" s="3833"/>
      <c r="Q135" s="3833"/>
      <c r="R135" s="3835"/>
    </row>
    <row r="136" s="712" customFormat="1" spans="2:18">
      <c r="B136" s="3833"/>
      <c r="C136" s="3833"/>
      <c r="D136" s="3833"/>
      <c r="E136" s="3833"/>
      <c r="F136" s="3833"/>
      <c r="G136" s="3834"/>
      <c r="H136" s="3833"/>
      <c r="I136" s="3834"/>
      <c r="J136" s="3833"/>
      <c r="K136" s="3833"/>
      <c r="L136" s="3834"/>
      <c r="M136" s="3833"/>
      <c r="N136" s="3833"/>
      <c r="O136" s="3834"/>
      <c r="P136" s="3833"/>
      <c r="Q136" s="3833"/>
      <c r="R136" s="3835"/>
    </row>
    <row r="137" s="712" customFormat="1" spans="2:18">
      <c r="B137" s="3833"/>
      <c r="C137" s="3833"/>
      <c r="D137" s="3833"/>
      <c r="E137" s="3833"/>
      <c r="F137" s="3833"/>
      <c r="G137" s="3834"/>
      <c r="H137" s="3833"/>
      <c r="I137" s="3834"/>
      <c r="J137" s="3833"/>
      <c r="K137" s="3833"/>
      <c r="L137" s="3834"/>
      <c r="M137" s="3833"/>
      <c r="N137" s="3833"/>
      <c r="O137" s="3834"/>
      <c r="P137" s="3833"/>
      <c r="Q137" s="3833"/>
      <c r="R137" s="3835"/>
    </row>
    <row r="138" s="712" customFormat="1" spans="2:18">
      <c r="B138" s="3833"/>
      <c r="C138" s="3833"/>
      <c r="D138" s="3833"/>
      <c r="E138" s="3833"/>
      <c r="F138" s="3833"/>
      <c r="G138" s="3834"/>
      <c r="H138" s="3833"/>
      <c r="I138" s="3834"/>
      <c r="J138" s="3833"/>
      <c r="K138" s="3833"/>
      <c r="L138" s="3834"/>
      <c r="M138" s="3833"/>
      <c r="N138" s="3833"/>
      <c r="O138" s="3834"/>
      <c r="P138" s="3833"/>
      <c r="Q138" s="3833"/>
      <c r="R138" s="3835"/>
    </row>
    <row r="139" s="712" customFormat="1" spans="2:18">
      <c r="B139" s="3833"/>
      <c r="C139" s="3833"/>
      <c r="D139" s="3833"/>
      <c r="E139" s="3833"/>
      <c r="F139" s="3833"/>
      <c r="G139" s="3834"/>
      <c r="H139" s="3833"/>
      <c r="I139" s="3834"/>
      <c r="J139" s="3833"/>
      <c r="K139" s="3833"/>
      <c r="L139" s="3834"/>
      <c r="M139" s="3833"/>
      <c r="N139" s="3833"/>
      <c r="O139" s="3834"/>
      <c r="P139" s="3833"/>
      <c r="Q139" s="3833"/>
      <c r="R139" s="3835"/>
    </row>
    <row r="140" s="712" customFormat="1" spans="2:18">
      <c r="B140" s="3833"/>
      <c r="C140" s="3833"/>
      <c r="D140" s="3833"/>
      <c r="E140" s="3833"/>
      <c r="F140" s="3833"/>
      <c r="G140" s="3834"/>
      <c r="H140" s="3833"/>
      <c r="I140" s="3834"/>
      <c r="J140" s="3833"/>
      <c r="K140" s="3833"/>
      <c r="L140" s="3834"/>
      <c r="M140" s="3833"/>
      <c r="N140" s="3833"/>
      <c r="O140" s="3834"/>
      <c r="P140" s="3833"/>
      <c r="Q140" s="3833"/>
      <c r="R140" s="3835"/>
    </row>
    <row r="141" s="712" customFormat="1" spans="2:18">
      <c r="B141" s="3833"/>
      <c r="C141" s="3833"/>
      <c r="D141" s="3833"/>
      <c r="E141" s="3833"/>
      <c r="F141" s="3833"/>
      <c r="G141" s="3834"/>
      <c r="H141" s="3833"/>
      <c r="I141" s="3834"/>
      <c r="J141" s="3833"/>
      <c r="K141" s="3833"/>
      <c r="L141" s="3834"/>
      <c r="M141" s="3833"/>
      <c r="N141" s="3833"/>
      <c r="O141" s="3834"/>
      <c r="P141" s="3833"/>
      <c r="Q141" s="3833"/>
      <c r="R141" s="3835"/>
    </row>
    <row r="142" s="712" customFormat="1" spans="2:18">
      <c r="B142" s="3833"/>
      <c r="C142" s="3833"/>
      <c r="D142" s="3833"/>
      <c r="E142" s="3833"/>
      <c r="F142" s="3833"/>
      <c r="G142" s="3834"/>
      <c r="H142" s="3833"/>
      <c r="I142" s="3834"/>
      <c r="J142" s="3833"/>
      <c r="K142" s="3833"/>
      <c r="L142" s="3834"/>
      <c r="M142" s="3833"/>
      <c r="N142" s="3833"/>
      <c r="O142" s="3834"/>
      <c r="P142" s="3833"/>
      <c r="Q142" s="3833"/>
      <c r="R142" s="3835"/>
    </row>
    <row r="143" s="712" customFormat="1" spans="2:18">
      <c r="B143" s="3833"/>
      <c r="C143" s="3833"/>
      <c r="D143" s="3833"/>
      <c r="E143" s="3833"/>
      <c r="F143" s="3833"/>
      <c r="G143" s="3834"/>
      <c r="H143" s="3833"/>
      <c r="I143" s="3834"/>
      <c r="J143" s="3833"/>
      <c r="K143" s="3833"/>
      <c r="L143" s="3834"/>
      <c r="M143" s="3833"/>
      <c r="N143" s="3833"/>
      <c r="O143" s="3834"/>
      <c r="P143" s="3833"/>
      <c r="Q143" s="3833"/>
      <c r="R143" s="3835"/>
    </row>
    <row r="144" s="712" customFormat="1" spans="2:18">
      <c r="B144" s="3833"/>
      <c r="C144" s="3833"/>
      <c r="D144" s="3833"/>
      <c r="E144" s="3833"/>
      <c r="F144" s="3833"/>
      <c r="G144" s="3834"/>
      <c r="H144" s="3833"/>
      <c r="I144" s="3834"/>
      <c r="J144" s="3833"/>
      <c r="K144" s="3833"/>
      <c r="L144" s="3834"/>
      <c r="M144" s="3833"/>
      <c r="N144" s="3833"/>
      <c r="O144" s="3834"/>
      <c r="P144" s="3833"/>
      <c r="Q144" s="3833"/>
      <c r="R144" s="3835"/>
    </row>
    <row r="145" s="712" customFormat="1" spans="2:18">
      <c r="B145" s="3833"/>
      <c r="C145" s="3833"/>
      <c r="D145" s="3833"/>
      <c r="E145" s="3833"/>
      <c r="F145" s="3833"/>
      <c r="G145" s="3834"/>
      <c r="H145" s="3833"/>
      <c r="I145" s="3834"/>
      <c r="J145" s="3833"/>
      <c r="K145" s="3833"/>
      <c r="L145" s="3834"/>
      <c r="M145" s="3833"/>
      <c r="N145" s="3833"/>
      <c r="O145" s="3834"/>
      <c r="P145" s="3833"/>
      <c r="Q145" s="3833"/>
      <c r="R145" s="3835"/>
    </row>
    <row r="146" s="712" customFormat="1" spans="2:18">
      <c r="B146" s="3833"/>
      <c r="C146" s="3833"/>
      <c r="D146" s="3833"/>
      <c r="E146" s="3833"/>
      <c r="F146" s="3833"/>
      <c r="G146" s="3834"/>
      <c r="H146" s="3833"/>
      <c r="I146" s="3834"/>
      <c r="J146" s="3833"/>
      <c r="K146" s="3833"/>
      <c r="L146" s="3834"/>
      <c r="M146" s="3833"/>
      <c r="N146" s="3833"/>
      <c r="O146" s="3834"/>
      <c r="P146" s="3833"/>
      <c r="Q146" s="3833"/>
      <c r="R146" s="3835"/>
    </row>
    <row r="147" s="712" customFormat="1" spans="2:18">
      <c r="B147" s="3833"/>
      <c r="C147" s="3833"/>
      <c r="D147" s="3833"/>
      <c r="E147" s="3833"/>
      <c r="F147" s="3833"/>
      <c r="G147" s="3834"/>
      <c r="H147" s="3833"/>
      <c r="I147" s="3834"/>
      <c r="J147" s="3833"/>
      <c r="K147" s="3833"/>
      <c r="L147" s="3834"/>
      <c r="M147" s="3833"/>
      <c r="N147" s="3833"/>
      <c r="O147" s="3834"/>
      <c r="P147" s="3833"/>
      <c r="Q147" s="3833"/>
      <c r="R147" s="3835"/>
    </row>
    <row r="148" s="712" customFormat="1" spans="2:18">
      <c r="B148" s="3833"/>
      <c r="C148" s="3833"/>
      <c r="D148" s="3833"/>
      <c r="E148" s="3833"/>
      <c r="F148" s="3833"/>
      <c r="G148" s="3834"/>
      <c r="H148" s="3833"/>
      <c r="I148" s="3834"/>
      <c r="J148" s="3833"/>
      <c r="K148" s="3833"/>
      <c r="L148" s="3834"/>
      <c r="M148" s="3833"/>
      <c r="N148" s="3833"/>
      <c r="O148" s="3834"/>
      <c r="P148" s="3833"/>
      <c r="Q148" s="3833"/>
      <c r="R148" s="3835"/>
    </row>
    <row r="149" s="712" customFormat="1" spans="2:18">
      <c r="B149" s="3833"/>
      <c r="C149" s="3833"/>
      <c r="D149" s="3833"/>
      <c r="E149" s="3833"/>
      <c r="F149" s="3833"/>
      <c r="G149" s="3834"/>
      <c r="H149" s="3833"/>
      <c r="I149" s="3834"/>
      <c r="J149" s="3833"/>
      <c r="K149" s="3833"/>
      <c r="L149" s="3834"/>
      <c r="M149" s="3833"/>
      <c r="N149" s="3833"/>
      <c r="O149" s="3834"/>
      <c r="P149" s="3833"/>
      <c r="Q149" s="3833"/>
      <c r="R149" s="3835"/>
    </row>
    <row r="150" s="712" customFormat="1" spans="2:18">
      <c r="B150" s="3833"/>
      <c r="C150" s="3833"/>
      <c r="D150" s="3833"/>
      <c r="E150" s="3833"/>
      <c r="F150" s="3833"/>
      <c r="G150" s="3834"/>
      <c r="H150" s="3833"/>
      <c r="I150" s="3834"/>
      <c r="J150" s="3833"/>
      <c r="K150" s="3833"/>
      <c r="L150" s="3834"/>
      <c r="M150" s="3833"/>
      <c r="N150" s="3833"/>
      <c r="O150" s="3834"/>
      <c r="P150" s="3833"/>
      <c r="Q150" s="3833"/>
      <c r="R150" s="3835"/>
    </row>
    <row r="151" s="712" customFormat="1" spans="2:18">
      <c r="B151" s="3833"/>
      <c r="C151" s="3833"/>
      <c r="D151" s="3833"/>
      <c r="E151" s="3833"/>
      <c r="F151" s="3833"/>
      <c r="G151" s="3834"/>
      <c r="H151" s="3833"/>
      <c r="I151" s="3834"/>
      <c r="J151" s="3833"/>
      <c r="K151" s="3833"/>
      <c r="L151" s="3834"/>
      <c r="M151" s="3833"/>
      <c r="N151" s="3833"/>
      <c r="O151" s="3834"/>
      <c r="P151" s="3833"/>
      <c r="Q151" s="3833"/>
      <c r="R151" s="3835"/>
    </row>
    <row r="152" s="712" customFormat="1" spans="2:18">
      <c r="B152" s="3833"/>
      <c r="C152" s="3833"/>
      <c r="D152" s="3833"/>
      <c r="E152" s="3833"/>
      <c r="F152" s="3833"/>
      <c r="G152" s="3834"/>
      <c r="H152" s="3833"/>
      <c r="I152" s="3834"/>
      <c r="J152" s="3833"/>
      <c r="K152" s="3833"/>
      <c r="L152" s="3834"/>
      <c r="M152" s="3833"/>
      <c r="N152" s="3833"/>
      <c r="O152" s="3834"/>
      <c r="P152" s="3833"/>
      <c r="Q152" s="3833"/>
      <c r="R152" s="3835"/>
    </row>
    <row r="153" s="712" customFormat="1" spans="2:18">
      <c r="B153" s="3833"/>
      <c r="C153" s="3833"/>
      <c r="D153" s="3833"/>
      <c r="E153" s="3833"/>
      <c r="F153" s="3833"/>
      <c r="G153" s="3834"/>
      <c r="H153" s="3833"/>
      <c r="I153" s="3834"/>
      <c r="J153" s="3833"/>
      <c r="K153" s="3833"/>
      <c r="L153" s="3834"/>
      <c r="M153" s="3833"/>
      <c r="N153" s="3833"/>
      <c r="O153" s="3834"/>
      <c r="P153" s="3833"/>
      <c r="Q153" s="3833"/>
      <c r="R153" s="3835"/>
    </row>
    <row r="154" s="712" customFormat="1" spans="2:18">
      <c r="B154" s="3833"/>
      <c r="C154" s="3833"/>
      <c r="D154" s="3833"/>
      <c r="E154" s="3833"/>
      <c r="F154" s="3833"/>
      <c r="G154" s="3834"/>
      <c r="H154" s="3833"/>
      <c r="I154" s="3834"/>
      <c r="J154" s="3833"/>
      <c r="K154" s="3833"/>
      <c r="L154" s="3834"/>
      <c r="M154" s="3833"/>
      <c r="N154" s="3833"/>
      <c r="O154" s="3834"/>
      <c r="P154" s="3833"/>
      <c r="Q154" s="3833"/>
      <c r="R154" s="3835"/>
    </row>
    <row r="155" s="712" customFormat="1" spans="2:18">
      <c r="B155" s="3833"/>
      <c r="C155" s="3833"/>
      <c r="D155" s="3833"/>
      <c r="E155" s="3833"/>
      <c r="F155" s="3833"/>
      <c r="G155" s="3834"/>
      <c r="H155" s="3833"/>
      <c r="I155" s="3834"/>
      <c r="J155" s="3833"/>
      <c r="K155" s="3833"/>
      <c r="L155" s="3834"/>
      <c r="M155" s="3833"/>
      <c r="N155" s="3833"/>
      <c r="O155" s="3834"/>
      <c r="P155" s="3833"/>
      <c r="Q155" s="3833"/>
      <c r="R155" s="3835"/>
    </row>
    <row r="156" s="712" customFormat="1" spans="2:18">
      <c r="B156" s="3833"/>
      <c r="C156" s="3833"/>
      <c r="D156" s="3833"/>
      <c r="E156" s="3833"/>
      <c r="F156" s="3833"/>
      <c r="G156" s="3834"/>
      <c r="H156" s="3833"/>
      <c r="I156" s="3834"/>
      <c r="J156" s="3833"/>
      <c r="K156" s="3833"/>
      <c r="L156" s="3834"/>
      <c r="M156" s="3833"/>
      <c r="N156" s="3833"/>
      <c r="O156" s="3834"/>
      <c r="P156" s="3833"/>
      <c r="Q156" s="3833"/>
      <c r="R156" s="3835"/>
    </row>
    <row r="157" s="712" customFormat="1" spans="2:18">
      <c r="B157" s="3833"/>
      <c r="C157" s="3833"/>
      <c r="D157" s="3833"/>
      <c r="E157" s="3833"/>
      <c r="F157" s="3833"/>
      <c r="G157" s="3834"/>
      <c r="H157" s="3833"/>
      <c r="I157" s="3834"/>
      <c r="J157" s="3833"/>
      <c r="K157" s="3833"/>
      <c r="L157" s="3834"/>
      <c r="M157" s="3833"/>
      <c r="N157" s="3833"/>
      <c r="O157" s="3834"/>
      <c r="P157" s="3833"/>
      <c r="Q157" s="3833"/>
      <c r="R157" s="3835"/>
    </row>
    <row r="158" s="712" customFormat="1" spans="2:18">
      <c r="B158" s="3833"/>
      <c r="C158" s="3833"/>
      <c r="D158" s="3833"/>
      <c r="E158" s="3833"/>
      <c r="F158" s="3833"/>
      <c r="G158" s="3834"/>
      <c r="H158" s="3833"/>
      <c r="I158" s="3834"/>
      <c r="J158" s="3833"/>
      <c r="K158" s="3833"/>
      <c r="L158" s="3834"/>
      <c r="M158" s="3833"/>
      <c r="N158" s="3833"/>
      <c r="O158" s="3834"/>
      <c r="P158" s="3833"/>
      <c r="Q158" s="3833"/>
      <c r="R158" s="3835"/>
    </row>
    <row r="159" s="712" customFormat="1" spans="2:18">
      <c r="B159" s="3833"/>
      <c r="C159" s="3833"/>
      <c r="D159" s="3833"/>
      <c r="E159" s="3833"/>
      <c r="F159" s="3833"/>
      <c r="G159" s="3834"/>
      <c r="H159" s="3833"/>
      <c r="I159" s="3834"/>
      <c r="J159" s="3833"/>
      <c r="K159" s="3833"/>
      <c r="L159" s="3834"/>
      <c r="M159" s="3833"/>
      <c r="N159" s="3833"/>
      <c r="O159" s="3834"/>
      <c r="P159" s="3833"/>
      <c r="Q159" s="3833"/>
      <c r="R159" s="3835"/>
    </row>
    <row r="160" s="712" customFormat="1" spans="2:18">
      <c r="B160" s="3833"/>
      <c r="C160" s="3833"/>
      <c r="D160" s="3833"/>
      <c r="E160" s="3833"/>
      <c r="F160" s="3833"/>
      <c r="G160" s="3834"/>
      <c r="H160" s="3833"/>
      <c r="I160" s="3834"/>
      <c r="J160" s="3833"/>
      <c r="K160" s="3833"/>
      <c r="L160" s="3834"/>
      <c r="M160" s="3833"/>
      <c r="N160" s="3833"/>
      <c r="O160" s="3834"/>
      <c r="P160" s="3833"/>
      <c r="Q160" s="3833"/>
      <c r="R160" s="3835"/>
    </row>
    <row r="161" s="712" customFormat="1" spans="2:18">
      <c r="B161" s="3833"/>
      <c r="C161" s="3833"/>
      <c r="D161" s="3833"/>
      <c r="E161" s="3833"/>
      <c r="F161" s="3833"/>
      <c r="G161" s="3834"/>
      <c r="H161" s="3833"/>
      <c r="I161" s="3834"/>
      <c r="J161" s="3833"/>
      <c r="K161" s="3833"/>
      <c r="L161" s="3834"/>
      <c r="M161" s="3833"/>
      <c r="N161" s="3833"/>
      <c r="O161" s="3834"/>
      <c r="P161" s="3833"/>
      <c r="Q161" s="3833"/>
      <c r="R161" s="3835"/>
    </row>
    <row r="162" s="712" customFormat="1" spans="2:18">
      <c r="B162" s="3833"/>
      <c r="C162" s="3833"/>
      <c r="D162" s="3833"/>
      <c r="E162" s="3833"/>
      <c r="F162" s="3833"/>
      <c r="G162" s="3834"/>
      <c r="H162" s="3833"/>
      <c r="I162" s="3834"/>
      <c r="J162" s="3833"/>
      <c r="K162" s="3833"/>
      <c r="L162" s="3834"/>
      <c r="M162" s="3833"/>
      <c r="N162" s="3833"/>
      <c r="O162" s="3834"/>
      <c r="P162" s="3833"/>
      <c r="Q162" s="3833"/>
      <c r="R162" s="3835"/>
    </row>
    <row r="163" s="712" customFormat="1" spans="2:18">
      <c r="B163" s="3833"/>
      <c r="C163" s="3833"/>
      <c r="D163" s="3833"/>
      <c r="E163" s="3833"/>
      <c r="F163" s="3833"/>
      <c r="G163" s="3834"/>
      <c r="H163" s="3833"/>
      <c r="I163" s="3834"/>
      <c r="J163" s="3833"/>
      <c r="K163" s="3833"/>
      <c r="L163" s="3834"/>
      <c r="M163" s="3833"/>
      <c r="N163" s="3833"/>
      <c r="O163" s="3834"/>
      <c r="P163" s="3833"/>
      <c r="Q163" s="3833"/>
      <c r="R163" s="3835"/>
    </row>
    <row r="164" s="712" customFormat="1" spans="2:18">
      <c r="B164" s="3833"/>
      <c r="C164" s="3833"/>
      <c r="D164" s="3833"/>
      <c r="E164" s="3833"/>
      <c r="F164" s="3833"/>
      <c r="G164" s="3834"/>
      <c r="H164" s="3833"/>
      <c r="I164" s="3834"/>
      <c r="J164" s="3833"/>
      <c r="K164" s="3833"/>
      <c r="L164" s="3834"/>
      <c r="M164" s="3833"/>
      <c r="N164" s="3833"/>
      <c r="O164" s="3834"/>
      <c r="P164" s="3833"/>
      <c r="Q164" s="3833"/>
      <c r="R164" s="3835"/>
    </row>
    <row r="165" s="712" customFormat="1" spans="2:18">
      <c r="B165" s="3833"/>
      <c r="C165" s="3833"/>
      <c r="D165" s="3833"/>
      <c r="E165" s="3833"/>
      <c r="F165" s="3833"/>
      <c r="G165" s="3834"/>
      <c r="H165" s="3833"/>
      <c r="I165" s="3834"/>
      <c r="J165" s="3833"/>
      <c r="K165" s="3833"/>
      <c r="L165" s="3834"/>
      <c r="M165" s="3833"/>
      <c r="N165" s="3833"/>
      <c r="O165" s="3834"/>
      <c r="P165" s="3833"/>
      <c r="Q165" s="3833"/>
      <c r="R165" s="3835"/>
    </row>
    <row r="166" s="712" customFormat="1" spans="2:18">
      <c r="B166" s="3833"/>
      <c r="C166" s="3833"/>
      <c r="D166" s="3833"/>
      <c r="E166" s="3833"/>
      <c r="F166" s="3833"/>
      <c r="G166" s="3834"/>
      <c r="H166" s="3833"/>
      <c r="I166" s="3834"/>
      <c r="J166" s="3833"/>
      <c r="K166" s="3833"/>
      <c r="L166" s="3834"/>
      <c r="M166" s="3833"/>
      <c r="N166" s="3833"/>
      <c r="O166" s="3834"/>
      <c r="P166" s="3833"/>
      <c r="Q166" s="3833"/>
      <c r="R166" s="3835"/>
    </row>
    <row r="167" s="712" customFormat="1" spans="2:18">
      <c r="B167" s="3833"/>
      <c r="C167" s="3833"/>
      <c r="D167" s="3833"/>
      <c r="E167" s="3833"/>
      <c r="F167" s="3833"/>
      <c r="G167" s="3834"/>
      <c r="H167" s="3833"/>
      <c r="I167" s="3834"/>
      <c r="J167" s="3833"/>
      <c r="K167" s="3833"/>
      <c r="L167" s="3834"/>
      <c r="M167" s="3833"/>
      <c r="N167" s="3833"/>
      <c r="O167" s="3834"/>
      <c r="P167" s="3833"/>
      <c r="Q167" s="3833"/>
      <c r="R167" s="3835"/>
    </row>
    <row r="168" s="712" customFormat="1" spans="2:18">
      <c r="B168" s="3833"/>
      <c r="C168" s="3833"/>
      <c r="D168" s="3833"/>
      <c r="E168" s="3833"/>
      <c r="F168" s="3833"/>
      <c r="G168" s="3834"/>
      <c r="H168" s="3833"/>
      <c r="I168" s="3834"/>
      <c r="J168" s="3833"/>
      <c r="K168" s="3833"/>
      <c r="L168" s="3834"/>
      <c r="M168" s="3833"/>
      <c r="N168" s="3833"/>
      <c r="O168" s="3834"/>
      <c r="P168" s="3833"/>
      <c r="Q168" s="3833"/>
      <c r="R168" s="3835"/>
    </row>
    <row r="169" s="712" customFormat="1" spans="2:18">
      <c r="B169" s="3833"/>
      <c r="C169" s="3833"/>
      <c r="D169" s="3833"/>
      <c r="E169" s="3833"/>
      <c r="F169" s="3833"/>
      <c r="G169" s="3834"/>
      <c r="H169" s="3833"/>
      <c r="I169" s="3834"/>
      <c r="J169" s="3833"/>
      <c r="K169" s="3833"/>
      <c r="L169" s="3834"/>
      <c r="M169" s="3833"/>
      <c r="N169" s="3833"/>
      <c r="O169" s="3834"/>
      <c r="P169" s="3833"/>
      <c r="Q169" s="3833"/>
      <c r="R169" s="3835"/>
    </row>
    <row r="170" s="712" customFormat="1" spans="2:18">
      <c r="B170" s="3833"/>
      <c r="C170" s="3833"/>
      <c r="D170" s="3833"/>
      <c r="E170" s="3833"/>
      <c r="F170" s="3833"/>
      <c r="G170" s="3834"/>
      <c r="H170" s="3833"/>
      <c r="I170" s="3834"/>
      <c r="J170" s="3833"/>
      <c r="K170" s="3833"/>
      <c r="L170" s="3834"/>
      <c r="M170" s="3833"/>
      <c r="N170" s="3833"/>
      <c r="O170" s="3834"/>
      <c r="P170" s="3833"/>
      <c r="Q170" s="3833"/>
      <c r="R170" s="3835"/>
    </row>
    <row r="171" s="712" customFormat="1" spans="2:18">
      <c r="B171" s="3833"/>
      <c r="C171" s="3833"/>
      <c r="D171" s="3833"/>
      <c r="E171" s="3833"/>
      <c r="F171" s="3833"/>
      <c r="G171" s="3834"/>
      <c r="H171" s="3833"/>
      <c r="I171" s="3834"/>
      <c r="J171" s="3833"/>
      <c r="K171" s="3833"/>
      <c r="L171" s="3834"/>
      <c r="M171" s="3833"/>
      <c r="N171" s="3833"/>
      <c r="O171" s="3834"/>
      <c r="P171" s="3833"/>
      <c r="Q171" s="3833"/>
      <c r="R171" s="3835"/>
    </row>
    <row r="172" s="712" customFormat="1" spans="2:18">
      <c r="B172" s="3833"/>
      <c r="C172" s="3833"/>
      <c r="D172" s="3833"/>
      <c r="E172" s="3833"/>
      <c r="F172" s="3833"/>
      <c r="G172" s="3834"/>
      <c r="H172" s="3833"/>
      <c r="I172" s="3834"/>
      <c r="J172" s="3833"/>
      <c r="K172" s="3833"/>
      <c r="L172" s="3834"/>
      <c r="M172" s="3833"/>
      <c r="N172" s="3833"/>
      <c r="O172" s="3834"/>
      <c r="P172" s="3833"/>
      <c r="Q172" s="3833"/>
      <c r="R172" s="3835"/>
    </row>
    <row r="173" s="712" customFormat="1" spans="2:18">
      <c r="B173" s="3833"/>
      <c r="C173" s="3833"/>
      <c r="D173" s="3833"/>
      <c r="E173" s="3833"/>
      <c r="F173" s="3833"/>
      <c r="G173" s="3834"/>
      <c r="H173" s="3833"/>
      <c r="I173" s="3834"/>
      <c r="J173" s="3833"/>
      <c r="K173" s="3833"/>
      <c r="L173" s="3834"/>
      <c r="M173" s="3833"/>
      <c r="N173" s="3833"/>
      <c r="O173" s="3834"/>
      <c r="P173" s="3833"/>
      <c r="Q173" s="3833"/>
      <c r="R173" s="3835"/>
    </row>
    <row r="174" s="712" customFormat="1" spans="2:18">
      <c r="B174" s="3833"/>
      <c r="C174" s="3833"/>
      <c r="D174" s="3833"/>
      <c r="E174" s="3833"/>
      <c r="F174" s="3833"/>
      <c r="G174" s="3834"/>
      <c r="H174" s="3833"/>
      <c r="I174" s="3834"/>
      <c r="J174" s="3833"/>
      <c r="K174" s="3833"/>
      <c r="L174" s="3834"/>
      <c r="M174" s="3833"/>
      <c r="N174" s="3833"/>
      <c r="O174" s="3834"/>
      <c r="P174" s="3833"/>
      <c r="Q174" s="3833"/>
      <c r="R174" s="3835"/>
    </row>
    <row r="175" s="712" customFormat="1" spans="2:18">
      <c r="B175" s="3833"/>
      <c r="C175" s="3833"/>
      <c r="D175" s="3833"/>
      <c r="E175" s="3833"/>
      <c r="F175" s="3833"/>
      <c r="G175" s="3834"/>
      <c r="H175" s="3833"/>
      <c r="I175" s="3834"/>
      <c r="J175" s="3833"/>
      <c r="K175" s="3833"/>
      <c r="L175" s="3834"/>
      <c r="M175" s="3833"/>
      <c r="N175" s="3833"/>
      <c r="O175" s="3834"/>
      <c r="P175" s="3833"/>
      <c r="Q175" s="3833"/>
      <c r="R175" s="3835"/>
    </row>
    <row r="176" s="712" customFormat="1" spans="2:18">
      <c r="B176" s="3833"/>
      <c r="C176" s="3833"/>
      <c r="D176" s="3833"/>
      <c r="E176" s="3833"/>
      <c r="F176" s="3833"/>
      <c r="G176" s="3834"/>
      <c r="H176" s="3833"/>
      <c r="I176" s="3834"/>
      <c r="J176" s="3833"/>
      <c r="K176" s="3833"/>
      <c r="L176" s="3834"/>
      <c r="M176" s="3833"/>
      <c r="N176" s="3833"/>
      <c r="O176" s="3834"/>
      <c r="P176" s="3833"/>
      <c r="Q176" s="3833"/>
      <c r="R176" s="3835"/>
    </row>
    <row r="177" s="712" customFormat="1" spans="1:18">
      <c r="B177" s="3833"/>
      <c r="C177" s="3833"/>
      <c r="D177" s="3833"/>
      <c r="E177" s="3833"/>
      <c r="F177" s="3833"/>
      <c r="G177" s="3834"/>
      <c r="H177" s="3833"/>
      <c r="I177" s="3834"/>
      <c r="J177" s="3833"/>
      <c r="K177" s="3833"/>
      <c r="L177" s="3834"/>
      <c r="M177" s="3833"/>
      <c r="N177" s="3833"/>
      <c r="O177" s="3834"/>
      <c r="P177" s="3833"/>
      <c r="Q177" s="3833"/>
      <c r="R177" s="3835"/>
    </row>
    <row r="178" s="712" customFormat="1" spans="1:18">
      <c r="B178" s="3833"/>
      <c r="C178" s="3833"/>
      <c r="D178" s="3833"/>
      <c r="E178" s="3833"/>
      <c r="F178" s="3833"/>
      <c r="G178" s="3834"/>
      <c r="H178" s="3833"/>
      <c r="I178" s="3834"/>
      <c r="J178" s="3833"/>
      <c r="K178" s="3833"/>
      <c r="L178" s="3834"/>
      <c r="M178" s="3833"/>
      <c r="N178" s="3833"/>
      <c r="O178" s="3834"/>
      <c r="P178" s="3833"/>
      <c r="Q178" s="3833"/>
      <c r="R178" s="3835"/>
    </row>
    <row r="179" s="712" customFormat="1" spans="1:18">
      <c r="B179" s="3833"/>
      <c r="C179" s="3833"/>
      <c r="D179" s="3833"/>
      <c r="E179" s="3833"/>
      <c r="F179" s="3833"/>
      <c r="G179" s="3834"/>
      <c r="H179" s="3833"/>
      <c r="I179" s="3834"/>
      <c r="J179" s="3833"/>
      <c r="K179" s="3833"/>
      <c r="L179" s="3834"/>
      <c r="M179" s="3833"/>
      <c r="N179" s="3833"/>
      <c r="O179" s="3834"/>
      <c r="P179" s="3833"/>
      <c r="Q179" s="3833"/>
      <c r="R179" s="3835"/>
    </row>
    <row r="180" s="712" customFormat="1" spans="1:18">
      <c r="B180" s="3833"/>
      <c r="C180" s="3833"/>
      <c r="D180" s="3833"/>
      <c r="E180" s="3833"/>
      <c r="F180" s="3833"/>
      <c r="G180" s="3834"/>
      <c r="H180" s="3833"/>
      <c r="I180" s="3834"/>
      <c r="J180" s="3833"/>
      <c r="K180" s="3833"/>
      <c r="L180" s="3834"/>
      <c r="M180" s="3833"/>
      <c r="N180" s="3833"/>
      <c r="O180" s="3834"/>
      <c r="P180" s="3833"/>
      <c r="Q180" s="3833"/>
      <c r="R180" s="3835"/>
    </row>
    <row r="181" s="712" customFormat="1" spans="1:18">
      <c r="B181" s="3833"/>
      <c r="C181" s="3833"/>
      <c r="D181" s="3833"/>
      <c r="E181" s="3833"/>
      <c r="F181" s="3833"/>
      <c r="G181" s="3834"/>
      <c r="H181" s="3833"/>
      <c r="I181" s="3834"/>
      <c r="J181" s="3833"/>
      <c r="K181" s="3833"/>
      <c r="L181" s="3834"/>
      <c r="M181" s="3833"/>
      <c r="N181" s="3833"/>
      <c r="O181" s="3834"/>
      <c r="P181" s="3833"/>
      <c r="Q181" s="3833"/>
      <c r="R181" s="3835"/>
    </row>
    <row r="182" s="712" customFormat="1" spans="1:18">
      <c r="B182" s="3833"/>
      <c r="C182" s="3833"/>
      <c r="D182" s="3833"/>
      <c r="E182" s="3833"/>
      <c r="F182" s="3833"/>
      <c r="G182" s="3834"/>
      <c r="H182" s="3833"/>
      <c r="I182" s="3834"/>
      <c r="J182" s="3833"/>
      <c r="K182" s="3833"/>
      <c r="L182" s="3834"/>
      <c r="M182" s="3833"/>
      <c r="N182" s="3833"/>
      <c r="O182" s="3834"/>
      <c r="P182" s="3833"/>
      <c r="Q182" s="3833"/>
      <c r="R182" s="3835"/>
    </row>
    <row r="183" s="712" customFormat="1" spans="1:18">
      <c r="B183" s="3833"/>
      <c r="C183" s="3833"/>
      <c r="D183" s="3833"/>
      <c r="E183" s="3833"/>
      <c r="F183" s="3833"/>
      <c r="G183" s="3834"/>
      <c r="H183" s="3833"/>
      <c r="I183" s="3834"/>
      <c r="J183" s="3833"/>
      <c r="K183" s="3833"/>
      <c r="L183" s="3834"/>
      <c r="M183" s="3833"/>
      <c r="N183" s="3833"/>
      <c r="O183" s="3834"/>
      <c r="P183" s="3833"/>
      <c r="Q183" s="3833"/>
      <c r="R183" s="3835"/>
    </row>
    <row r="184" s="712" customFormat="1" spans="1:18">
      <c r="B184" s="3833"/>
      <c r="C184" s="3833"/>
      <c r="D184" s="3833"/>
      <c r="E184" s="3833"/>
      <c r="F184" s="3833"/>
      <c r="G184" s="3834"/>
      <c r="H184" s="3833"/>
      <c r="I184" s="3834"/>
      <c r="J184" s="3833"/>
      <c r="K184" s="3833"/>
      <c r="L184" s="3834"/>
      <c r="M184" s="3833"/>
      <c r="N184" s="3833"/>
      <c r="O184" s="3834"/>
      <c r="P184" s="3833"/>
      <c r="Q184" s="3833"/>
      <c r="R184" s="3835"/>
    </row>
    <row r="185" s="712" customFormat="1" spans="1:18">
      <c r="B185" s="3833"/>
      <c r="C185" s="3833"/>
      <c r="D185" s="3833"/>
      <c r="E185" s="3833"/>
      <c r="F185" s="3833"/>
      <c r="G185" s="3834"/>
      <c r="H185" s="3833"/>
      <c r="I185" s="3834"/>
      <c r="J185" s="3833"/>
      <c r="K185" s="3833"/>
      <c r="L185" s="3834"/>
      <c r="M185" s="3833"/>
      <c r="N185" s="3833"/>
      <c r="O185" s="3834"/>
      <c r="P185" s="3833"/>
      <c r="Q185" s="3833"/>
      <c r="R185" s="3835"/>
    </row>
    <row r="186" spans="1:18">
      <c r="A186" s="712"/>
      <c r="B186" s="3833"/>
      <c r="C186" s="3833"/>
      <c r="E186" s="3833"/>
      <c r="F186" s="3833"/>
      <c r="G186" s="3834"/>
    </row>
    <row r="187" spans="1:18">
      <c r="A187" s="712"/>
      <c r="B187" s="3833"/>
      <c r="C187" s="3833"/>
      <c r="E187" s="3833"/>
      <c r="F187" s="3833"/>
      <c r="G187" s="38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4"/>
  <cols>
    <col min="1" max="1" width="25" style="3809" customWidth="1"/>
    <col min="2" max="9" width="15.7545454545455" style="3809" customWidth="1"/>
    <col min="10" max="16384" width="9" style="3809"/>
  </cols>
  <sheetData>
    <row r="1" ht="16.5" spans="1:11">
      <c r="A1" s="3810" t="s">
        <v>818</v>
      </c>
      <c r="B1" s="3811">
        <f>SUM(B14:B23)</f>
        <v>16724.51</v>
      </c>
      <c r="C1" s="3812"/>
      <c r="D1" s="3812"/>
      <c r="E1" s="3812"/>
      <c r="F1" s="3812"/>
      <c r="G1" s="3813"/>
      <c r="H1" s="3814"/>
      <c r="I1" s="3814"/>
      <c r="J1" s="3814"/>
      <c r="K1" s="3814"/>
    </row>
    <row r="2" ht="16.5" spans="1:11">
      <c r="A2" s="3810" t="s">
        <v>819</v>
      </c>
      <c r="B2" s="3811">
        <f>SUM(C14:C23)</f>
        <v>9999.1</v>
      </c>
      <c r="C2" s="3812"/>
      <c r="D2" s="3812"/>
      <c r="E2" s="3812"/>
      <c r="F2" s="3812"/>
      <c r="G2" s="3813"/>
      <c r="H2" s="3814"/>
      <c r="I2" s="3814"/>
      <c r="J2" s="3814"/>
      <c r="K2" s="3814"/>
    </row>
    <row r="3" ht="16.5" spans="1:11">
      <c r="A3" s="3810" t="s">
        <v>820</v>
      </c>
      <c r="B3" s="3815">
        <f>项目基本情况!D3</f>
        <v>46029</v>
      </c>
      <c r="C3" s="3812"/>
      <c r="D3" s="3812"/>
      <c r="E3" s="3812"/>
      <c r="F3" s="3812"/>
      <c r="G3" s="3813"/>
      <c r="H3" s="3814"/>
      <c r="I3" s="3814"/>
      <c r="J3" s="3814"/>
      <c r="K3" s="3814"/>
    </row>
    <row r="4" ht="33" spans="1:11">
      <c r="A4" s="3810" t="s">
        <v>821</v>
      </c>
      <c r="B4" s="3810" t="s">
        <v>822</v>
      </c>
      <c r="C4" s="3810" t="s">
        <v>823</v>
      </c>
      <c r="D4" s="3810" t="s">
        <v>824</v>
      </c>
      <c r="E4" s="3812"/>
      <c r="F4" s="3813"/>
      <c r="G4" s="3813"/>
      <c r="H4" s="3814"/>
      <c r="I4" s="3814"/>
      <c r="J4" s="3814"/>
      <c r="K4" s="3814"/>
    </row>
    <row r="5" ht="16.5" spans="1:11">
      <c r="A5" s="3810" t="s">
        <v>825</v>
      </c>
      <c r="B5" s="3811">
        <f ca="1">SUM(D14:D23)</f>
        <v>12495</v>
      </c>
      <c r="C5" s="3811">
        <f ca="1">ROUND(B5*10000/$B$1,0)</f>
        <v>7471</v>
      </c>
      <c r="D5" s="3811">
        <f ca="1">ROUND(B5*10000/$B$2,0)</f>
        <v>12496</v>
      </c>
      <c r="E5" s="3812"/>
      <c r="F5" s="3813"/>
      <c r="G5" s="3813"/>
      <c r="H5" s="3814"/>
      <c r="I5" s="3814"/>
      <c r="J5" s="3814"/>
      <c r="K5" s="3814"/>
    </row>
    <row r="6" ht="16.5" spans="1:11">
      <c r="A6" s="3810" t="s">
        <v>826</v>
      </c>
      <c r="B6" s="3811">
        <f>SUM(G14:G23)</f>
        <v>0</v>
      </c>
      <c r="C6" s="3811">
        <f>ROUND(B6*10000/$B$1,0)</f>
        <v>0</v>
      </c>
      <c r="D6" s="3811">
        <f>ROUND(B6*10000/$B$2,0)</f>
        <v>0</v>
      </c>
      <c r="E6" s="3812"/>
      <c r="F6" s="3813"/>
      <c r="G6" s="3813"/>
      <c r="H6" s="3814"/>
      <c r="I6" s="3814"/>
      <c r="J6" s="3814"/>
      <c r="K6" s="3814"/>
    </row>
    <row r="7" ht="16.5" spans="1:11">
      <c r="A7" s="3810" t="s">
        <v>827</v>
      </c>
      <c r="B7" s="3811">
        <f>SUM(H14:H23)</f>
        <v>0</v>
      </c>
      <c r="C7" s="3811" t="str">
        <f ca="1">IF(B7=H14,结果表!H110,ROUND(B7*10000/$B$1,0))</f>
        <v>——</v>
      </c>
      <c r="D7" s="3811">
        <f>ROUND(B7*10000/$B$2,0)</f>
        <v>0</v>
      </c>
      <c r="E7" s="3812"/>
      <c r="F7" s="3813"/>
      <c r="G7" s="3813"/>
      <c r="H7" s="3814"/>
      <c r="I7" s="3814"/>
      <c r="J7" s="3814"/>
      <c r="K7" s="3814"/>
    </row>
    <row r="8" ht="16.5" spans="1:11">
      <c r="A8" s="3810" t="s">
        <v>377</v>
      </c>
      <c r="B8" s="3811">
        <f>SUM(I14:I23)</f>
        <v>0</v>
      </c>
      <c r="C8" s="3811" t="str">
        <f ca="1">IF(B8=I14,结果表!H112,ROUND(B8*10000/$B$1,0))</f>
        <v>——</v>
      </c>
      <c r="D8" s="3811">
        <f>ROUND(B8*10000/$B$2,0)</f>
        <v>0</v>
      </c>
      <c r="E8" s="3812"/>
      <c r="F8" s="3813"/>
      <c r="G8" s="3813"/>
      <c r="H8" s="3814"/>
      <c r="I8" s="3814"/>
      <c r="J8" s="3814"/>
      <c r="K8" s="3814"/>
    </row>
    <row r="9" ht="16.5" spans="1:11">
      <c r="A9" s="3810" t="s">
        <v>828</v>
      </c>
      <c r="B9" s="3816"/>
      <c r="C9" s="3817"/>
      <c r="D9" s="3817"/>
      <c r="E9" s="3812"/>
      <c r="F9" s="3813"/>
      <c r="G9" s="3813"/>
      <c r="H9" s="3814"/>
      <c r="I9" s="3814"/>
      <c r="J9" s="3814"/>
      <c r="K9" s="3814"/>
    </row>
    <row r="10" ht="16.5" spans="1:11">
      <c r="A10" s="3810" t="s">
        <v>829</v>
      </c>
      <c r="B10" s="3811">
        <f>IF(E10="",0,ROUND(B1*(E10*365/G10)/10000,0))</f>
        <v>0</v>
      </c>
      <c r="C10" s="3810" t="s">
        <v>830</v>
      </c>
      <c r="D10" s="3810" t="s">
        <v>829</v>
      </c>
      <c r="E10" s="3818"/>
      <c r="F10" s="3819" t="s">
        <v>831</v>
      </c>
      <c r="G10" s="3820"/>
      <c r="H10" s="3814"/>
      <c r="I10" s="3814"/>
      <c r="J10" s="3814"/>
      <c r="K10" s="3814"/>
    </row>
    <row r="11" ht="16.5" spans="1:11">
      <c r="A11" s="3810" t="s">
        <v>832</v>
      </c>
      <c r="B11" s="3816"/>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1" t="s">
        <v>833</v>
      </c>
      <c r="B13" s="3822" t="s">
        <v>818</v>
      </c>
      <c r="C13" s="3822" t="s">
        <v>819</v>
      </c>
      <c r="D13" s="3822" t="s">
        <v>834</v>
      </c>
      <c r="E13" s="3810" t="s">
        <v>823</v>
      </c>
      <c r="F13" s="3810" t="s">
        <v>824</v>
      </c>
      <c r="G13" s="3822" t="s">
        <v>835</v>
      </c>
      <c r="H13" s="3822" t="s">
        <v>836</v>
      </c>
      <c r="I13" s="3822" t="s">
        <v>837</v>
      </c>
      <c r="J13" s="3813"/>
      <c r="K13" s="3814"/>
    </row>
    <row r="14" ht="16.5" spans="1:11">
      <c r="A14" s="3823" t="s">
        <v>838</v>
      </c>
      <c r="B14" s="3824">
        <f>结果表!B118</f>
        <v>16724.51</v>
      </c>
      <c r="C14" s="3824">
        <f>结果表!C118</f>
        <v>9999.1</v>
      </c>
      <c r="D14" s="3824">
        <f ca="1">结果表!H118</f>
        <v>12495</v>
      </c>
      <c r="E14" s="3824">
        <f ca="1">ROUND(D14*10000/B14,0)</f>
        <v>7471</v>
      </c>
      <c r="F14" s="3824">
        <f ca="1">ROUND(D14*10000/C14,0)</f>
        <v>12496</v>
      </c>
      <c r="G14" s="3824"/>
      <c r="H14" s="3824"/>
      <c r="I14" s="3824"/>
      <c r="J14" s="3813"/>
      <c r="K14" s="3814"/>
    </row>
    <row r="15" ht="16.5" spans="1:11">
      <c r="A15" s="3823" t="s">
        <v>839</v>
      </c>
      <c r="B15" s="3825"/>
      <c r="C15" s="3825"/>
      <c r="D15" s="3825"/>
      <c r="E15" s="3824" t="e">
        <f t="shared" ref="E15:E23" si="0">ROUND(D15*10000/B15,0)</f>
        <v>#DIV/0!</v>
      </c>
      <c r="F15" s="3824" t="e">
        <f t="shared" ref="F15:F23" si="1">ROUND(D15*10000/C15,0)</f>
        <v>#DIV/0!</v>
      </c>
      <c r="G15" s="3826"/>
      <c r="H15" s="3826"/>
      <c r="I15" s="3825"/>
      <c r="J15" s="3813"/>
      <c r="K15" s="3814"/>
    </row>
    <row r="16" ht="16.5" spans="1:11">
      <c r="A16" s="3823" t="s">
        <v>840</v>
      </c>
      <c r="B16" s="3825"/>
      <c r="C16" s="3825"/>
      <c r="D16" s="3825"/>
      <c r="E16" s="3824" t="e">
        <f t="shared" si="0"/>
        <v>#DIV/0!</v>
      </c>
      <c r="F16" s="3824" t="e">
        <f t="shared" si="1"/>
        <v>#DIV/0!</v>
      </c>
      <c r="G16" s="3826"/>
      <c r="H16" s="3826"/>
      <c r="I16" s="3825"/>
      <c r="J16" s="3814"/>
      <c r="K16" s="3814"/>
    </row>
    <row r="17" ht="16.5" spans="1:11">
      <c r="A17" s="3823" t="s">
        <v>841</v>
      </c>
      <c r="B17" s="3825"/>
      <c r="C17" s="3825"/>
      <c r="D17" s="3825"/>
      <c r="E17" s="3824" t="e">
        <f t="shared" si="0"/>
        <v>#DIV/0!</v>
      </c>
      <c r="F17" s="3824" t="e">
        <f t="shared" si="1"/>
        <v>#DIV/0!</v>
      </c>
      <c r="G17" s="3826"/>
      <c r="H17" s="3826"/>
      <c r="I17" s="3825"/>
      <c r="J17" s="3814"/>
      <c r="K17" s="3814"/>
    </row>
    <row r="18" ht="16.5" spans="1:11">
      <c r="A18" s="3823" t="s">
        <v>842</v>
      </c>
      <c r="B18" s="3825"/>
      <c r="C18" s="3825"/>
      <c r="D18" s="3825"/>
      <c r="E18" s="3824" t="e">
        <f t="shared" si="0"/>
        <v>#DIV/0!</v>
      </c>
      <c r="F18" s="3824" t="e">
        <f t="shared" si="1"/>
        <v>#DIV/0!</v>
      </c>
      <c r="G18" s="3825"/>
      <c r="H18" s="3825"/>
      <c r="I18" s="3825"/>
      <c r="J18" s="3814"/>
      <c r="K18" s="3814"/>
    </row>
    <row r="19" ht="16.5" spans="1:11">
      <c r="A19" s="3823" t="s">
        <v>843</v>
      </c>
      <c r="B19" s="3825"/>
      <c r="C19" s="3825"/>
      <c r="D19" s="3825"/>
      <c r="E19" s="3824" t="e">
        <f t="shared" si="0"/>
        <v>#DIV/0!</v>
      </c>
      <c r="F19" s="3824" t="e">
        <f t="shared" si="1"/>
        <v>#DIV/0!</v>
      </c>
      <c r="G19" s="3825"/>
      <c r="H19" s="3825"/>
      <c r="I19" s="3825"/>
      <c r="J19" s="3814"/>
      <c r="K19" s="3814"/>
    </row>
    <row r="20" ht="16.5" spans="1:11">
      <c r="A20" s="3823" t="s">
        <v>844</v>
      </c>
      <c r="B20" s="3825"/>
      <c r="C20" s="3825"/>
      <c r="D20" s="3825"/>
      <c r="E20" s="3824" t="e">
        <f t="shared" si="0"/>
        <v>#DIV/0!</v>
      </c>
      <c r="F20" s="3824" t="e">
        <f t="shared" si="1"/>
        <v>#DIV/0!</v>
      </c>
      <c r="G20" s="3825"/>
      <c r="H20" s="3825"/>
      <c r="I20" s="3825"/>
      <c r="J20" s="3814"/>
      <c r="K20" s="3814"/>
    </row>
    <row r="21" ht="16.5" spans="1:11">
      <c r="A21" s="3823" t="s">
        <v>845</v>
      </c>
      <c r="B21" s="3825"/>
      <c r="C21" s="3825"/>
      <c r="D21" s="3825"/>
      <c r="E21" s="3824" t="e">
        <f t="shared" si="0"/>
        <v>#DIV/0!</v>
      </c>
      <c r="F21" s="3824" t="e">
        <f t="shared" si="1"/>
        <v>#DIV/0!</v>
      </c>
      <c r="G21" s="3825"/>
      <c r="H21" s="3825"/>
      <c r="I21" s="3825"/>
      <c r="J21" s="3814"/>
      <c r="K21" s="3814"/>
    </row>
    <row r="22" ht="16.5" spans="1:11">
      <c r="A22" s="3823" t="s">
        <v>846</v>
      </c>
      <c r="B22" s="3825"/>
      <c r="C22" s="3825"/>
      <c r="D22" s="3825"/>
      <c r="E22" s="3824" t="e">
        <f t="shared" si="0"/>
        <v>#DIV/0!</v>
      </c>
      <c r="F22" s="3824" t="e">
        <f t="shared" si="1"/>
        <v>#DIV/0!</v>
      </c>
      <c r="G22" s="3825"/>
      <c r="H22" s="3825"/>
      <c r="I22" s="3825"/>
      <c r="J22" s="3814"/>
      <c r="K22" s="3814"/>
    </row>
    <row r="23" ht="16.5" spans="1:11">
      <c r="A23" s="3823" t="s">
        <v>847</v>
      </c>
      <c r="B23" s="3825"/>
      <c r="C23" s="3825"/>
      <c r="D23" s="3825"/>
      <c r="E23" s="3816" t="e">
        <f t="shared" si="0"/>
        <v>#DIV/0!</v>
      </c>
      <c r="F23" s="3816" t="e">
        <f t="shared" si="1"/>
        <v>#DIV/0!</v>
      </c>
      <c r="G23" s="3825"/>
      <c r="H23" s="3825"/>
      <c r="I23" s="3825"/>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B94" workbookViewId="0">
      <selection activeCell="D118" sqref="D118:I119"/>
    </sheetView>
  </sheetViews>
  <sheetFormatPr defaultColWidth="12.6272727272727" defaultRowHeight="21.75" customHeight="1"/>
  <cols>
    <col min="1" max="2" width="12.6272727272727" style="3391"/>
    <col min="3" max="4" width="12.6272727272727" style="3391" customWidth="1"/>
    <col min="5" max="9" width="12.6272727272727" style="3391"/>
    <col min="10" max="11" width="12.6272727272727" style="2374" customWidth="1"/>
    <col min="12" max="12" width="12.6272727272727" style="2374"/>
    <col min="13" max="13" width="14.1272727272727" style="2374" customWidth="1"/>
    <col min="14" max="18" width="12.6272727272727" style="2374"/>
    <col min="19" max="19" width="32.3727272727273" style="2374" customWidth="1"/>
    <col min="20" max="26" width="12.6272727272727" style="2374"/>
    <col min="27" max="35" width="12.6272727272727" style="3390"/>
    <col min="36" max="16384" width="12.6272727272727" style="3391"/>
  </cols>
  <sheetData>
    <row r="1" customHeight="1" spans="1:12">
      <c r="A1" s="3392" t="s">
        <v>848</v>
      </c>
      <c r="B1" s="3393"/>
      <c r="C1" s="3394"/>
      <c r="D1" s="3393"/>
      <c r="E1" s="3393"/>
      <c r="F1" s="3395" t="s">
        <v>849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4" spans="1:12">
      <c r="A3" s="3402" t="s">
        <v>850</v>
      </c>
      <c r="B3" s="2876"/>
      <c r="C3" s="2876"/>
      <c r="D3" s="2876"/>
      <c r="E3" s="2876"/>
      <c r="F3" s="2876"/>
      <c r="G3" s="2876"/>
      <c r="H3" s="2876"/>
      <c r="I3" s="2876"/>
    </row>
    <row r="4" ht="14" spans="1:12">
      <c r="A4" s="3403" t="s">
        <v>851</v>
      </c>
      <c r="B4" s="3404" t="s">
        <v>852</v>
      </c>
      <c r="C4" s="3405" t="s">
        <v>853</v>
      </c>
      <c r="D4" s="3405" t="s">
        <v>720</v>
      </c>
      <c r="E4" s="3406" t="s">
        <v>854</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4" spans="1:12">
      <c r="A5" s="1462" t="s">
        <v>855</v>
      </c>
      <c r="B5" s="3409">
        <v>25</v>
      </c>
      <c r="C5" s="3410"/>
      <c r="D5" s="3411"/>
      <c r="E5" s="2880" t="s">
        <v>856</v>
      </c>
      <c r="F5" s="3412"/>
      <c r="G5" s="3412"/>
      <c r="H5" s="3412"/>
      <c r="I5" s="3206"/>
    </row>
    <row r="6" ht="14" spans="1:12">
      <c r="A6" s="1462"/>
      <c r="B6" s="3409"/>
      <c r="C6" s="3413"/>
      <c r="D6" s="3411"/>
      <c r="E6" s="2880" t="s">
        <v>857</v>
      </c>
      <c r="F6" s="3412"/>
      <c r="G6" s="3412"/>
      <c r="H6" s="3412"/>
      <c r="I6" s="3206"/>
    </row>
    <row r="7" ht="14" spans="1:12">
      <c r="A7" s="1462"/>
      <c r="B7" s="3409"/>
      <c r="C7" s="3414"/>
      <c r="D7" s="3411"/>
      <c r="E7" s="2880" t="s">
        <v>858</v>
      </c>
      <c r="F7" s="3412"/>
      <c r="G7" s="3412"/>
      <c r="H7" s="3412"/>
      <c r="I7" s="3206"/>
    </row>
    <row r="8" ht="14" spans="1:12">
      <c r="A8" s="1462" t="s">
        <v>859</v>
      </c>
      <c r="B8" s="3409">
        <v>15</v>
      </c>
      <c r="C8" s="3410"/>
      <c r="D8" s="3411"/>
      <c r="E8" s="2880" t="s">
        <v>860</v>
      </c>
      <c r="F8" s="3412"/>
      <c r="G8" s="3412"/>
      <c r="H8" s="3412"/>
      <c r="I8" s="3206"/>
    </row>
    <row r="9" ht="14" spans="1:12">
      <c r="A9" s="1462"/>
      <c r="B9" s="3409"/>
      <c r="C9" s="3414"/>
      <c r="D9" s="3411"/>
      <c r="E9" s="2880" t="s">
        <v>861</v>
      </c>
      <c r="F9" s="3412"/>
      <c r="G9" s="3412"/>
      <c r="H9" s="3412"/>
      <c r="I9" s="3206"/>
    </row>
    <row r="10" ht="14" spans="1:12">
      <c r="A10" s="1462" t="s">
        <v>862</v>
      </c>
      <c r="B10" s="3409">
        <v>15</v>
      </c>
      <c r="C10" s="3410"/>
      <c r="D10" s="3411"/>
      <c r="E10" s="2880" t="s">
        <v>863</v>
      </c>
      <c r="F10" s="3412"/>
      <c r="G10" s="3412"/>
      <c r="H10" s="3412"/>
      <c r="I10" s="3206"/>
    </row>
    <row r="11" ht="14" spans="1:12">
      <c r="A11" s="1462"/>
      <c r="B11" s="3409"/>
      <c r="C11" s="3414"/>
      <c r="D11" s="3411"/>
      <c r="E11" s="2880" t="s">
        <v>864</v>
      </c>
      <c r="F11" s="3412"/>
      <c r="G11" s="3412"/>
      <c r="H11" s="3412"/>
      <c r="I11" s="3206"/>
    </row>
    <row r="12" ht="14" spans="1:12">
      <c r="A12" s="1462" t="s">
        <v>865</v>
      </c>
      <c r="B12" s="3409">
        <v>15</v>
      </c>
      <c r="C12" s="3410"/>
      <c r="D12" s="3411"/>
      <c r="E12" s="2880" t="s">
        <v>866</v>
      </c>
      <c r="F12" s="3412"/>
      <c r="G12" s="3412"/>
      <c r="H12" s="3412"/>
      <c r="I12" s="3206"/>
    </row>
    <row r="13" ht="14" spans="1:12">
      <c r="A13" s="1462"/>
      <c r="B13" s="3409"/>
      <c r="C13" s="3414"/>
      <c r="D13" s="3411"/>
      <c r="E13" s="2880" t="s">
        <v>867</v>
      </c>
      <c r="F13" s="3412"/>
      <c r="G13" s="3412"/>
      <c r="H13" s="3412"/>
      <c r="I13" s="3206"/>
    </row>
    <row r="14" ht="14" spans="1:12">
      <c r="A14" s="1462" t="s">
        <v>868</v>
      </c>
      <c r="B14" s="3409">
        <v>30</v>
      </c>
      <c r="C14" s="3410">
        <v>4</v>
      </c>
      <c r="D14" s="3411">
        <v>6</v>
      </c>
      <c r="E14" s="2880" t="s">
        <v>869</v>
      </c>
      <c r="F14" s="3412"/>
      <c r="G14" s="3412"/>
      <c r="H14" s="3412"/>
      <c r="I14" s="3206"/>
    </row>
    <row r="15" ht="14" spans="1:12">
      <c r="A15" s="1462"/>
      <c r="B15" s="3409"/>
      <c r="C15" s="3413"/>
      <c r="D15" s="3411"/>
      <c r="E15" s="2880" t="s">
        <v>870</v>
      </c>
      <c r="F15" s="3412"/>
      <c r="G15" s="3412"/>
      <c r="H15" s="3412"/>
      <c r="I15" s="3206"/>
    </row>
    <row r="16" ht="14" spans="1:12">
      <c r="A16" s="1462"/>
      <c r="B16" s="3409"/>
      <c r="C16" s="3414"/>
      <c r="D16" s="3411"/>
      <c r="E16" s="2880" t="s">
        <v>871</v>
      </c>
      <c r="F16" s="3412"/>
      <c r="G16" s="3412"/>
      <c r="H16" s="3412"/>
      <c r="I16" s="3206"/>
    </row>
    <row r="17" ht="14" spans="1:36">
      <c r="A17" s="3415" t="s">
        <v>872</v>
      </c>
      <c r="B17" s="3416"/>
      <c r="C17" s="3417">
        <f>SUM(C5:C16)</f>
        <v>4</v>
      </c>
      <c r="D17" s="3417">
        <f>SUM(D5:D16)</f>
        <v>6</v>
      </c>
      <c r="E17" s="2468"/>
      <c r="F17" s="2468"/>
      <c r="G17" s="2468"/>
      <c r="H17" s="2468"/>
      <c r="I17" s="2468"/>
      <c r="K17" s="1313"/>
      <c r="L17" s="1313" t="s">
        <v>873</v>
      </c>
      <c r="M17" s="1313" t="s">
        <v>874</v>
      </c>
    </row>
    <row r="18" ht="31.9" customHeight="1" spans="1:36">
      <c r="A18" s="3418" t="s">
        <v>875</v>
      </c>
      <c r="B18" s="3419"/>
      <c r="C18" s="3420">
        <f>ROUND(C17/SUM(C17:D17),2)</f>
        <v>0.4</v>
      </c>
      <c r="D18" s="3420">
        <f>1-C18</f>
        <v>0.6</v>
      </c>
      <c r="E18" s="3421" t="s">
        <v>876</v>
      </c>
      <c r="F18" s="3422"/>
      <c r="G18" s="3422"/>
      <c r="H18" s="3422"/>
      <c r="I18" s="3422"/>
      <c r="K18" s="1313" t="s">
        <v>526</v>
      </c>
      <c r="L18" s="3102">
        <f>IF(C1="",'数据-汇总表'!E3,SUMIF(项目类型,C1,'数据-汇总表'!E17:E26)+SUMIF(项目类型,C1,'数据-汇总表'!I17:I26))</f>
        <v>16724.51</v>
      </c>
      <c r="M18" s="3102">
        <f>IF(C1="",'数据-汇总表'!E3,SUMIF(项目类型,C1,'数据-汇总表'!E17:E26))</f>
        <v>16724.51</v>
      </c>
    </row>
    <row r="19" ht="14" spans="1:36">
      <c r="A19" s="3423" t="s">
        <v>877</v>
      </c>
      <c r="B19" s="3424" t="s">
        <v>878</v>
      </c>
      <c r="C19" s="3425">
        <f ca="1">SUMIF(INDIRECT("'"&amp;C4&amp;"'"&amp;"!A:A"),结果表!B19,INDIRECT("'"&amp;C4&amp;"'"&amp;"!B:B"))</f>
        <v>9689</v>
      </c>
      <c r="D19" s="3426">
        <f ca="1">SUMIF(INDIRECT("'"&amp;D4&amp;"'"&amp;"!A:A"),结果表!B19,INDIRECT("'"&amp;D4&amp;"'"&amp;"!B:B"))</f>
        <v>14365</v>
      </c>
      <c r="E19" s="3423" t="s">
        <v>879</v>
      </c>
      <c r="F19" s="3424" t="s">
        <v>878</v>
      </c>
      <c r="G19" s="3427">
        <f ca="1">ROUND(C19*$C$18+D19*$D$18,0)</f>
        <v>12495</v>
      </c>
      <c r="H19" s="3428" t="s">
        <v>880</v>
      </c>
      <c r="I19" s="2468"/>
      <c r="K19" s="1313" t="s">
        <v>530</v>
      </c>
      <c r="L19" s="3102">
        <f>IF(C1="",'数据-汇总表'!D3,SUMIF(项目类型,C1,'数据-汇总表'!D17:D26)+SUMIF(项目类型,C1,'数据-汇总表'!H17:H27))</f>
        <v>9999.1</v>
      </c>
      <c r="M19" s="3102">
        <f>IF(C1="",'数据-汇总表'!D3,SUMIF(项目类型,C1,'数据-汇总表'!D17:D26))</f>
        <v>9999.1</v>
      </c>
    </row>
    <row r="20" ht="14" spans="1:36">
      <c r="A20" s="3429"/>
      <c r="B20" s="3430" t="s">
        <v>881</v>
      </c>
      <c r="C20" s="3431">
        <f ca="1">SUMIF(INDIRECT("'"&amp;C4&amp;"'"&amp;"!A:A"),结果表!B20,INDIRECT("'"&amp;C4&amp;"'"&amp;"!B:B"))</f>
        <v>5793</v>
      </c>
      <c r="D20" s="3432">
        <f ca="1">SUMIF(INDIRECT("'"&amp;D4&amp;"'"&amp;"!A:A"),结果表!B20,INDIRECT("'"&amp;D4&amp;"'"&amp;"!B:B"))</f>
        <v>8589</v>
      </c>
      <c r="E20" s="3429"/>
      <c r="F20" s="3430" t="s">
        <v>881</v>
      </c>
      <c r="G20" s="3433">
        <f ca="1">ROUND(C20*$C$18+D20*$D$18,0)</f>
        <v>7471</v>
      </c>
      <c r="H20" s="775" t="s">
        <v>882</v>
      </c>
      <c r="I20" s="2468"/>
    </row>
    <row r="21" ht="15" customHeight="1" spans="1:36">
      <c r="A21" s="3434"/>
      <c r="B21" s="3435" t="s">
        <v>883</v>
      </c>
      <c r="C21" s="3436">
        <f ca="1">SUMIF(INDIRECT("'"&amp;C4&amp;"'"&amp;"!A:A"),结果表!B21,INDIRECT("'"&amp;C4&amp;"'"&amp;"!B:B"))</f>
        <v>0</v>
      </c>
      <c r="D21" s="3437">
        <f ca="1">SUMIF(INDIRECT("'"&amp;D4&amp;"'"&amp;"!A:A"),结果表!B21,INDIRECT("'"&amp;D4&amp;"'"&amp;"!B:B"))</f>
        <v>0</v>
      </c>
      <c r="E21" s="3429"/>
      <c r="F21" s="3438" t="s">
        <v>884</v>
      </c>
      <c r="G21" s="3433">
        <f ca="1">ROUND(C21*$C$18+D21*$D$18,0)</f>
        <v>0</v>
      </c>
      <c r="H21" s="775" t="s">
        <v>882</v>
      </c>
      <c r="I21" s="2468"/>
    </row>
    <row r="22" ht="14.75" spans="1:36">
      <c r="A22" s="3439" t="s">
        <v>885</v>
      </c>
      <c r="B22" s="3440"/>
      <c r="C22" s="3441"/>
      <c r="D22" s="3442">
        <f ca="1">IF(C19&lt;D19,D19/C19-1,C19/D19-1)</f>
        <v>0.482609144390546</v>
      </c>
      <c r="E22" s="3443"/>
      <c r="F22" s="3444"/>
      <c r="G22" s="3445">
        <f ca="1">ROUND(G19/('数据-汇总表'!D3/666.67),0)</f>
        <v>833</v>
      </c>
      <c r="H22" s="3446" t="s">
        <v>886</v>
      </c>
      <c r="I22" s="2468"/>
    </row>
    <row r="23" ht="14.75" spans="1:36">
      <c r="A23" s="3393"/>
      <c r="B23" s="3393"/>
      <c r="C23" s="3393"/>
      <c r="D23" s="3393"/>
      <c r="E23" s="2468">
        <v>2017</v>
      </c>
      <c r="F23" s="2468">
        <v>12626</v>
      </c>
      <c r="G23" s="2468">
        <v>7904</v>
      </c>
      <c r="H23" s="2468">
        <v>4722</v>
      </c>
      <c r="I23" s="2468"/>
    </row>
    <row r="24" ht="14" spans="1:36">
      <c r="A24" s="1456" t="s">
        <v>887</v>
      </c>
      <c r="B24" s="3424" t="s">
        <v>878</v>
      </c>
      <c r="C24" s="3447">
        <f>IF(B30=0,0,D30)</f>
        <v>0</v>
      </c>
      <c r="D24" s="3448"/>
      <c r="E24" s="2468">
        <v>2018</v>
      </c>
      <c r="F24" s="2468">
        <v>12675</v>
      </c>
      <c r="G24" s="2468">
        <v>8074</v>
      </c>
      <c r="H24" s="2468">
        <v>4601</v>
      </c>
      <c r="I24" s="2468"/>
    </row>
    <row r="25" ht="14" spans="1:36">
      <c r="A25" s="3449"/>
      <c r="B25" s="3450" t="s">
        <v>888</v>
      </c>
      <c r="C25" s="3451">
        <f>IF(B30=0,0,C30)</f>
        <v>0</v>
      </c>
      <c r="D25" s="3452"/>
      <c r="E25" s="2468">
        <v>2019</v>
      </c>
      <c r="F25" s="2468">
        <v>12688</v>
      </c>
      <c r="G25" s="2468">
        <v>8399</v>
      </c>
      <c r="H25" s="2468">
        <v>4289</v>
      </c>
      <c r="I25" s="2468"/>
    </row>
    <row r="26" ht="13.5" customHeight="1" spans="1:36">
      <c r="A26" s="3453" t="s">
        <v>889</v>
      </c>
      <c r="B26" s="3454" t="s">
        <v>890</v>
      </c>
      <c r="C26" s="3454" t="s">
        <v>891</v>
      </c>
      <c r="D26" s="3455" t="s">
        <v>892</v>
      </c>
      <c r="E26" s="2468">
        <v>2020</v>
      </c>
      <c r="F26" s="2468">
        <v>12698</v>
      </c>
      <c r="G26" s="2468">
        <v>8254</v>
      </c>
      <c r="H26" s="2468">
        <v>4444</v>
      </c>
      <c r="I26" s="2468"/>
    </row>
    <row r="27" ht="14" spans="1:36">
      <c r="A27" s="3456"/>
      <c r="B27" s="3457">
        <v>0</v>
      </c>
      <c r="C27" s="3457">
        <v>0</v>
      </c>
      <c r="D27" s="3458">
        <f>ROUND(C27*B27/10000,0)</f>
        <v>0</v>
      </c>
      <c r="E27" s="2468">
        <v>2021</v>
      </c>
      <c r="F27" s="2468">
        <v>12717</v>
      </c>
      <c r="G27" s="2468">
        <v>8279</v>
      </c>
      <c r="H27" s="2468">
        <v>4438</v>
      </c>
      <c r="I27" s="2468"/>
    </row>
    <row r="28" ht="14" spans="1:36">
      <c r="A28" s="3456"/>
      <c r="B28" s="3457"/>
      <c r="C28" s="3457"/>
      <c r="D28" s="3458"/>
      <c r="E28" s="2468">
        <v>2022</v>
      </c>
      <c r="F28" s="2468">
        <v>12716</v>
      </c>
      <c r="G28" s="2468">
        <v>8367</v>
      </c>
      <c r="H28" s="2468">
        <v>4349</v>
      </c>
      <c r="I28" s="2468"/>
    </row>
    <row r="29" ht="14" spans="1:36">
      <c r="A29" s="3456"/>
      <c r="B29" s="3457"/>
      <c r="C29" s="3457"/>
      <c r="D29" s="3458"/>
      <c r="E29" s="2468">
        <v>2024</v>
      </c>
      <c r="F29" s="2468">
        <v>12732</v>
      </c>
      <c r="G29" s="2468">
        <v>8492</v>
      </c>
      <c r="H29" s="2468">
        <v>4240</v>
      </c>
      <c r="I29" s="2468"/>
    </row>
    <row r="30" ht="14.75" spans="1:36">
      <c r="A30" s="3454" t="s">
        <v>893</v>
      </c>
      <c r="B30" s="3457"/>
      <c r="C30" s="3457"/>
      <c r="D30" s="3457"/>
      <c r="E30" s="2468">
        <v>2025</v>
      </c>
      <c r="F30" s="2468">
        <v>12718</v>
      </c>
      <c r="G30" s="2468">
        <v>8559</v>
      </c>
      <c r="H30" s="2468">
        <v>4159</v>
      </c>
      <c r="I30" s="2468"/>
    </row>
    <row r="31" s="3387" customFormat="1" ht="26.45" customHeight="1" spans="1:36">
      <c r="A31" s="3459"/>
      <c r="B31" s="3460"/>
      <c r="C31" s="3460"/>
      <c r="D31" s="3460"/>
      <c r="E31" s="3460"/>
      <c r="F31" s="3460"/>
      <c r="G31" s="3460"/>
      <c r="H31" s="3460"/>
      <c r="I31" s="3461" t="s">
        <v>894</v>
      </c>
      <c r="J31" s="3462"/>
      <c r="K31" s="3463"/>
      <c r="L31" s="3463"/>
      <c r="M31" s="3463"/>
      <c r="N31" s="3463"/>
      <c r="O31" s="3463"/>
      <c r="P31" s="3463"/>
      <c r="Q31" s="3463"/>
      <c r="R31" s="3463"/>
      <c r="S31" s="3463"/>
      <c r="T31" s="3463"/>
      <c r="U31" s="3463"/>
      <c r="V31" s="3463"/>
      <c r="W31" s="3463"/>
      <c r="X31" s="3463"/>
      <c r="Y31" s="3463"/>
      <c r="Z31" s="3463"/>
      <c r="AA31" s="3463"/>
      <c r="AB31" s="3464"/>
      <c r="AC31" s="3464"/>
      <c r="AD31" s="3464"/>
      <c r="AE31" s="3464"/>
      <c r="AF31" s="3464"/>
      <c r="AG31" s="3464"/>
      <c r="AH31" s="3464"/>
      <c r="AI31" s="3464"/>
      <c r="AJ31" s="3464"/>
    </row>
    <row r="32" ht="15.5" spans="1:36">
      <c r="A32" s="3465" t="s">
        <v>895</v>
      </c>
      <c r="B32" s="3466"/>
      <c r="C32" s="3467">
        <f ca="1">IF(D32="总价",G19-C24,G20-C25)</f>
        <v>12495</v>
      </c>
      <c r="D32" s="3468" t="s">
        <v>896</v>
      </c>
      <c r="E32" s="2468"/>
      <c r="F32" s="2468"/>
      <c r="G32" s="2468"/>
      <c r="H32" s="2468"/>
      <c r="I32" s="2468"/>
    </row>
    <row r="33" ht="14" spans="1:19">
      <c r="A33" s="3469" t="s">
        <v>897</v>
      </c>
      <c r="B33" s="3470"/>
      <c r="C33" s="3471" t="s">
        <v>898</v>
      </c>
      <c r="D33" s="3472" t="s">
        <v>720</v>
      </c>
      <c r="E33" s="3473" t="s">
        <v>899</v>
      </c>
      <c r="F33" s="3474" t="str">
        <f>IF(D32="楼面单价","取值（单价）","取值（总价）")</f>
        <v>取值（总价）</v>
      </c>
      <c r="G33" s="2468"/>
      <c r="H33" s="2468"/>
      <c r="I33" s="2468"/>
    </row>
    <row r="34" ht="14" spans="1:19">
      <c r="A34" s="3475"/>
      <c r="B34" s="3476" t="s">
        <v>900</v>
      </c>
      <c r="C34" s="3477">
        <f ca="1">IF(C33="自定义",F34,C32-C35)</f>
        <v>8672</v>
      </c>
      <c r="D34" s="3478">
        <f ca="1">IF(C33="自定义",ROUND(C34/C32,3),IF(C33="收益比率",SUMIF(INDIRECT("'"&amp;D33&amp;"'"&amp;"!b:b"),"土地收益比率",INDIRECT("'"&amp;D33&amp;"'"&amp;"!c:c")),SUMIF(INDIRECT("'"&amp;D33&amp;"'"&amp;"!b:b"),"土地成本比率",INDIRECT("'"&amp;D33&amp;"'"&amp;"!c:c"))))</f>
        <v>0.694</v>
      </c>
      <c r="E34" s="3479" t="s">
        <v>901</v>
      </c>
      <c r="F34" s="3480">
        <f ca="1">G19-F35</f>
        <v>7389</v>
      </c>
      <c r="G34" s="2468"/>
      <c r="H34" s="2468"/>
      <c r="I34" s="2468"/>
    </row>
    <row r="35" ht="14.75" spans="1:19">
      <c r="A35" s="3481"/>
      <c r="B35" s="3482" t="s">
        <v>902</v>
      </c>
      <c r="C35" s="3483">
        <f ca="1">IF(C33="自定义",F35,ROUND(C32*D35,0))</f>
        <v>3823</v>
      </c>
      <c r="D35" s="3484">
        <f ca="1">IF(C33="自定义",ROUND(C35/C32,3),IF(C33="收益比率",SUMIF(INDIRECT("'"&amp;D33&amp;"'"&amp;"!b:b"),"建筑物收益比率",INDIRECT("'"&amp;D33&amp;"'"&amp;"!c:c")),SUMIF(INDIRECT("'"&amp;D33&amp;"'"&amp;"!b:b"),"建筑物成本比率",INDIRECT("'"&amp;D33&amp;"'"&amp;"!c:c"))))</f>
        <v>0.306</v>
      </c>
      <c r="E35" s="3485" t="s">
        <v>903</v>
      </c>
      <c r="F35" s="3486">
        <f ca="1">成本法!C56</f>
        <v>5106</v>
      </c>
      <c r="G35" s="2468"/>
      <c r="H35" s="2468"/>
      <c r="I35" s="2468"/>
    </row>
    <row r="36" ht="14.75" spans="1:19">
      <c r="A36" s="3487" t="s">
        <v>904</v>
      </c>
      <c r="B36" s="3488" t="s">
        <v>905</v>
      </c>
      <c r="C36" s="3489"/>
      <c r="D36" s="3490"/>
      <c r="E36" s="3491"/>
      <c r="F36" s="3492"/>
      <c r="G36" s="2468"/>
      <c r="H36" s="2468"/>
      <c r="I36" s="2468"/>
    </row>
    <row r="37" ht="14.75" spans="1:19">
      <c r="A37" s="3493"/>
      <c r="B37" s="1455" t="s">
        <v>906</v>
      </c>
      <c r="C37" s="3494"/>
      <c r="D37" s="3495"/>
      <c r="E37" s="3495"/>
      <c r="F37" s="3492"/>
      <c r="G37" s="2468"/>
      <c r="H37" s="2468"/>
      <c r="I37" s="2468"/>
    </row>
    <row r="38" ht="14.75" spans="1:19">
      <c r="A38" s="3496"/>
      <c r="B38" s="3497" t="s">
        <v>907</v>
      </c>
      <c r="C38" s="3498"/>
      <c r="D38" s="3499" t="s">
        <v>908</v>
      </c>
      <c r="E38" s="3495"/>
      <c r="F38" s="3492"/>
      <c r="G38" s="2468"/>
      <c r="H38" s="2468"/>
      <c r="I38" s="2468"/>
    </row>
    <row r="39" ht="14" spans="1:19">
      <c r="A39" s="3429" t="s">
        <v>909</v>
      </c>
      <c r="B39" s="3500" t="s">
        <v>890</v>
      </c>
      <c r="C39" s="3501" t="s">
        <v>891</v>
      </c>
      <c r="D39" s="3501" t="s">
        <v>910</v>
      </c>
      <c r="E39" s="3502" t="s">
        <v>892</v>
      </c>
      <c r="F39" s="3492"/>
      <c r="G39" s="2468"/>
      <c r="H39" s="2468"/>
      <c r="I39" s="2468"/>
    </row>
    <row r="40" ht="14" spans="1:19">
      <c r="A40" s="3503" t="s">
        <v>911</v>
      </c>
      <c r="B40" s="3504"/>
      <c r="C40" s="2497"/>
      <c r="D40" s="2497"/>
      <c r="E40" s="3505"/>
      <c r="F40" s="3492"/>
      <c r="G40" s="2468"/>
      <c r="H40" s="2468"/>
      <c r="I40" s="2468"/>
    </row>
    <row r="41" ht="14" spans="1:19">
      <c r="A41" s="3503" t="s">
        <v>912</v>
      </c>
      <c r="B41" s="3504"/>
      <c r="C41" s="2497"/>
      <c r="D41" s="2497"/>
      <c r="E41" s="3505"/>
      <c r="F41" s="3492"/>
      <c r="G41" s="2468"/>
      <c r="H41" s="2468"/>
      <c r="I41" s="2468"/>
    </row>
    <row r="42" ht="14.75" spans="1:19">
      <c r="A42" s="3506"/>
      <c r="B42" s="3507"/>
      <c r="C42" s="3508"/>
      <c r="D42" s="3508"/>
      <c r="E42" s="3486"/>
      <c r="F42" s="3492"/>
      <c r="G42" s="2468"/>
      <c r="H42" s="2468"/>
      <c r="I42" s="2468"/>
    </row>
    <row r="43" ht="14" spans="1:19">
      <c r="A43" s="3509"/>
      <c r="B43" s="3509"/>
      <c r="C43" s="3509"/>
      <c r="D43" s="3509"/>
      <c r="E43" s="3509"/>
      <c r="F43" s="3510"/>
      <c r="G43" s="3510"/>
      <c r="H43" s="3510"/>
      <c r="I43" s="3511"/>
    </row>
    <row r="44" ht="18" spans="1:19">
      <c r="A44" s="3512" t="s">
        <v>913</v>
      </c>
      <c r="B44" s="3513"/>
      <c r="C44" s="3513"/>
      <c r="D44" s="3514"/>
      <c r="E44" s="3514"/>
      <c r="F44" s="3515"/>
      <c r="G44" s="3515"/>
      <c r="H44" s="3515"/>
      <c r="I44" s="3515"/>
      <c r="J44" s="3516" t="s">
        <v>914</v>
      </c>
      <c r="K44" s="3517"/>
      <c r="L44" s="3517"/>
      <c r="M44" s="3517"/>
      <c r="N44" s="3517"/>
      <c r="O44" s="3517"/>
    </row>
    <row r="45" ht="14.25" customHeight="1" spans="1:19">
      <c r="A45" s="3518" t="s">
        <v>915</v>
      </c>
      <c r="B45" s="3519"/>
      <c r="C45" s="3520"/>
      <c r="D45" s="3521">
        <f ca="1">ROUND(H101*F45,0)</f>
        <v>12495</v>
      </c>
      <c r="E45" s="3522" t="s">
        <v>916</v>
      </c>
      <c r="F45" s="3523">
        <v>1</v>
      </c>
      <c r="G45" s="3524" t="s">
        <v>917</v>
      </c>
      <c r="H45" s="2468"/>
      <c r="I45" s="2468"/>
      <c r="J45" s="3525" t="s">
        <v>918</v>
      </c>
      <c r="K45" s="3525"/>
      <c r="L45" s="3525"/>
      <c r="M45" s="3525"/>
      <c r="N45" s="3525"/>
      <c r="O45" s="3525"/>
    </row>
    <row r="46" ht="14.25" customHeight="1" spans="1:19">
      <c r="A46" s="3526" t="s">
        <v>919</v>
      </c>
      <c r="B46" s="3527"/>
      <c r="C46" s="3527"/>
      <c r="D46" s="3527"/>
      <c r="E46" s="3527"/>
      <c r="F46" s="3527"/>
      <c r="G46" s="3528"/>
      <c r="H46" s="3529"/>
      <c r="I46" s="2469"/>
      <c r="J46" s="975">
        <v>1</v>
      </c>
      <c r="K46" s="3530" t="s">
        <v>920</v>
      </c>
      <c r="L46" s="3530"/>
      <c r="M46" s="3531"/>
      <c r="N46" s="3531"/>
      <c r="O46" s="3531"/>
    </row>
    <row r="47" ht="12" customHeight="1" spans="1:19">
      <c r="A47" s="3532" t="s">
        <v>921</v>
      </c>
      <c r="B47" s="3533"/>
      <c r="C47" s="3534"/>
      <c r="D47" s="2861" t="s">
        <v>922</v>
      </c>
      <c r="E47" s="1313" t="s">
        <v>923</v>
      </c>
      <c r="F47" s="3535" t="s">
        <v>924</v>
      </c>
      <c r="G47" s="3536" t="s">
        <v>925</v>
      </c>
      <c r="H47" s="3537"/>
      <c r="I47" s="2469"/>
      <c r="J47" s="975">
        <v>2</v>
      </c>
      <c r="K47" s="3530" t="s">
        <v>926</v>
      </c>
      <c r="L47" s="3530"/>
      <c r="M47" s="3538">
        <f>'数据-取费表'!B2</f>
        <v>46029</v>
      </c>
      <c r="N47" s="3538"/>
      <c r="O47" s="3538"/>
    </row>
    <row r="48" ht="26" spans="1:19">
      <c r="A48" s="3539" t="s">
        <v>927</v>
      </c>
      <c r="B48" s="2486"/>
      <c r="C48" s="2486"/>
      <c r="D48" s="3540">
        <f ca="1">ROUND(IF(H48="情况1",0,IF(H48="情况2",D52,IF(H48="情况3",D53,IF(H48="情况4",D54))))*(1+'数据-取费表'!B44),0)</f>
        <v>0</v>
      </c>
      <c r="E48" s="2486" t="str">
        <f>IF(H48="情况4","(销售额-原购置价)×税（费）率","销售额×税（费）率")</f>
        <v>销售额×税（费）率</v>
      </c>
      <c r="F48" s="3541">
        <f>IF(H48="情况1","免征",'数据-取费表'!B42)</f>
        <v>0</v>
      </c>
      <c r="G48" s="3542" t="s">
        <v>928</v>
      </c>
      <c r="H48" s="3543"/>
      <c r="I48" s="3529"/>
      <c r="J48" s="975">
        <v>3</v>
      </c>
      <c r="K48" s="3530" t="s">
        <v>929</v>
      </c>
      <c r="L48" s="3530"/>
      <c r="M48" s="3544">
        <f ca="1">H101</f>
        <v>12495</v>
      </c>
      <c r="N48" s="3544"/>
      <c r="O48" s="3544"/>
      <c r="R48" s="3545" t="s">
        <v>930</v>
      </c>
      <c r="S48" s="3546"/>
    </row>
    <row r="49" ht="25.5" customHeight="1" spans="1:35">
      <c r="A49" s="3539" t="s">
        <v>931</v>
      </c>
      <c r="B49" s="2866" t="s">
        <v>932</v>
      </c>
      <c r="C49" s="2866"/>
      <c r="D49" s="3547">
        <v>0</v>
      </c>
      <c r="E49" s="2884" t="s">
        <v>933</v>
      </c>
      <c r="F49" s="3548" t="s">
        <v>124</v>
      </c>
      <c r="G49" s="3082"/>
      <c r="H49" s="3549" t="s">
        <v>934</v>
      </c>
      <c r="I49" s="3550"/>
      <c r="J49" s="975">
        <v>4</v>
      </c>
      <c r="K49" s="3530" t="str">
        <f>IF(项目基本情况!E8="房地产抵押价值","房地产抵押价值","抵押担保权已注销时的房地产抵押价值")</f>
        <v>抵押担保权已注销时的房地产抵押价值</v>
      </c>
      <c r="L49" s="3530"/>
      <c r="M49" s="3544" t="str">
        <f ca="1">IF(项目基本情况!E8="房地产抵押价值",H107,H109)</f>
        <v>——</v>
      </c>
      <c r="N49" s="3544"/>
      <c r="O49" s="3544"/>
      <c r="R49" s="3551" t="s">
        <v>935</v>
      </c>
      <c r="S49" s="3545" t="s">
        <v>936</v>
      </c>
    </row>
    <row r="50" ht="25.5" customHeight="1" spans="1:35">
      <c r="A50" s="3552"/>
      <c r="B50" s="2866" t="s">
        <v>937</v>
      </c>
      <c r="C50" s="2866"/>
      <c r="D50" s="3553"/>
      <c r="E50" s="2900"/>
      <c r="F50" s="3548"/>
      <c r="G50" s="3554"/>
      <c r="H50" s="3555" t="s">
        <v>938</v>
      </c>
      <c r="I50" s="3550"/>
      <c r="J50" s="3525" t="s">
        <v>939</v>
      </c>
      <c r="K50" s="3525"/>
      <c r="L50" s="3525"/>
      <c r="M50" s="3525"/>
      <c r="N50" s="3525"/>
      <c r="O50" s="3525"/>
      <c r="R50" s="3551" t="s">
        <v>940</v>
      </c>
      <c r="S50" s="3545" t="s">
        <v>941</v>
      </c>
    </row>
    <row r="51" ht="20.45" customHeight="1" spans="1:35">
      <c r="A51" s="3556"/>
      <c r="B51" s="2866" t="s">
        <v>942</v>
      </c>
      <c r="C51" s="2866"/>
      <c r="D51" s="3557"/>
      <c r="E51" s="2889"/>
      <c r="F51" s="3548"/>
      <c r="G51" s="3558"/>
      <c r="H51" s="3555" t="s">
        <v>943</v>
      </c>
      <c r="I51" s="3550"/>
      <c r="J51" s="3530" t="s">
        <v>944</v>
      </c>
      <c r="K51" s="3530" t="s">
        <v>945</v>
      </c>
      <c r="L51" s="3530"/>
      <c r="M51" s="3530" t="s">
        <v>946</v>
      </c>
      <c r="N51" s="3530" t="s">
        <v>947</v>
      </c>
      <c r="O51" s="3530" t="s">
        <v>948</v>
      </c>
      <c r="R51" s="3551" t="s">
        <v>949</v>
      </c>
      <c r="S51" s="3546" t="s">
        <v>950</v>
      </c>
    </row>
    <row r="52" ht="24" customHeight="1" spans="1:35">
      <c r="A52" s="3559" t="s">
        <v>951</v>
      </c>
      <c r="B52" s="2866" t="s">
        <v>952</v>
      </c>
      <c r="C52" s="2866"/>
      <c r="D52" s="3557">
        <f ca="1">ROUND(D45*F52/(1+F52),0)</f>
        <v>364</v>
      </c>
      <c r="E52" s="2486" t="s">
        <v>953</v>
      </c>
      <c r="F52" s="3560">
        <v>0.03</v>
      </c>
      <c r="G52" s="3561" t="s">
        <v>954</v>
      </c>
      <c r="H52" s="1349"/>
      <c r="I52" s="3562"/>
      <c r="J52" s="975">
        <v>1</v>
      </c>
      <c r="K52" s="975" t="s">
        <v>955</v>
      </c>
      <c r="L52" s="975"/>
      <c r="M52" s="3563">
        <f ca="1">D48</f>
        <v>0</v>
      </c>
      <c r="N52" s="975" t="str">
        <f>E48</f>
        <v>销售额×税（费）率</v>
      </c>
      <c r="O52" s="3564">
        <f>F48</f>
        <v>0</v>
      </c>
      <c r="R52" s="3545" t="s">
        <v>371</v>
      </c>
      <c r="S52" s="3545" t="s">
        <v>956</v>
      </c>
    </row>
    <row r="53" ht="12" customHeight="1" spans="1:35">
      <c r="A53" s="3559" t="s">
        <v>957</v>
      </c>
      <c r="B53" s="2865" t="s">
        <v>958</v>
      </c>
      <c r="C53" s="3565"/>
      <c r="D53" s="3557">
        <f ca="1">IF(G53="2016年5月1日之前项目",ROUND(D45*F53/(1+F53),0),H63)</f>
        <v>1032</v>
      </c>
      <c r="E53" s="2486" t="str">
        <f>IF(G53="2016年5月1日之前项目","全额计税","进销项计算")</f>
        <v>进销项计算</v>
      </c>
      <c r="F53" s="3560">
        <f>IF(G53="2016年5月1日之前项目",5%,9%)</f>
        <v>0.09</v>
      </c>
      <c r="G53" s="3566"/>
      <c r="H53" s="1349"/>
      <c r="I53" s="3562"/>
      <c r="J53" s="975">
        <v>2</v>
      </c>
      <c r="K53" s="975" t="s">
        <v>959</v>
      </c>
      <c r="L53" s="975"/>
      <c r="M53" s="3563">
        <f ca="1" t="shared" ref="M53:O54" si="0">D55</f>
        <v>6</v>
      </c>
      <c r="N53" s="975" t="str">
        <f t="shared" si="0"/>
        <v>销售额×税（费）率</v>
      </c>
      <c r="O53" s="3564" t="str">
        <f t="shared" si="0"/>
        <v>免征</v>
      </c>
      <c r="R53" s="3545" t="s">
        <v>960</v>
      </c>
      <c r="S53" s="3546" t="s">
        <v>961</v>
      </c>
    </row>
    <row r="54" ht="12" customHeight="1" spans="1:35">
      <c r="A54" s="3559" t="s">
        <v>962</v>
      </c>
      <c r="B54" s="2865" t="s">
        <v>963</v>
      </c>
      <c r="C54" s="3565"/>
      <c r="D54" s="3557">
        <f ca="1">IF(G54="2016年5月1日之前项目",C68,H63)</f>
        <v>1032</v>
      </c>
      <c r="E54" s="3567" t="str">
        <f>IF(G54="2016年5月1日之前项目","差额计税","进销项计算")</f>
        <v>进销项计算</v>
      </c>
      <c r="F54" s="3560">
        <f>IF(G54="2016年5月1日之前项目",5%,9%)</f>
        <v>0.09</v>
      </c>
      <c r="G54" s="3566"/>
      <c r="H54" s="3568"/>
      <c r="I54" s="3562"/>
      <c r="J54" s="975">
        <v>3</v>
      </c>
      <c r="K54" s="975" t="s">
        <v>964</v>
      </c>
      <c r="L54" s="975"/>
      <c r="M54" s="3563" t="e">
        <f ca="1" t="shared" si="0"/>
        <v>#VALUE!</v>
      </c>
      <c r="N54" s="975" t="str">
        <f t="shared" si="0"/>
        <v>增值额×税（费）率</v>
      </c>
      <c r="O54" s="3569" t="str">
        <f t="shared" si="0"/>
        <v>免征</v>
      </c>
      <c r="P54" s="2468"/>
      <c r="R54" s="3551" t="s">
        <v>965</v>
      </c>
      <c r="S54" s="3546" t="s">
        <v>966</v>
      </c>
    </row>
    <row r="55" ht="24" customHeight="1" spans="1:35">
      <c r="A55" s="3559" t="s">
        <v>967</v>
      </c>
      <c r="B55" s="2486"/>
      <c r="C55" s="2486"/>
      <c r="D55" s="3540">
        <f ca="1">IF(H55="个人住宅",0,ROUND(D45*I55,0))</f>
        <v>6</v>
      </c>
      <c r="E55" s="2486" t="s">
        <v>968</v>
      </c>
      <c r="F55" s="3560" t="str">
        <f>IF(H55="正常",I55,"免征")</f>
        <v>免征</v>
      </c>
      <c r="G55" s="1314"/>
      <c r="H55" s="3543"/>
      <c r="I55" s="3570">
        <f>'数据-取费表'!B50</f>
        <v>0.0005</v>
      </c>
      <c r="J55" s="975">
        <f>IF(H59="非个人房产","",4)</f>
        <v>4</v>
      </c>
      <c r="K55" s="975" t="str">
        <f>IF(H59="非个人房产","——","个人所得税")</f>
        <v>个人所得税</v>
      </c>
      <c r="L55" s="975"/>
      <c r="M55" s="3571">
        <f ca="1">D59</f>
        <v>125</v>
      </c>
      <c r="N55" s="950" t="str">
        <f>E59</f>
        <v>差额计税</v>
      </c>
      <c r="O55" s="3572">
        <f>F59</f>
        <v>0.01</v>
      </c>
      <c r="R55" s="3551" t="s">
        <v>969</v>
      </c>
      <c r="S55" s="3546" t="s">
        <v>970</v>
      </c>
    </row>
    <row r="56" ht="26" spans="1:35">
      <c r="A56" s="3559" t="s">
        <v>971</v>
      </c>
      <c r="B56" s="2486"/>
      <c r="C56" s="2486"/>
      <c r="D56" s="3540" t="e">
        <f ca="1">IF(H56="个人住宅",D57,IF(H56="正常",D58,ROUND(D45*F56,0)))</f>
        <v>#VALUE!</v>
      </c>
      <c r="E56" s="2486" t="s">
        <v>972</v>
      </c>
      <c r="F56" s="3560" t="str">
        <f>IF(H56="正常",F58,IF(H56="按预征率计算",5%,"免征"))</f>
        <v>免征</v>
      </c>
      <c r="G56" s="3573" t="s">
        <v>973</v>
      </c>
      <c r="H56" s="3574"/>
      <c r="I56" s="3575"/>
      <c r="J56" s="975" t="str">
        <f>IF(项目基本情况!K6="上海银行",IF(J55="",4,J55+1),"")</f>
        <v/>
      </c>
      <c r="K56" s="739" t="str">
        <f>IF(项目基本情况!K6="上海银行","其他处置费用","")</f>
        <v/>
      </c>
      <c r="L56" s="796"/>
      <c r="M56" s="3563" t="str">
        <f ca="1">IF(项目基本情况!K6="上海银行",M69,"")</f>
        <v/>
      </c>
      <c r="N56" s="739" t="str">
        <f>IF(项目基本情况!K6="上海银行","包含处置中涉及的律师、诉讼、拍卖、评估等费用","")</f>
        <v/>
      </c>
      <c r="O56" s="2830"/>
      <c r="R56" s="3546"/>
      <c r="S56" s="3546" t="s">
        <v>974</v>
      </c>
    </row>
    <row r="57" ht="14" spans="1:35">
      <c r="A57" s="3559" t="s">
        <v>931</v>
      </c>
      <c r="B57" s="2865" t="s">
        <v>975</v>
      </c>
      <c r="C57" s="3565"/>
      <c r="D57" s="3547">
        <v>0</v>
      </c>
      <c r="E57" s="2884" t="s">
        <v>933</v>
      </c>
      <c r="F57" s="1313"/>
      <c r="G57" s="1314"/>
      <c r="H57" s="3576"/>
      <c r="I57" s="3575"/>
      <c r="J57" s="975">
        <f>IF(AND(J55="",J56=""),4,IF(项目基本情况!K6="上海银行",结果表!J56+1,结果表!J55+1))</f>
        <v>5</v>
      </c>
      <c r="K57" s="975" t="s">
        <v>976</v>
      </c>
      <c r="L57" s="3577" t="s">
        <v>977</v>
      </c>
      <c r="M57" s="3578"/>
      <c r="N57" s="3579">
        <f ca="1">SUMIF(M52:M56,"&lt;9e307")</f>
        <v>131</v>
      </c>
      <c r="O57" s="3580"/>
      <c r="P57" s="3581" t="e">
        <f ca="1">N57/M49</f>
        <v>#VALUE!</v>
      </c>
      <c r="R57" s="3582" t="s">
        <v>978</v>
      </c>
      <c r="S57" s="3583"/>
    </row>
    <row r="58" ht="26" spans="1:35">
      <c r="A58" s="3559" t="s">
        <v>951</v>
      </c>
      <c r="B58" s="2865" t="s">
        <v>979</v>
      </c>
      <c r="C58" s="2866"/>
      <c r="D58" s="3540">
        <f ca="1">IF(H58="转让取得",C81,C97)</f>
        <v>5789</v>
      </c>
      <c r="E58" s="2486" t="s">
        <v>972</v>
      </c>
      <c r="F58" s="1313" t="s">
        <v>124</v>
      </c>
      <c r="G58" s="1314"/>
      <c r="H58" s="3574"/>
      <c r="I58" s="3575"/>
      <c r="J58" s="975"/>
      <c r="K58" s="975"/>
      <c r="L58" s="3577" t="s">
        <v>980</v>
      </c>
      <c r="M58" s="3584"/>
      <c r="N58" s="3585" t="str">
        <f ca="1">NUMBERSTRING(INT(N57*10000),2)&amp;"元整"</f>
        <v>壹佰叁拾壹万元整</v>
      </c>
      <c r="O58" s="3586"/>
      <c r="R58" s="3587"/>
      <c r="S58" s="3588"/>
    </row>
    <row r="59" ht="26.75" spans="1:35">
      <c r="A59" s="3589" t="s">
        <v>981</v>
      </c>
      <c r="B59" s="3590"/>
      <c r="C59" s="3590"/>
      <c r="D59" s="3591">
        <f ca="1">IF(H59="非个人房产","——",IF(H59="个人住宅（满五唯一有凭证）",0,IF(H59="个人其他（无凭证）",ROUND(D45/(1+'数据-取费表'!C43)*F59,0),ROUND(C67*F59,0))))</f>
        <v>125</v>
      </c>
      <c r="E59" s="3590" t="str">
        <f>IF(H59="非个人房产","——",IF(H59="个人其他（无凭证）","销售额×税（费）率",IF(H59="个人住宅（满五唯一有凭证）","免征","差额计税")))</f>
        <v>差额计税</v>
      </c>
      <c r="F59" s="3592">
        <f>IF(OR(H59="非个人房产",H59="个人住宅（满五唯一有凭证）"),"——",IF(H59="个人其他（有凭证）",20%,1%))</f>
        <v>0.01</v>
      </c>
      <c r="G59" s="3593" t="s">
        <v>973</v>
      </c>
      <c r="H59" s="3594"/>
      <c r="I59" s="3595" t="s">
        <v>982</v>
      </c>
      <c r="J59" s="950">
        <f>J57+1</f>
        <v>6</v>
      </c>
      <c r="K59" s="975" t="s">
        <v>983</v>
      </c>
      <c r="L59" s="975" t="s">
        <v>977</v>
      </c>
      <c r="M59" s="3596"/>
      <c r="N59" s="3597" t="e">
        <f ca="1">M49-N57</f>
        <v>#VALUE!</v>
      </c>
      <c r="O59" s="3598"/>
      <c r="R59" s="3545" t="s">
        <v>984</v>
      </c>
      <c r="S59" s="3545" t="s">
        <v>985</v>
      </c>
    </row>
    <row r="60" ht="12" customHeight="1" spans="1:35">
      <c r="A60" s="3599"/>
      <c r="B60" s="3393"/>
      <c r="C60" s="3393"/>
      <c r="D60" s="3393"/>
      <c r="E60" s="3600"/>
      <c r="F60" s="3575"/>
      <c r="G60" s="3575"/>
      <c r="H60" s="3601"/>
      <c r="I60" s="2468"/>
      <c r="J60" s="955"/>
      <c r="K60" s="975"/>
      <c r="L60" s="3577" t="s">
        <v>980</v>
      </c>
      <c r="M60" s="3584"/>
      <c r="N60" s="3602" t="e">
        <f ca="1">NUMBERSTRING(INT(N59*10000),2)&amp;"元整"</f>
        <v>#VALUE!</v>
      </c>
      <c r="O60" s="3586"/>
      <c r="R60" s="3545" t="s">
        <v>986</v>
      </c>
      <c r="S60" s="3545" t="s">
        <v>987</v>
      </c>
    </row>
    <row r="61" ht="14.75" spans="1:35">
      <c r="A61" s="3603" t="s">
        <v>988</v>
      </c>
      <c r="B61" s="3604"/>
      <c r="C61" s="3604"/>
      <c r="D61" s="3604"/>
      <c r="E61" s="3605"/>
      <c r="F61" s="3606" t="s">
        <v>989</v>
      </c>
      <c r="G61" s="3607"/>
      <c r="H61" s="3607"/>
      <c r="I61" s="3608"/>
      <c r="J61" s="3609">
        <f>J59+1</f>
        <v>7</v>
      </c>
      <c r="K61" s="975" t="s">
        <v>990</v>
      </c>
      <c r="L61" s="975"/>
      <c r="M61" s="3610"/>
      <c r="N61" s="3611" t="e">
        <f ca="1">ROUND(N59*10000/'数据-汇总表'!E3,0)</f>
        <v>#VALUE!</v>
      </c>
      <c r="O61" s="3612"/>
    </row>
    <row r="62" ht="13.5" customHeight="1" spans="1:35">
      <c r="A62" s="3613" t="s">
        <v>991</v>
      </c>
      <c r="B62" s="3614" t="s">
        <v>992</v>
      </c>
      <c r="C62" s="3615" t="s">
        <v>993</v>
      </c>
      <c r="D62" s="3616" t="s">
        <v>994</v>
      </c>
      <c r="E62" s="3617" t="s">
        <v>995</v>
      </c>
      <c r="F62" s="3618" t="s">
        <v>991</v>
      </c>
      <c r="G62" s="3619" t="s">
        <v>992</v>
      </c>
      <c r="H62" s="3620" t="s">
        <v>993</v>
      </c>
      <c r="I62" s="3621" t="s">
        <v>994</v>
      </c>
    </row>
    <row r="63" ht="24" spans="1:35">
      <c r="A63" s="3622" t="s">
        <v>996</v>
      </c>
      <c r="B63" s="3623" t="s">
        <v>997</v>
      </c>
      <c r="C63" s="3624">
        <f ca="1">ROUND(C64+C65,0)</f>
        <v>12495</v>
      </c>
      <c r="D63" s="3625"/>
      <c r="E63" s="3626" t="s">
        <v>998</v>
      </c>
      <c r="F63" s="3559">
        <v>1</v>
      </c>
      <c r="G63" s="3099" t="s">
        <v>960</v>
      </c>
      <c r="H63" s="3627">
        <f ca="1">H64-H66</f>
        <v>1032</v>
      </c>
      <c r="I63" s="3628"/>
      <c r="J63" s="3629" t="s">
        <v>999</v>
      </c>
      <c r="K63" s="3630" t="s">
        <v>1000</v>
      </c>
      <c r="L63" s="3631" t="e">
        <f ca="1">IF(M49&gt;10000,M49*0.5%,IF(AND(M49&gt;1000,M49&lt;=10000),M49*1%,IF(AND(M49&gt;100,M49&lt;=1000),M49*3%,IF(AND(M49&gt;10,M49&lt;=100),M49*5%,M49*8%))))</f>
        <v>#VALUE!</v>
      </c>
      <c r="M63" s="3102" t="e">
        <f ca="1">ROUND(L63,1)</f>
        <v>#VALUE!</v>
      </c>
      <c r="N63" s="1357"/>
      <c r="Z63" s="3390"/>
      <c r="AI63" s="3391"/>
    </row>
    <row r="64" ht="14.25" customHeight="1" spans="1:35">
      <c r="A64" s="3632" t="s">
        <v>1001</v>
      </c>
      <c r="B64" s="3633" t="s">
        <v>1002</v>
      </c>
      <c r="C64" s="3634">
        <f ca="1">D45</f>
        <v>12495</v>
      </c>
      <c r="D64" s="3635"/>
      <c r="E64" s="3636"/>
      <c r="F64" s="3559">
        <v>2</v>
      </c>
      <c r="G64" s="3099" t="s">
        <v>1003</v>
      </c>
      <c r="H64" s="3627">
        <f ca="1">ROUND(H65*I64/(1+I64),0)</f>
        <v>1032</v>
      </c>
      <c r="I64" s="3637">
        <v>0.09</v>
      </c>
      <c r="J64" s="3629"/>
      <c r="K64" s="3630" t="s">
        <v>1004</v>
      </c>
      <c r="L64" s="3631" t="e">
        <f ca="1">IF(M49&gt;2000,M49*0.5%,IF(AND(M49&gt;1000,M49&lt;=2000),M49*0.6%,IF(AND(M49&gt;500,M49&lt;=1000),M49*0.7%,IF(AND(M49&gt;200,M49&lt;=500),M49*0.8%,IF(AND(M49&gt;100,M49&lt;=200),M49*0.9%,IF(AND(M49&gt;50,M49&lt;=100),M49*1%,IF(AND(M49&gt;20,M49&lt;=50),M49*1.5%,IF(AND(M49&gt;10,M49&lt;=20),M49*2%,IF(AND(M49&gt;1,M49&lt;=10),M49*2.5%)))))))))</f>
        <v>#VALUE!</v>
      </c>
      <c r="M64" s="3102" t="e">
        <f ca="1" t="shared" ref="M64:M65" si="1">ROUND(L64,1)</f>
        <v>#VALUE!</v>
      </c>
      <c r="N64" s="1349" t="s">
        <v>1005</v>
      </c>
      <c r="Z64" s="3390"/>
      <c r="AI64" s="3391"/>
    </row>
    <row r="65" ht="14.25" customHeight="1" spans="1:35">
      <c r="A65" s="3632" t="s">
        <v>1006</v>
      </c>
      <c r="B65" s="3633" t="s">
        <v>1007</v>
      </c>
      <c r="C65" s="3638"/>
      <c r="D65" s="3639"/>
      <c r="E65" s="3636"/>
      <c r="F65" s="3632" t="s">
        <v>1001</v>
      </c>
      <c r="G65" s="3640" t="s">
        <v>1008</v>
      </c>
      <c r="H65" s="3627">
        <f ca="1">D45</f>
        <v>12495</v>
      </c>
      <c r="I65" s="3628"/>
      <c r="J65" s="3629"/>
      <c r="K65" s="3630" t="s">
        <v>1009</v>
      </c>
      <c r="L65" s="3631" t="e">
        <f ca="1">IF(M49&gt;1000,M49*0.1%,IF(AND(M49&gt;500,M49&lt;=1000),M49*0.5%,IF(AND(M49&gt;50,M49&lt;=500),M49*1%,IF(AND(M49&gt;1,M49&lt;=50),M49*1.5%))))</f>
        <v>#VALUE!</v>
      </c>
      <c r="M65" s="3102" t="e">
        <f ca="1" t="shared" si="1"/>
        <v>#VALUE!</v>
      </c>
      <c r="N65" s="1349" t="s">
        <v>1005</v>
      </c>
      <c r="Z65" s="3390"/>
      <c r="AI65" s="3391"/>
    </row>
    <row r="66" ht="14.25" customHeight="1" spans="1:35">
      <c r="A66" s="3622" t="s">
        <v>1010</v>
      </c>
      <c r="B66" s="3641" t="s">
        <v>1011</v>
      </c>
      <c r="C66" s="3642"/>
      <c r="D66" s="3643"/>
      <c r="E66" s="3636"/>
      <c r="F66" s="3644">
        <v>3</v>
      </c>
      <c r="G66" s="3099" t="s">
        <v>1012</v>
      </c>
      <c r="H66" s="1299">
        <f>ROUND(H67*I67,0)+ROUND(H68*I68,0)</f>
        <v>0</v>
      </c>
      <c r="I66" s="3628"/>
      <c r="J66" s="3629"/>
      <c r="K66" s="3630" t="s">
        <v>1013</v>
      </c>
      <c r="L66" s="3631" t="e">
        <f ca="1">M49*0.5%</f>
        <v>#VALUE!</v>
      </c>
      <c r="M66" s="3102" t="e">
        <f ca="1">IF(L66&gt;0.5,0.5,ROUND(L66,0))</f>
        <v>#VALUE!</v>
      </c>
      <c r="N66" s="1349" t="s">
        <v>1014</v>
      </c>
      <c r="Z66" s="3390"/>
      <c r="AI66" s="3391"/>
    </row>
    <row r="67" ht="14.25" customHeight="1" spans="1:35">
      <c r="A67" s="3622" t="s">
        <v>1015</v>
      </c>
      <c r="B67" s="3645" t="s">
        <v>1008</v>
      </c>
      <c r="C67" s="3634">
        <f ca="1">C63-C66</f>
        <v>12495</v>
      </c>
      <c r="D67" s="3639"/>
      <c r="E67" s="3636"/>
      <c r="F67" s="3632" t="s">
        <v>1001</v>
      </c>
      <c r="G67" s="3640" t="s">
        <v>1016</v>
      </c>
      <c r="H67" s="740"/>
      <c r="I67" s="3637">
        <v>0.09</v>
      </c>
      <c r="J67" s="3629"/>
      <c r="K67" s="3630" t="s">
        <v>1017</v>
      </c>
      <c r="L67" s="3631" t="e">
        <f ca="1">IF(M49&gt;=10000,(8.25+(M49-10000)*0.01%),IF(AND(M49&gt;=8000,M49&lt;10000),(7.85+(M49-8000)*0.02%),IF(AND(M49&gt;=5000,M49&lt;8000),(6.65+(M49-5000)*0.04%),IF(AND(M49&gt;=2000,M49&lt;5000),(4.25+(PM49-2000)*0.08%),IF(AND(M49&gt;=1000,M49&lt;2000),(2.75+(M49-1000)*0.15%),IF(AND(M49&gt;=100,M49&lt;1000),(0.5+(M49-100)*0.25%),IF(AND(M49&gt;0,M49&lt;100),M49*0.5%)))))))</f>
        <v>#VALUE!</v>
      </c>
      <c r="M67" s="3102" t="e">
        <f ca="1">ROUND(L67*0.9,1)</f>
        <v>#VALUE!</v>
      </c>
      <c r="N67" s="1357"/>
      <c r="Z67" s="3390"/>
      <c r="AI67" s="3391"/>
    </row>
    <row r="68" ht="14.25" customHeight="1" spans="1:35">
      <c r="A68" s="3646" t="s">
        <v>1018</v>
      </c>
      <c r="B68" s="3647" t="s">
        <v>1019</v>
      </c>
      <c r="C68" s="3648">
        <f ca="1">IF(C67&lt;=0,0,ROUND(C67*D68,0))</f>
        <v>625</v>
      </c>
      <c r="D68" s="3649">
        <v>0.05</v>
      </c>
      <c r="E68" s="3650"/>
      <c r="F68" s="3651" t="s">
        <v>1006</v>
      </c>
      <c r="G68" s="3652" t="s">
        <v>1020</v>
      </c>
      <c r="H68" s="748"/>
      <c r="I68" s="3653">
        <v>0.06</v>
      </c>
      <c r="J68" s="3629"/>
      <c r="K68" s="3630" t="s">
        <v>1021</v>
      </c>
      <c r="L68" s="3631" t="e">
        <f ca="1">IF(M49&gt;10000,M49*0.5%,IF(AND(M49&gt;5000,M49&lt;=10000),M49*1%,IF(AND(M49&gt;1000,M49&lt;=5000),M49*2%,IF(AND(M49&gt;200,M49&lt;=1000),M49*3%,M49*5%))))</f>
        <v>#VALUE!</v>
      </c>
      <c r="M68" s="3102" t="e">
        <f ca="1">ROUND(L68,1)</f>
        <v>#VALUE!</v>
      </c>
      <c r="N68" s="1357"/>
      <c r="Z68" s="3390"/>
      <c r="AI68" s="3391"/>
    </row>
    <row r="69" s="3388" customFormat="1" ht="16.5" customHeight="1" spans="1:35">
      <c r="A69" s="3654"/>
      <c r="B69" s="3655"/>
      <c r="C69" s="3656"/>
      <c r="D69" s="1181"/>
      <c r="E69" s="3657"/>
      <c r="F69" s="3600"/>
      <c r="G69" s="3600"/>
      <c r="H69" s="3509"/>
      <c r="I69" s="3393"/>
      <c r="J69" s="3630"/>
      <c r="K69" s="3630" t="s">
        <v>1022</v>
      </c>
      <c r="L69" s="3631"/>
      <c r="M69" s="3102" t="e">
        <f ca="1">ROUND(SUM(M63:M68),0)</f>
        <v>#VALUE!</v>
      </c>
      <c r="N69" s="3658" t="e">
        <f ca="1">M69/M49</f>
        <v>#VALUE!</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4.75" spans="1:35">
      <c r="A70" s="3659" t="s">
        <v>1023</v>
      </c>
      <c r="B70" s="3660"/>
      <c r="C70" s="3660"/>
      <c r="D70" s="3660"/>
      <c r="E70" s="3660"/>
      <c r="F70" s="3660"/>
      <c r="G70" s="3660"/>
      <c r="H70" s="3660"/>
      <c r="I70" s="3661"/>
      <c r="J70" s="3662"/>
      <c r="K70" s="3662"/>
      <c r="L70" s="3662"/>
      <c r="M70" s="3662"/>
      <c r="N70" s="3663"/>
      <c r="O70" s="3663"/>
      <c r="P70" s="3663"/>
      <c r="Q70" s="3663"/>
      <c r="R70" s="3663"/>
      <c r="S70" s="3663"/>
      <c r="T70" s="3663"/>
      <c r="U70" s="3663"/>
      <c r="V70" s="3663"/>
      <c r="W70" s="3663"/>
      <c r="X70" s="3663"/>
      <c r="Y70" s="3663"/>
      <c r="Z70" s="3663"/>
      <c r="AA70" s="3664"/>
      <c r="AB70" s="3664"/>
      <c r="AC70" s="3664"/>
      <c r="AD70" s="3664"/>
      <c r="AE70" s="3664"/>
      <c r="AF70" s="3664"/>
      <c r="AG70" s="3664"/>
      <c r="AH70" s="3664"/>
      <c r="AI70" s="3664"/>
    </row>
    <row r="71" s="3389" customFormat="1" ht="14" spans="1:35">
      <c r="A71" s="3665" t="s">
        <v>1024</v>
      </c>
      <c r="B71" s="894"/>
      <c r="C71" s="894"/>
      <c r="D71" s="894" t="s">
        <v>1025</v>
      </c>
      <c r="E71" s="3666" t="s">
        <v>925</v>
      </c>
      <c r="F71" s="3667"/>
      <c r="G71" s="3667"/>
      <c r="H71" s="3668"/>
      <c r="I71" s="3669"/>
      <c r="J71" s="3662"/>
      <c r="K71" s="3662"/>
      <c r="L71" s="3662"/>
      <c r="M71" s="3662"/>
      <c r="N71" s="3663"/>
      <c r="O71" s="3663"/>
      <c r="P71" s="3663"/>
      <c r="Q71" s="3663"/>
      <c r="R71" s="3663"/>
      <c r="S71" s="3663"/>
      <c r="T71" s="3663"/>
      <c r="U71" s="3663"/>
      <c r="V71" s="3663"/>
      <c r="W71" s="3663"/>
      <c r="X71" s="3663"/>
      <c r="Y71" s="3663"/>
      <c r="Z71" s="3663"/>
      <c r="AA71" s="3664"/>
      <c r="AB71" s="3664"/>
      <c r="AC71" s="3664"/>
      <c r="AD71" s="3664"/>
      <c r="AE71" s="3664"/>
      <c r="AF71" s="3664"/>
      <c r="AG71" s="3664"/>
      <c r="AH71" s="3664"/>
      <c r="AI71" s="3664"/>
    </row>
    <row r="72" s="3389" customFormat="1" ht="14" spans="1:35">
      <c r="A72" s="3622" t="s">
        <v>996</v>
      </c>
      <c r="B72" s="3670" t="s">
        <v>1026</v>
      </c>
      <c r="C72" s="3671">
        <f ca="1">ROUND(D45/(1+D72),0)</f>
        <v>11463</v>
      </c>
      <c r="D72" s="3672">
        <v>0.09</v>
      </c>
      <c r="E72" s="739" t="s">
        <v>1027</v>
      </c>
      <c r="F72" s="2866"/>
      <c r="G72" s="2866"/>
      <c r="H72" s="3673"/>
      <c r="I72" s="3669"/>
      <c r="J72" s="3662"/>
      <c r="K72" s="3662"/>
      <c r="L72" s="3662"/>
      <c r="M72" s="3662"/>
      <c r="N72" s="3663"/>
      <c r="O72" s="3663"/>
      <c r="P72" s="3663"/>
      <c r="Q72" s="3663"/>
      <c r="R72" s="3663"/>
      <c r="S72" s="3663"/>
      <c r="T72" s="3663"/>
      <c r="U72" s="3663"/>
      <c r="V72" s="3663"/>
      <c r="W72" s="3663"/>
      <c r="X72" s="3663"/>
      <c r="Y72" s="3663"/>
      <c r="Z72" s="3663"/>
      <c r="AA72" s="3664"/>
      <c r="AB72" s="3664"/>
      <c r="AC72" s="3664"/>
      <c r="AD72" s="3664"/>
      <c r="AE72" s="3664"/>
      <c r="AF72" s="3664"/>
      <c r="AG72" s="3664"/>
      <c r="AH72" s="3664"/>
      <c r="AI72" s="3664"/>
    </row>
    <row r="73" s="3389" customFormat="1" ht="14" spans="1:35">
      <c r="A73" s="3622" t="s">
        <v>1010</v>
      </c>
      <c r="B73" s="3535" t="s">
        <v>1028</v>
      </c>
      <c r="C73" s="3671">
        <f ca="1">C74+C78</f>
        <v>1146</v>
      </c>
      <c r="D73" s="3674" t="s">
        <v>124</v>
      </c>
      <c r="E73" s="2865"/>
      <c r="F73" s="2866"/>
      <c r="G73" s="2866"/>
      <c r="H73" s="3673"/>
      <c r="I73" s="3669"/>
      <c r="J73" s="3663"/>
      <c r="K73" s="3663"/>
      <c r="L73" s="3663"/>
      <c r="M73" s="3663"/>
      <c r="N73" s="3663"/>
      <c r="O73" s="3663"/>
      <c r="P73" s="3663"/>
      <c r="Q73" s="3663"/>
      <c r="R73" s="3663"/>
      <c r="S73" s="3663"/>
      <c r="T73" s="3663"/>
      <c r="U73" s="3663"/>
      <c r="V73" s="3663"/>
      <c r="W73" s="3663"/>
      <c r="X73" s="3663"/>
      <c r="Y73" s="3663"/>
      <c r="Z73" s="3663"/>
      <c r="AA73" s="3664"/>
      <c r="AB73" s="3664"/>
      <c r="AC73" s="3664"/>
      <c r="AD73" s="3664"/>
      <c r="AE73" s="3664"/>
      <c r="AF73" s="3664"/>
      <c r="AG73" s="3664"/>
      <c r="AH73" s="3664"/>
      <c r="AI73" s="3664"/>
    </row>
    <row r="74" s="3389" customFormat="1" ht="26" spans="1:35">
      <c r="A74" s="3632" t="s">
        <v>1001</v>
      </c>
      <c r="B74" s="866" t="s">
        <v>1029</v>
      </c>
      <c r="C74" s="1626">
        <f>ROUND(IF(G77="2016年5月1日后购买",C75/(1+D72)+C76+C77,C75+C76+C77),0)</f>
        <v>0</v>
      </c>
      <c r="D74" s="3674" t="s">
        <v>124</v>
      </c>
      <c r="E74" s="739" t="s">
        <v>1027</v>
      </c>
      <c r="F74" s="2866"/>
      <c r="G74" s="2866"/>
      <c r="H74" s="3673"/>
      <c r="I74" s="3669"/>
      <c r="J74" s="3663"/>
      <c r="K74" s="3663"/>
      <c r="L74" s="3663"/>
      <c r="M74" s="3663"/>
      <c r="N74" s="3663"/>
      <c r="O74" s="3663"/>
      <c r="P74" s="3663"/>
      <c r="Q74" s="3663"/>
      <c r="R74" s="3663"/>
      <c r="S74" s="3663"/>
      <c r="T74" s="3663"/>
      <c r="U74" s="3663"/>
      <c r="V74" s="3663"/>
      <c r="W74" s="3663"/>
      <c r="X74" s="3663"/>
      <c r="Y74" s="3663"/>
      <c r="Z74" s="3663"/>
      <c r="AA74" s="3664"/>
      <c r="AB74" s="3664"/>
      <c r="AC74" s="3664"/>
      <c r="AD74" s="3664"/>
      <c r="AE74" s="3664"/>
      <c r="AF74" s="3664"/>
      <c r="AG74" s="3664"/>
      <c r="AH74" s="3664"/>
      <c r="AI74" s="3664"/>
    </row>
    <row r="75" s="3389" customFormat="1" ht="28" spans="1:35">
      <c r="A75" s="3632" t="s">
        <v>1030</v>
      </c>
      <c r="B75" s="866" t="s">
        <v>1031</v>
      </c>
      <c r="C75" s="3675"/>
      <c r="D75" s="3674" t="s">
        <v>124</v>
      </c>
      <c r="E75" s="3676" t="s">
        <v>1032</v>
      </c>
      <c r="F75" s="3677"/>
      <c r="G75" s="3676" t="s">
        <v>1033</v>
      </c>
      <c r="H75" s="3678"/>
      <c r="I75" s="1165"/>
      <c r="J75" s="3663"/>
      <c r="K75" s="3663"/>
      <c r="L75" s="3663"/>
      <c r="M75" s="3663"/>
      <c r="N75" s="3663"/>
      <c r="O75" s="3663"/>
      <c r="P75" s="3663"/>
      <c r="Q75" s="3663"/>
      <c r="R75" s="3663"/>
      <c r="S75" s="3663"/>
      <c r="T75" s="3663"/>
      <c r="U75" s="3663"/>
      <c r="V75" s="3663"/>
      <c r="W75" s="3663"/>
      <c r="X75" s="3663"/>
      <c r="Y75" s="3663"/>
      <c r="Z75" s="3663"/>
      <c r="AA75" s="3664"/>
      <c r="AB75" s="3664"/>
      <c r="AC75" s="3664"/>
      <c r="AD75" s="3664"/>
      <c r="AE75" s="3664"/>
      <c r="AF75" s="3664"/>
      <c r="AG75" s="3664"/>
      <c r="AH75" s="3664"/>
      <c r="AI75" s="3664"/>
    </row>
    <row r="76" s="3389" customFormat="1" ht="24.75" customHeight="1" spans="1:35">
      <c r="A76" s="3632" t="s">
        <v>1034</v>
      </c>
      <c r="B76" s="3679" t="s">
        <v>1035</v>
      </c>
      <c r="C76" s="1626">
        <f>IF(F75="购房发票",ROUND(C75*H75*D76,0),0)</f>
        <v>0</v>
      </c>
      <c r="D76" s="3680">
        <v>0.05</v>
      </c>
      <c r="E76" s="2865" t="s">
        <v>1036</v>
      </c>
      <c r="F76" s="2866"/>
      <c r="G76" s="2866"/>
      <c r="H76" s="3681"/>
      <c r="I76" s="3669"/>
      <c r="J76" s="3663"/>
      <c r="K76" s="3663"/>
      <c r="L76" s="3663"/>
      <c r="M76" s="3663"/>
      <c r="N76" s="3663"/>
      <c r="O76" s="3663"/>
      <c r="P76" s="3663"/>
      <c r="Q76" s="3663"/>
      <c r="R76" s="3663"/>
      <c r="S76" s="3663"/>
      <c r="T76" s="3663"/>
      <c r="U76" s="3663"/>
      <c r="V76" s="3663"/>
      <c r="W76" s="3663"/>
      <c r="X76" s="3663"/>
      <c r="Y76" s="3663"/>
      <c r="Z76" s="3663"/>
      <c r="AA76" s="3664"/>
      <c r="AB76" s="3664"/>
      <c r="AC76" s="3664"/>
      <c r="AD76" s="3664"/>
      <c r="AE76" s="3664"/>
      <c r="AF76" s="3664"/>
      <c r="AG76" s="3664"/>
      <c r="AH76" s="3664"/>
      <c r="AI76" s="3664"/>
    </row>
    <row r="77" s="3389" customFormat="1" ht="24.75" customHeight="1" spans="1:35">
      <c r="A77" s="3632" t="s">
        <v>1037</v>
      </c>
      <c r="B77" s="866" t="s">
        <v>1038</v>
      </c>
      <c r="C77" s="1626">
        <f>ROUND(IF(G77="个人住宅",0,IF(G77="2016年5月1日前购买",C75*D77,C75*D77/(1+D72))),0)</f>
        <v>0</v>
      </c>
      <c r="D77" s="3682">
        <f>'数据-取费表'!B49+'数据-取费表'!B50</f>
        <v>0.0305</v>
      </c>
      <c r="E77" s="739" t="s">
        <v>1039</v>
      </c>
      <c r="F77" s="1445"/>
      <c r="G77" s="3683"/>
      <c r="H77" s="3681" t="str">
        <f>IF(G77="个人买卖住房","免征印花税"," ")</f>
        <v> </v>
      </c>
      <c r="I77" s="3669"/>
      <c r="J77" s="3663"/>
      <c r="K77" s="3663"/>
      <c r="L77" s="3663"/>
      <c r="M77" s="3663"/>
      <c r="N77" s="3663"/>
      <c r="O77" s="3663"/>
      <c r="P77" s="3663"/>
      <c r="Q77" s="3663"/>
      <c r="R77" s="3663"/>
      <c r="S77" s="3663"/>
      <c r="T77" s="3663"/>
      <c r="U77" s="3663"/>
      <c r="V77" s="3663"/>
      <c r="W77" s="3663"/>
      <c r="X77" s="3663"/>
      <c r="Y77" s="3663"/>
      <c r="Z77" s="3663"/>
      <c r="AA77" s="3664"/>
      <c r="AB77" s="3664"/>
      <c r="AC77" s="3664"/>
      <c r="AD77" s="3664"/>
      <c r="AE77" s="3664"/>
      <c r="AF77" s="3664"/>
      <c r="AG77" s="3664"/>
      <c r="AH77" s="3664"/>
      <c r="AI77" s="3664"/>
    </row>
    <row r="78" s="3389" customFormat="1" ht="24.75" customHeight="1" spans="1:35">
      <c r="A78" s="3632" t="s">
        <v>1006</v>
      </c>
      <c r="B78" s="866" t="s">
        <v>1040</v>
      </c>
      <c r="C78" s="1626">
        <f ca="1">ROUND(C72*D78,0)</f>
        <v>1146</v>
      </c>
      <c r="D78" s="3684">
        <f>'数据-取费表'!B44</f>
        <v>0.1</v>
      </c>
      <c r="E78" s="3685" t="s">
        <v>1041</v>
      </c>
      <c r="F78" s="3686"/>
      <c r="G78" s="3686"/>
      <c r="H78" s="3687"/>
      <c r="I78" s="3688"/>
      <c r="J78" s="3663"/>
      <c r="K78" s="3663"/>
      <c r="L78" s="3663"/>
      <c r="M78" s="3663"/>
      <c r="N78" s="3663"/>
      <c r="O78" s="3663"/>
      <c r="P78" s="3663"/>
      <c r="Q78" s="3663"/>
      <c r="R78" s="3663"/>
      <c r="S78" s="3663"/>
      <c r="T78" s="3663"/>
      <c r="U78" s="3663"/>
      <c r="V78" s="3663"/>
      <c r="W78" s="3663"/>
      <c r="X78" s="3663"/>
      <c r="Y78" s="3663"/>
      <c r="Z78" s="3663"/>
      <c r="AA78" s="3664"/>
      <c r="AB78" s="3664"/>
      <c r="AC78" s="3664"/>
      <c r="AD78" s="3664"/>
      <c r="AE78" s="3664"/>
      <c r="AF78" s="3664"/>
      <c r="AG78" s="3664"/>
      <c r="AH78" s="3664"/>
      <c r="AI78" s="3664"/>
    </row>
    <row r="79" s="3389" customFormat="1" ht="14" spans="1:35">
      <c r="A79" s="3622" t="s">
        <v>1015</v>
      </c>
      <c r="B79" s="3670" t="s">
        <v>1042</v>
      </c>
      <c r="C79" s="3671">
        <f ca="1">C72-C73</f>
        <v>10317</v>
      </c>
      <c r="D79" s="3674" t="s">
        <v>124</v>
      </c>
      <c r="E79" s="2865"/>
      <c r="F79" s="2866"/>
      <c r="G79" s="2866"/>
      <c r="H79" s="3673"/>
      <c r="I79" s="3669"/>
      <c r="J79" s="3663"/>
      <c r="K79" s="3663"/>
      <c r="L79" s="3663"/>
      <c r="M79" s="3663"/>
      <c r="N79" s="3663"/>
      <c r="O79" s="3663"/>
      <c r="P79" s="3663"/>
      <c r="Q79" s="3663"/>
      <c r="R79" s="3663"/>
      <c r="S79" s="3663"/>
      <c r="T79" s="3663"/>
      <c r="U79" s="3663"/>
      <c r="V79" s="3663"/>
      <c r="W79" s="3663"/>
      <c r="X79" s="3663"/>
      <c r="Y79" s="3663"/>
      <c r="Z79" s="3663"/>
      <c r="AA79" s="3664"/>
      <c r="AB79" s="3664"/>
      <c r="AC79" s="3664"/>
      <c r="AD79" s="3664"/>
      <c r="AE79" s="3664"/>
      <c r="AF79" s="3664"/>
      <c r="AG79" s="3664"/>
      <c r="AH79" s="3664"/>
      <c r="AI79" s="3664"/>
    </row>
    <row r="80" s="3389" customFormat="1" ht="26" spans="1:35">
      <c r="A80" s="3622" t="s">
        <v>1018</v>
      </c>
      <c r="B80" s="3670" t="s">
        <v>1043</v>
      </c>
      <c r="C80" s="3671">
        <f ca="1">IF(C79&lt;=0,0,C79/C73)</f>
        <v>9.00261780104712</v>
      </c>
      <c r="D80" s="3674"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3"/>
      <c r="I80" s="3669"/>
      <c r="J80" s="3663"/>
      <c r="K80" s="3663"/>
      <c r="L80" s="3663"/>
      <c r="M80" s="3663"/>
      <c r="N80" s="3663"/>
      <c r="O80" s="3663"/>
      <c r="P80" s="3663"/>
      <c r="Q80" s="3663"/>
      <c r="R80" s="3663"/>
      <c r="S80" s="3663"/>
      <c r="T80" s="3663"/>
      <c r="U80" s="3663"/>
      <c r="V80" s="3663"/>
      <c r="W80" s="3663"/>
      <c r="X80" s="3663"/>
      <c r="Y80" s="3663"/>
      <c r="Z80" s="3663"/>
      <c r="AA80" s="3664"/>
      <c r="AB80" s="3664"/>
      <c r="AC80" s="3664"/>
      <c r="AD80" s="3664"/>
      <c r="AE80" s="3664"/>
      <c r="AF80" s="3664"/>
      <c r="AG80" s="3664"/>
      <c r="AH80" s="3664"/>
      <c r="AI80" s="3664"/>
    </row>
    <row r="81" s="3389" customFormat="1" ht="26.75" spans="1:35">
      <c r="A81" s="3646" t="s">
        <v>1044</v>
      </c>
      <c r="B81" s="3689" t="s">
        <v>1045</v>
      </c>
      <c r="C81" s="3690">
        <f ca="1">ROUND(IF(C79&lt;=0,0,IF(C80&gt;=200%,C79*60%-C73*35%,IF(C80&gt;=100%,C79*50%-C73*15%,IF(C80&gt;=50%,C79*40%-C73*5%,IF(C80&lt;50%,C79*30%,0))))),0)</f>
        <v>5789</v>
      </c>
      <c r="D81" s="3691" t="s">
        <v>124</v>
      </c>
      <c r="E81" s="3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3"/>
      <c r="G81" s="3693"/>
      <c r="H81" s="3694"/>
      <c r="I81" s="3669"/>
      <c r="J81" s="3663"/>
      <c r="K81" s="3663"/>
      <c r="L81" s="3663"/>
      <c r="M81" s="3663"/>
      <c r="N81" s="3663"/>
      <c r="O81" s="3663"/>
      <c r="P81" s="3663"/>
      <c r="Q81" s="3663"/>
      <c r="R81" s="3663"/>
      <c r="S81" s="3663"/>
      <c r="T81" s="3663"/>
      <c r="U81" s="3663"/>
      <c r="V81" s="3663"/>
      <c r="W81" s="3663"/>
      <c r="X81" s="3663"/>
      <c r="Y81" s="3663"/>
      <c r="Z81" s="3663"/>
      <c r="AA81" s="3664"/>
      <c r="AB81" s="3664"/>
      <c r="AC81" s="3664"/>
      <c r="AD81" s="3664"/>
      <c r="AE81" s="3664"/>
      <c r="AF81" s="3664"/>
      <c r="AG81" s="3664"/>
      <c r="AH81" s="3664"/>
      <c r="AI81" s="3664"/>
    </row>
    <row r="82" s="3389" customFormat="1" ht="7.5" customHeight="1" spans="1:35">
      <c r="A82" s="3695"/>
      <c r="B82" s="3696"/>
      <c r="C82" s="1163"/>
      <c r="D82" s="1163"/>
      <c r="E82" s="3696"/>
      <c r="F82" s="3696"/>
      <c r="G82" s="3696"/>
      <c r="H82" s="3697"/>
      <c r="I82" s="3688"/>
      <c r="J82" s="3663"/>
      <c r="K82" s="3663"/>
      <c r="L82" s="3663"/>
      <c r="M82" s="3663"/>
      <c r="N82" s="3663"/>
      <c r="O82" s="3663"/>
      <c r="P82" s="3663"/>
      <c r="Q82" s="3663"/>
      <c r="R82" s="3663"/>
      <c r="S82" s="3663"/>
      <c r="T82" s="3663"/>
      <c r="U82" s="3663"/>
      <c r="V82" s="3663"/>
      <c r="W82" s="3663"/>
      <c r="X82" s="3663"/>
      <c r="Y82" s="3663"/>
      <c r="Z82" s="3663"/>
      <c r="AA82" s="3664"/>
      <c r="AB82" s="3664"/>
      <c r="AC82" s="3664"/>
      <c r="AD82" s="3664"/>
      <c r="AE82" s="3664"/>
      <c r="AF82" s="3664"/>
      <c r="AG82" s="3664"/>
      <c r="AH82" s="3664"/>
      <c r="AI82" s="3664"/>
    </row>
    <row r="83" s="3389" customFormat="1" ht="14.75" spans="1:35">
      <c r="A83" s="3659" t="s">
        <v>1046</v>
      </c>
      <c r="B83" s="3660"/>
      <c r="C83" s="3660"/>
      <c r="D83" s="3660"/>
      <c r="E83" s="3660"/>
      <c r="F83" s="3660"/>
      <c r="G83" s="3660"/>
      <c r="H83" s="3660"/>
      <c r="I83" s="1165"/>
      <c r="J83" s="3663"/>
      <c r="K83" s="3663"/>
      <c r="L83" s="3663"/>
      <c r="M83" s="3663"/>
      <c r="N83" s="3663"/>
      <c r="O83" s="3663"/>
      <c r="P83" s="3663"/>
      <c r="Q83" s="3663"/>
      <c r="R83" s="3663"/>
      <c r="S83" s="3663"/>
      <c r="T83" s="3663"/>
      <c r="U83" s="3663"/>
      <c r="V83" s="3663"/>
      <c r="W83" s="3663"/>
      <c r="X83" s="3663"/>
      <c r="Y83" s="3663"/>
      <c r="Z83" s="3663"/>
      <c r="AA83" s="3664"/>
      <c r="AB83" s="3664"/>
      <c r="AC83" s="3664"/>
      <c r="AD83" s="3664"/>
      <c r="AE83" s="3664"/>
      <c r="AF83" s="3664"/>
      <c r="AG83" s="3664"/>
      <c r="AH83" s="3664"/>
      <c r="AI83" s="3664"/>
    </row>
    <row r="84" s="3389" customFormat="1" ht="14" spans="1:35">
      <c r="A84" s="3665" t="s">
        <v>1024</v>
      </c>
      <c r="B84" s="894"/>
      <c r="C84" s="894"/>
      <c r="D84" s="894" t="s">
        <v>1025</v>
      </c>
      <c r="E84" s="3666" t="s">
        <v>925</v>
      </c>
      <c r="F84" s="3667"/>
      <c r="G84" s="3667"/>
      <c r="H84" s="3698"/>
      <c r="I84" s="1165"/>
      <c r="J84" s="3663"/>
      <c r="K84" s="3663"/>
      <c r="L84" s="3663"/>
      <c r="M84" s="3663"/>
      <c r="N84" s="3663"/>
      <c r="O84" s="3663"/>
      <c r="P84" s="3663"/>
      <c r="Q84" s="3663"/>
      <c r="R84" s="3663"/>
      <c r="S84" s="3663"/>
      <c r="T84" s="3663"/>
      <c r="U84" s="3663"/>
      <c r="V84" s="3663"/>
      <c r="W84" s="3663"/>
      <c r="X84" s="3663"/>
      <c r="Y84" s="3663"/>
      <c r="Z84" s="3663"/>
      <c r="AA84" s="3664"/>
      <c r="AB84" s="3664"/>
      <c r="AC84" s="3664"/>
      <c r="AD84" s="3664"/>
      <c r="AE84" s="3664"/>
      <c r="AF84" s="3664"/>
      <c r="AG84" s="3664"/>
      <c r="AH84" s="3664"/>
      <c r="AI84" s="3664"/>
    </row>
    <row r="85" s="3389" customFormat="1" ht="14" spans="1:35">
      <c r="A85" s="3622" t="s">
        <v>996</v>
      </c>
      <c r="B85" s="3670" t="s">
        <v>1026</v>
      </c>
      <c r="C85" s="3671">
        <f ca="1">ROUND(D45/(1+D85),0)</f>
        <v>11463</v>
      </c>
      <c r="D85" s="3672">
        <v>0.09</v>
      </c>
      <c r="E85" s="739" t="s">
        <v>1027</v>
      </c>
      <c r="F85" s="2866"/>
      <c r="G85" s="2866"/>
      <c r="H85" s="3699"/>
      <c r="I85" s="1165"/>
      <c r="J85" s="3663"/>
      <c r="K85" s="3663"/>
      <c r="L85" s="3663"/>
      <c r="M85" s="3663"/>
      <c r="N85" s="3663"/>
      <c r="O85" s="3663"/>
      <c r="P85" s="3663"/>
      <c r="Q85" s="3663"/>
      <c r="R85" s="3663"/>
      <c r="S85" s="3663"/>
      <c r="T85" s="3663"/>
      <c r="U85" s="3663"/>
      <c r="V85" s="3663"/>
      <c r="W85" s="3663"/>
      <c r="X85" s="3663"/>
      <c r="Y85" s="3663"/>
      <c r="Z85" s="3663"/>
      <c r="AA85" s="3664"/>
      <c r="AB85" s="3664"/>
      <c r="AC85" s="3664"/>
      <c r="AD85" s="3664"/>
      <c r="AE85" s="3664"/>
      <c r="AF85" s="3664"/>
      <c r="AG85" s="3664"/>
      <c r="AH85" s="3664"/>
      <c r="AI85" s="3664"/>
    </row>
    <row r="86" s="3389" customFormat="1" ht="14" spans="1:35">
      <c r="A86" s="3622" t="s">
        <v>1010</v>
      </c>
      <c r="B86" s="3535" t="s">
        <v>1028</v>
      </c>
      <c r="C86" s="3671">
        <f ca="1">IF(H88="仅含出让金",C87+C90+C91+C92+C93+C94,C87+C91+C92+C93+C94)</f>
        <v>1146</v>
      </c>
      <c r="D86" s="3700"/>
      <c r="E86" s="2865"/>
      <c r="F86" s="2866"/>
      <c r="G86" s="2866"/>
      <c r="H86" s="3699"/>
      <c r="I86" s="1165"/>
      <c r="J86" s="3663"/>
      <c r="K86" s="3663"/>
      <c r="L86" s="3663"/>
      <c r="M86" s="3663"/>
      <c r="N86" s="3663"/>
      <c r="O86" s="3663"/>
      <c r="P86" s="3663"/>
      <c r="Q86" s="3663"/>
      <c r="R86" s="3663"/>
      <c r="S86" s="3663"/>
      <c r="T86" s="3663"/>
      <c r="U86" s="3663"/>
      <c r="V86" s="3663"/>
      <c r="W86" s="3663"/>
      <c r="X86" s="3663"/>
      <c r="Y86" s="3663"/>
      <c r="Z86" s="3663"/>
      <c r="AA86" s="3664"/>
      <c r="AB86" s="3664"/>
      <c r="AC86" s="3664"/>
      <c r="AD86" s="3664"/>
      <c r="AE86" s="3664"/>
      <c r="AF86" s="3664"/>
      <c r="AG86" s="3664"/>
      <c r="AH86" s="3664"/>
      <c r="AI86" s="3664"/>
    </row>
    <row r="87" s="3389" customFormat="1" ht="14" spans="1:35">
      <c r="A87" s="3632" t="s">
        <v>1001</v>
      </c>
      <c r="B87" s="866" t="s">
        <v>1047</v>
      </c>
      <c r="C87" s="1626">
        <f>C88+C89</f>
        <v>0</v>
      </c>
      <c r="D87" s="3684"/>
      <c r="E87" s="3685"/>
      <c r="F87" s="3686"/>
      <c r="G87" s="3686"/>
      <c r="H87" s="3687"/>
      <c r="I87" s="1165"/>
      <c r="J87" s="3663"/>
      <c r="K87" s="3663"/>
      <c r="L87" s="3663"/>
      <c r="M87" s="3663"/>
      <c r="N87" s="3663"/>
      <c r="O87" s="3663"/>
      <c r="P87" s="3663"/>
      <c r="Q87" s="3663"/>
      <c r="R87" s="3663"/>
      <c r="S87" s="3663"/>
      <c r="T87" s="3663"/>
      <c r="U87" s="3663"/>
      <c r="V87" s="3663"/>
      <c r="W87" s="3663"/>
      <c r="X87" s="3663"/>
      <c r="Y87" s="3663"/>
      <c r="Z87" s="3663"/>
      <c r="AA87" s="3664"/>
      <c r="AB87" s="3664"/>
      <c r="AC87" s="3664"/>
      <c r="AD87" s="3664"/>
      <c r="AE87" s="3664"/>
      <c r="AF87" s="3664"/>
      <c r="AG87" s="3664"/>
      <c r="AH87" s="3664"/>
      <c r="AI87" s="3664"/>
    </row>
    <row r="88" s="3389" customFormat="1" ht="26" spans="1:35">
      <c r="A88" s="3632" t="s">
        <v>1030</v>
      </c>
      <c r="B88" s="866" t="s">
        <v>1048</v>
      </c>
      <c r="C88" s="3675"/>
      <c r="D88" s="3684"/>
      <c r="E88" s="3701" t="s">
        <v>1049</v>
      </c>
      <c r="F88" s="3686"/>
      <c r="G88" s="3702" t="s">
        <v>1050</v>
      </c>
      <c r="H88" s="3703" t="s">
        <v>1051</v>
      </c>
      <c r="I88" s="1165"/>
      <c r="J88" s="3704" t="s">
        <v>1052</v>
      </c>
      <c r="K88" s="3663"/>
      <c r="L88" s="3663"/>
      <c r="M88" s="3663"/>
      <c r="N88" s="3663"/>
      <c r="O88" s="3663"/>
      <c r="P88" s="3663"/>
      <c r="Q88" s="3663"/>
      <c r="R88" s="3663"/>
      <c r="S88" s="3663"/>
      <c r="T88" s="3663"/>
      <c r="U88" s="3663"/>
      <c r="V88" s="3663"/>
      <c r="W88" s="3663"/>
      <c r="X88" s="3663"/>
      <c r="Y88" s="3663"/>
      <c r="Z88" s="3663"/>
      <c r="AA88" s="3664"/>
      <c r="AB88" s="3664"/>
      <c r="AC88" s="3664"/>
      <c r="AD88" s="3664"/>
      <c r="AE88" s="3664"/>
      <c r="AF88" s="3664"/>
      <c r="AG88" s="3664"/>
      <c r="AH88" s="3664"/>
      <c r="AI88" s="3664"/>
    </row>
    <row r="89" s="3389" customFormat="1" ht="14" spans="1:35">
      <c r="A89" s="3632" t="s">
        <v>1034</v>
      </c>
      <c r="B89" s="866" t="s">
        <v>1038</v>
      </c>
      <c r="C89" s="1626">
        <f>ROUND(C88*D89,0)</f>
        <v>0</v>
      </c>
      <c r="D89" s="3684">
        <f>'数据-取费表'!B49+'数据-取费表'!B50</f>
        <v>0.0305</v>
      </c>
      <c r="E89" s="3701" t="s">
        <v>1053</v>
      </c>
      <c r="F89" s="3686"/>
      <c r="G89" s="3686"/>
      <c r="H89" s="3687"/>
      <c r="I89" s="1165"/>
      <c r="J89" s="3663"/>
      <c r="K89" s="3663"/>
      <c r="L89" s="3663"/>
      <c r="M89" s="3663"/>
      <c r="N89" s="3663"/>
      <c r="O89" s="3663"/>
      <c r="P89" s="3663"/>
      <c r="Q89" s="3663"/>
      <c r="R89" s="3663"/>
      <c r="S89" s="3663"/>
      <c r="T89" s="3663"/>
      <c r="U89" s="3663"/>
      <c r="V89" s="3663"/>
      <c r="W89" s="3663"/>
      <c r="X89" s="3663"/>
      <c r="Y89" s="3663"/>
      <c r="Z89" s="3663"/>
      <c r="AA89" s="3664"/>
      <c r="AB89" s="3664"/>
      <c r="AC89" s="3664"/>
      <c r="AD89" s="3664"/>
      <c r="AE89" s="3664"/>
      <c r="AF89" s="3664"/>
      <c r="AG89" s="3664"/>
      <c r="AH89" s="3664"/>
      <c r="AI89" s="3664"/>
    </row>
    <row r="90" s="3389" customFormat="1" ht="14" spans="1:35">
      <c r="A90" s="3632" t="s">
        <v>1006</v>
      </c>
      <c r="B90" s="866" t="s">
        <v>1054</v>
      </c>
      <c r="C90" s="3675"/>
      <c r="D90" s="3684"/>
      <c r="E90" s="3701" t="str">
        <f>IF(H88="-","土地取得成本中已包含该笔费用"," ")</f>
        <v> </v>
      </c>
      <c r="F90" s="3686"/>
      <c r="G90" s="3705" t="s">
        <v>1055</v>
      </c>
      <c r="H90" s="3706"/>
      <c r="I90" s="1165"/>
      <c r="J90" s="3704" t="s">
        <v>1056</v>
      </c>
      <c r="K90" s="3663"/>
      <c r="L90" s="3663"/>
      <c r="M90" s="3663"/>
      <c r="N90" s="3663"/>
      <c r="O90" s="3663"/>
      <c r="P90" s="3663"/>
      <c r="Q90" s="3663"/>
      <c r="R90" s="3663"/>
      <c r="S90" s="3663"/>
      <c r="T90" s="3663"/>
      <c r="U90" s="3663"/>
      <c r="V90" s="3663"/>
      <c r="W90" s="3663"/>
      <c r="X90" s="3663"/>
      <c r="Y90" s="3663"/>
      <c r="Z90" s="3663"/>
      <c r="AA90" s="3664"/>
      <c r="AB90" s="3664"/>
      <c r="AC90" s="3664"/>
      <c r="AD90" s="3664"/>
      <c r="AE90" s="3664"/>
      <c r="AF90" s="3664"/>
      <c r="AG90" s="3664"/>
      <c r="AH90" s="3664"/>
      <c r="AI90" s="3664"/>
    </row>
    <row r="91" s="3389" customFormat="1" ht="43.5" customHeight="1" spans="1:35">
      <c r="A91" s="3632" t="s">
        <v>1057</v>
      </c>
      <c r="B91" s="866" t="s">
        <v>1058</v>
      </c>
      <c r="C91" s="1626">
        <f ca="1">IF(H91="——",成本法!C9,I91)</f>
        <v>0</v>
      </c>
      <c r="D91" s="3684"/>
      <c r="E91" s="3685" t="s">
        <v>1059</v>
      </c>
      <c r="F91" s="3686"/>
      <c r="G91" s="3686"/>
      <c r="H91" s="3707" t="s">
        <v>1060</v>
      </c>
      <c r="I91" s="3708"/>
      <c r="J91" s="3663" t="s">
        <v>1061</v>
      </c>
      <c r="K91" s="3663"/>
      <c r="L91" s="3663"/>
      <c r="M91" s="3663"/>
      <c r="N91" s="3663"/>
      <c r="O91" s="3663"/>
      <c r="P91" s="3663"/>
      <c r="Q91" s="3663"/>
      <c r="R91" s="3663"/>
      <c r="S91" s="3663"/>
      <c r="T91" s="3663"/>
      <c r="U91" s="3663"/>
      <c r="V91" s="3663"/>
      <c r="W91" s="3663"/>
      <c r="X91" s="3663"/>
      <c r="Y91" s="3663"/>
      <c r="Z91" s="3663"/>
      <c r="AA91" s="3664"/>
      <c r="AB91" s="3664"/>
      <c r="AC91" s="3664"/>
      <c r="AD91" s="3664"/>
      <c r="AE91" s="3664"/>
      <c r="AF91" s="3664"/>
      <c r="AG91" s="3664"/>
      <c r="AH91" s="3664"/>
      <c r="AI91" s="3664"/>
    </row>
    <row r="92" s="3389" customFormat="1" ht="25.5" customHeight="1" spans="1:35">
      <c r="A92" s="3632" t="s">
        <v>1062</v>
      </c>
      <c r="B92" s="866" t="s">
        <v>1063</v>
      </c>
      <c r="C92" s="1626">
        <f ca="1">ROUND((C87+C90+C91)*D92,0)</f>
        <v>0</v>
      </c>
      <c r="D92" s="3709"/>
      <c r="E92" s="3685" t="s">
        <v>1064</v>
      </c>
      <c r="F92" s="3686"/>
      <c r="G92" s="3686"/>
      <c r="H92" s="3687"/>
      <c r="I92" s="1165"/>
      <c r="J92" s="3710" t="s">
        <v>1065</v>
      </c>
      <c r="K92" s="3663"/>
      <c r="L92" s="3663"/>
      <c r="M92" s="3663"/>
      <c r="N92" s="3663"/>
      <c r="O92" s="3663"/>
      <c r="P92" s="3663"/>
      <c r="Q92" s="3663"/>
      <c r="R92" s="3663"/>
      <c r="S92" s="3663"/>
      <c r="T92" s="3663"/>
      <c r="U92" s="3663"/>
      <c r="V92" s="3663"/>
      <c r="W92" s="3663"/>
      <c r="X92" s="3663"/>
      <c r="Y92" s="3663"/>
      <c r="Z92" s="3663"/>
      <c r="AA92" s="3664"/>
      <c r="AB92" s="3664"/>
      <c r="AC92" s="3664"/>
      <c r="AD92" s="3664"/>
      <c r="AE92" s="3664"/>
      <c r="AF92" s="3664"/>
      <c r="AG92" s="3664"/>
      <c r="AH92" s="3664"/>
      <c r="AI92" s="3664"/>
    </row>
    <row r="93" s="3389" customFormat="1" ht="25.5" customHeight="1" spans="1:35">
      <c r="A93" s="3632" t="s">
        <v>1066</v>
      </c>
      <c r="B93" s="866" t="s">
        <v>1040</v>
      </c>
      <c r="C93" s="1626">
        <f ca="1">ROUND(C85*D93,0)</f>
        <v>1146</v>
      </c>
      <c r="D93" s="3684">
        <f>'数据-取费表'!B44</f>
        <v>0.1</v>
      </c>
      <c r="E93" s="3711" t="s">
        <v>1067</v>
      </c>
      <c r="F93" s="3686"/>
      <c r="G93" s="3686"/>
      <c r="H93" s="3687"/>
      <c r="I93" s="3712"/>
      <c r="J93" s="3663"/>
      <c r="K93" s="3663"/>
      <c r="L93" s="3663"/>
      <c r="M93" s="3663"/>
      <c r="N93" s="3663"/>
      <c r="O93" s="3663"/>
      <c r="P93" s="3663"/>
      <c r="Q93" s="3663"/>
      <c r="R93" s="3663"/>
      <c r="S93" s="3663"/>
      <c r="T93" s="3663"/>
      <c r="U93" s="3663"/>
      <c r="V93" s="3663"/>
      <c r="W93" s="3663"/>
      <c r="X93" s="3663"/>
      <c r="Y93" s="3663"/>
      <c r="Z93" s="3663"/>
      <c r="AA93" s="3664"/>
      <c r="AB93" s="3664"/>
      <c r="AC93" s="3664"/>
      <c r="AD93" s="3664"/>
      <c r="AE93" s="3664"/>
      <c r="AF93" s="3664"/>
      <c r="AG93" s="3664"/>
      <c r="AH93" s="3664"/>
      <c r="AI93" s="3664"/>
    </row>
    <row r="94" s="3389" customFormat="1" ht="36.75" customHeight="1" spans="1:35">
      <c r="A94" s="3632" t="s">
        <v>1068</v>
      </c>
      <c r="B94" s="866" t="s">
        <v>1069</v>
      </c>
      <c r="C94" s="3675">
        <f ca="1">ROUND((C87+C90+C91)*D94,0)</f>
        <v>0</v>
      </c>
      <c r="D94" s="3684">
        <v>0.2</v>
      </c>
      <c r="E94" s="3713" t="s">
        <v>1070</v>
      </c>
      <c r="F94" s="3714"/>
      <c r="G94" s="3714"/>
      <c r="H94" s="3715"/>
      <c r="I94" s="1165"/>
      <c r="J94" s="3663"/>
      <c r="K94" s="3663"/>
      <c r="L94" s="3663"/>
      <c r="M94" s="3663"/>
      <c r="N94" s="3663"/>
      <c r="O94" s="3663"/>
      <c r="P94" s="3663"/>
      <c r="Q94" s="3663"/>
      <c r="R94" s="3663"/>
      <c r="S94" s="3663"/>
      <c r="T94" s="3663"/>
      <c r="U94" s="3663"/>
      <c r="V94" s="3663"/>
      <c r="W94" s="3663"/>
      <c r="X94" s="3663"/>
      <c r="Y94" s="3663"/>
      <c r="Z94" s="3663"/>
      <c r="AA94" s="3664"/>
      <c r="AB94" s="3664"/>
      <c r="AC94" s="3664"/>
      <c r="AD94" s="3664"/>
      <c r="AE94" s="3664"/>
      <c r="AF94" s="3664"/>
      <c r="AG94" s="3664"/>
      <c r="AH94" s="3664"/>
      <c r="AI94" s="3664"/>
    </row>
    <row r="95" s="3389" customFormat="1" ht="14" spans="1:35">
      <c r="A95" s="3622" t="s">
        <v>1015</v>
      </c>
      <c r="B95" s="3670" t="s">
        <v>1042</v>
      </c>
      <c r="C95" s="3671">
        <f ca="1">ROUND(C85-C86,0)</f>
        <v>10317</v>
      </c>
      <c r="D95" s="3674" t="s">
        <v>124</v>
      </c>
      <c r="E95" s="2865"/>
      <c r="F95" s="2866"/>
      <c r="G95" s="2866"/>
      <c r="H95" s="3699"/>
      <c r="I95" s="1165"/>
      <c r="J95" s="3663"/>
      <c r="K95" s="3663"/>
      <c r="L95" s="3663"/>
      <c r="M95" s="3663"/>
      <c r="N95" s="3663"/>
      <c r="O95" s="3663"/>
      <c r="P95" s="3663"/>
      <c r="Q95" s="3663"/>
      <c r="R95" s="3663"/>
      <c r="S95" s="3663"/>
      <c r="T95" s="3663"/>
      <c r="U95" s="3663"/>
      <c r="V95" s="3663"/>
      <c r="W95" s="3663"/>
      <c r="X95" s="3663"/>
      <c r="Y95" s="3663"/>
      <c r="Z95" s="3663"/>
      <c r="AA95" s="3664"/>
      <c r="AB95" s="3664"/>
      <c r="AC95" s="3664"/>
      <c r="AD95" s="3664"/>
      <c r="AE95" s="3664"/>
      <c r="AF95" s="3664"/>
      <c r="AG95" s="3664"/>
      <c r="AH95" s="3664"/>
      <c r="AI95" s="3664"/>
    </row>
    <row r="96" s="3389" customFormat="1" ht="26" spans="1:35">
      <c r="A96" s="3622" t="s">
        <v>1018</v>
      </c>
      <c r="B96" s="3670" t="s">
        <v>1043</v>
      </c>
      <c r="C96" s="3671">
        <f ca="1">IF(C95&lt;=0,0,C95/C86)</f>
        <v>9.00261780104712</v>
      </c>
      <c r="D96" s="3674"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699"/>
      <c r="I96" s="1165"/>
      <c r="J96" s="3663"/>
      <c r="K96" s="3663"/>
      <c r="L96" s="3663"/>
      <c r="M96" s="3663"/>
      <c r="N96" s="3663"/>
      <c r="O96" s="3663"/>
      <c r="P96" s="3663"/>
      <c r="Q96" s="3663"/>
      <c r="R96" s="3663"/>
      <c r="S96" s="3663"/>
      <c r="T96" s="3663"/>
      <c r="U96" s="3663"/>
      <c r="V96" s="3663"/>
      <c r="W96" s="3663"/>
      <c r="X96" s="3663"/>
      <c r="Y96" s="3663"/>
      <c r="Z96" s="3663"/>
      <c r="AA96" s="3664"/>
      <c r="AB96" s="3664"/>
      <c r="AC96" s="3664"/>
      <c r="AD96" s="3664"/>
      <c r="AE96" s="3664"/>
      <c r="AF96" s="3664"/>
      <c r="AG96" s="3664"/>
      <c r="AH96" s="3664"/>
      <c r="AI96" s="3664"/>
    </row>
    <row r="97" s="3389" customFormat="1" ht="26.75" spans="1:35">
      <c r="A97" s="3646" t="s">
        <v>1044</v>
      </c>
      <c r="B97" s="3689" t="s">
        <v>1045</v>
      </c>
      <c r="C97" s="3690">
        <f ca="1">ROUND(IF(C95&lt;=0,0,IF(C96&gt;=200%,C95*60%-C86*35%,IF(C96&gt;=100%,C95*50%-C86*15%,IF(C96&gt;=50%,C95*40%-C86*5%,IF(C96&lt;50%,C95*30%,0))))),0)</f>
        <v>5789</v>
      </c>
      <c r="D97" s="3691" t="s">
        <v>124</v>
      </c>
      <c r="E97" s="3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3"/>
      <c r="G97" s="3693"/>
      <c r="H97" s="3716"/>
      <c r="I97" s="1165"/>
      <c r="J97" s="3663"/>
      <c r="K97" s="3663"/>
      <c r="L97" s="3663"/>
      <c r="M97" s="3663"/>
      <c r="N97" s="3663"/>
      <c r="O97" s="3663"/>
      <c r="P97" s="3663"/>
      <c r="Q97" s="3663"/>
      <c r="R97" s="3663"/>
      <c r="S97" s="3663"/>
      <c r="T97" s="3663"/>
      <c r="U97" s="3663"/>
      <c r="V97" s="3663"/>
      <c r="W97" s="3663"/>
      <c r="X97" s="3663"/>
      <c r="Y97" s="3663"/>
      <c r="Z97" s="3663"/>
      <c r="AA97" s="3664"/>
      <c r="AB97" s="3664"/>
      <c r="AC97" s="3664"/>
      <c r="AD97" s="3664"/>
      <c r="AE97" s="3664"/>
      <c r="AF97" s="3664"/>
      <c r="AG97" s="3664"/>
      <c r="AH97" s="3664"/>
      <c r="AI97" s="3664"/>
    </row>
    <row r="98" customHeight="1" spans="1:35">
      <c r="A98" s="3599"/>
      <c r="B98" s="3393"/>
      <c r="C98" s="3393"/>
      <c r="D98" s="3393"/>
      <c r="E98" s="3600"/>
      <c r="F98" s="3600"/>
      <c r="G98" s="3600"/>
      <c r="H98" s="3509"/>
      <c r="I98" s="2468"/>
    </row>
    <row r="99" customHeight="1" spans="1:35">
      <c r="A99" s="3512" t="s">
        <v>1071</v>
      </c>
      <c r="B99" s="3393"/>
      <c r="C99" s="3393"/>
      <c r="D99" s="3393"/>
      <c r="E99" s="3600"/>
      <c r="F99" s="3600"/>
      <c r="G99" s="3600"/>
      <c r="H99" s="3509"/>
      <c r="I99" s="2468"/>
    </row>
    <row r="100" ht="18.75" customHeight="1" spans="1:35">
      <c r="A100" s="3717" t="s">
        <v>1072</v>
      </c>
      <c r="B100" s="3718"/>
      <c r="C100" s="3718"/>
      <c r="D100" s="3719"/>
      <c r="E100" s="3718" t="s">
        <v>1073</v>
      </c>
      <c r="F100" s="3718"/>
      <c r="G100" s="3718"/>
      <c r="H100" s="3719"/>
      <c r="I100" s="2468"/>
    </row>
    <row r="101" ht="18.75" customHeight="1" spans="1:35">
      <c r="A101" s="3720" t="s">
        <v>1074</v>
      </c>
      <c r="B101" s="3721"/>
      <c r="C101" s="3722" t="str">
        <f>C4</f>
        <v>成本法</v>
      </c>
      <c r="D101" s="3723" t="str">
        <f>D4</f>
        <v>收益法</v>
      </c>
      <c r="E101" s="3724" t="s">
        <v>1075</v>
      </c>
      <c r="F101" s="3725"/>
      <c r="G101" s="3726" t="s">
        <v>1076</v>
      </c>
      <c r="H101" s="3727">
        <f ca="1">H118</f>
        <v>12495</v>
      </c>
      <c r="I101" s="2468"/>
    </row>
    <row r="102" ht="18.75" customHeight="1" spans="1:35">
      <c r="A102" s="3728" t="s">
        <v>1077</v>
      </c>
      <c r="B102" s="3729" t="s">
        <v>1076</v>
      </c>
      <c r="C102" s="3730">
        <f ca="1">IF(D32="楼面单价",ROUND(C19,0),C19)</f>
        <v>9689</v>
      </c>
      <c r="D102" s="3731">
        <f ca="1">IF(D32="楼面单价",ROUND(D19,0),D19)</f>
        <v>14365</v>
      </c>
      <c r="E102" s="3724"/>
      <c r="F102" s="3725"/>
      <c r="G102" s="3726" t="s">
        <v>99</v>
      </c>
      <c r="H102" s="3117">
        <f ca="1">I118</f>
        <v>7471</v>
      </c>
      <c r="I102" s="2468"/>
    </row>
    <row r="103" ht="42.75" customHeight="1" spans="1:35">
      <c r="A103" s="3728"/>
      <c r="B103" s="3729" t="s">
        <v>99</v>
      </c>
      <c r="C103" s="3732">
        <f ca="1">C20</f>
        <v>5793</v>
      </c>
      <c r="D103" s="3733">
        <f ca="1">D20</f>
        <v>8589</v>
      </c>
      <c r="E103" s="3734" t="s">
        <v>1078</v>
      </c>
      <c r="F103" s="3735"/>
      <c r="G103" s="3736" t="s">
        <v>102</v>
      </c>
      <c r="H103" s="3727">
        <f>IF(D36="正常操作",H104+H105+H106,H105+H106)</f>
        <v>0</v>
      </c>
      <c r="I103" s="2468"/>
    </row>
    <row r="104" ht="18.75" customHeight="1" spans="1:35">
      <c r="A104" s="3728" t="s">
        <v>1079</v>
      </c>
      <c r="B104" s="3737" t="s">
        <v>1076</v>
      </c>
      <c r="C104" s="3738">
        <f ca="1">H118</f>
        <v>12495</v>
      </c>
      <c r="D104" s="3739"/>
      <c r="E104" s="1455" t="s">
        <v>1080</v>
      </c>
      <c r="F104" s="3740"/>
      <c r="G104" s="3736" t="s">
        <v>102</v>
      </c>
      <c r="H104" s="3741">
        <f>IF(D36="同一抵押权人同一抵押物续贷",C36&amp;"（续贷，未扣减，详见特别提示）",C36)</f>
        <v>0</v>
      </c>
      <c r="I104" s="2468"/>
    </row>
    <row r="105" ht="18.75" customHeight="1" spans="1:35">
      <c r="A105" s="3742"/>
      <c r="B105" s="3743" t="s">
        <v>99</v>
      </c>
      <c r="C105" s="3744">
        <f ca="1">I118</f>
        <v>7471</v>
      </c>
      <c r="D105" s="3745"/>
      <c r="E105" s="1455" t="s">
        <v>1081</v>
      </c>
      <c r="F105" s="3740"/>
      <c r="G105" s="3736" t="s">
        <v>102</v>
      </c>
      <c r="H105" s="3746">
        <f>C37</f>
        <v>0</v>
      </c>
      <c r="I105" s="2468"/>
    </row>
    <row r="106" ht="18.75" customHeight="1" spans="1:35">
      <c r="A106" s="3393" t="s">
        <v>1082</v>
      </c>
      <c r="B106" s="3393"/>
      <c r="C106" s="3393"/>
      <c r="D106" s="3393"/>
      <c r="E106" s="3747" t="s">
        <v>1083</v>
      </c>
      <c r="F106" s="3740"/>
      <c r="G106" s="3736" t="s">
        <v>102</v>
      </c>
      <c r="H106" s="3746">
        <f>C38</f>
        <v>0</v>
      </c>
      <c r="I106" s="2468"/>
    </row>
    <row r="107" ht="18.75" customHeight="1" spans="1:35">
      <c r="A107" s="2468"/>
      <c r="B107" s="2468"/>
      <c r="C107" s="2468"/>
      <c r="D107" s="2468"/>
      <c r="E107" s="733" t="str">
        <f>IF(项目基本情况!E8="已注销","——","3.房地产抵押价值")</f>
        <v>3.房地产抵押价值</v>
      </c>
      <c r="F107" s="3725"/>
      <c r="G107" s="3726" t="s">
        <v>1076</v>
      </c>
      <c r="H107" s="3727">
        <f ca="1">IF(E107="——","——",H101-H103)</f>
        <v>12495</v>
      </c>
      <c r="I107" s="2468"/>
    </row>
    <row r="108" ht="18.75" customHeight="1" spans="1:35">
      <c r="A108" s="2468"/>
      <c r="B108" s="2468"/>
      <c r="C108" s="2468"/>
      <c r="D108" s="2468"/>
      <c r="E108" s="733"/>
      <c r="F108" s="3725"/>
      <c r="G108" s="3726" t="s">
        <v>99</v>
      </c>
      <c r="H108" s="3117">
        <f ca="1">IF(H107=H101,H102,ROUND(H107*10000/'数据-汇总表'!E3,0))</f>
        <v>7471</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5"/>
      <c r="G109" s="3726" t="s">
        <v>1076</v>
      </c>
      <c r="H109" s="3070" t="str">
        <f ca="1">IF(E109="——","——",H101-H105-H106)</f>
        <v>——</v>
      </c>
      <c r="I109" s="2468"/>
    </row>
    <row r="110" ht="18.75" customHeight="1" spans="1:35">
      <c r="A110" s="2468"/>
      <c r="B110" s="2468"/>
      <c r="C110" s="2468"/>
      <c r="D110" s="2468"/>
      <c r="E110" s="733"/>
      <c r="F110" s="3725"/>
      <c r="G110" s="3726" t="s">
        <v>99</v>
      </c>
      <c r="H110" s="3117" t="str">
        <f ca="1">IF(H109="——","——",ROUND(H109*10000/'数据-汇总表'!E3,0))</f>
        <v>——</v>
      </c>
      <c r="I110" s="2468"/>
    </row>
    <row r="111" ht="18.75" customHeight="1" spans="1:35">
      <c r="A111" s="2468"/>
      <c r="B111" s="2468"/>
      <c r="C111" s="2468"/>
      <c r="D111" s="2468"/>
      <c r="E111" s="3748" t="str">
        <f>IF(项目基本情况!E9="抵押净值",IF(OR(项目基本情况!E8="已注销",项目基本情况!E8="房地产抵押价值"),"4.抵押净值","5.抵押净值"),"——")</f>
        <v>——</v>
      </c>
      <c r="F111" s="3749"/>
      <c r="G111" s="3726" t="s">
        <v>1076</v>
      </c>
      <c r="H111" s="3727" t="str">
        <f ca="1">IF(E111="——","——",N59)</f>
        <v>——</v>
      </c>
      <c r="I111" s="2468"/>
    </row>
    <row r="112" ht="18.75" customHeight="1" spans="1:35">
      <c r="A112" s="2468"/>
      <c r="B112" s="2468"/>
      <c r="C112" s="2468"/>
      <c r="D112" s="2468"/>
      <c r="E112" s="3750"/>
      <c r="F112" s="3751"/>
      <c r="G112" s="3752" t="s">
        <v>99</v>
      </c>
      <c r="H112" s="3753" t="str">
        <f ca="1">IF(E111="——","——",N61)</f>
        <v>——</v>
      </c>
      <c r="I112" s="2468"/>
    </row>
    <row r="113" ht="18.75" customHeight="1" spans="1:27">
      <c r="A113" s="2468"/>
      <c r="B113" s="2468"/>
      <c r="C113" s="2468"/>
      <c r="D113" s="2468"/>
      <c r="E113" s="3754" t="s">
        <v>1082</v>
      </c>
      <c r="F113" s="3754"/>
      <c r="G113" s="3754"/>
      <c r="H113" s="3754"/>
      <c r="I113" s="2468"/>
    </row>
    <row r="114" ht="3.75" customHeight="1" spans="1:27">
      <c r="A114" s="3393"/>
      <c r="B114" s="3393"/>
      <c r="C114" s="3393"/>
      <c r="D114" s="3393"/>
      <c r="E114" s="3599"/>
      <c r="F114" s="3599"/>
      <c r="G114" s="3599"/>
      <c r="H114" s="3599"/>
      <c r="I114" s="3393"/>
    </row>
    <row r="115" ht="18.75" customHeight="1" spans="1:27">
      <c r="A115" s="3755" t="s">
        <v>1084</v>
      </c>
      <c r="B115" s="3756"/>
      <c r="C115" s="3756"/>
      <c r="D115" s="3756"/>
      <c r="E115" s="3756"/>
      <c r="F115" s="3756"/>
      <c r="G115" s="3756"/>
      <c r="H115" s="3756"/>
      <c r="I115" s="3757"/>
    </row>
    <row r="116" ht="27" customHeight="1" spans="1:27">
      <c r="A116" s="1462" t="s">
        <v>1085</v>
      </c>
      <c r="B116" s="3758" t="s">
        <v>1086</v>
      </c>
      <c r="C116" s="3758" t="s">
        <v>1087</v>
      </c>
      <c r="D116" s="3759" t="s">
        <v>1088</v>
      </c>
      <c r="E116" s="3760"/>
      <c r="F116" s="3761"/>
      <c r="G116" s="3761"/>
      <c r="H116" s="1462" t="s">
        <v>1089</v>
      </c>
      <c r="I116" s="1462"/>
      <c r="K116" s="3762"/>
      <c r="L116" s="3763" t="s">
        <v>199</v>
      </c>
      <c r="M116" s="3763" t="s">
        <v>1090</v>
      </c>
      <c r="N116" s="3763" t="s">
        <v>1091</v>
      </c>
    </row>
    <row r="117" ht="18.75" customHeight="1" spans="1:27">
      <c r="A117" s="1462"/>
      <c r="B117" s="3764"/>
      <c r="C117" s="3764"/>
      <c r="D117" s="1462" t="s">
        <v>1092</v>
      </c>
      <c r="E117" s="1462" t="s">
        <v>881</v>
      </c>
      <c r="F117" s="1462" t="s">
        <v>1092</v>
      </c>
      <c r="G117" s="1462" t="s">
        <v>881</v>
      </c>
      <c r="H117" s="1462" t="s">
        <v>1092</v>
      </c>
      <c r="I117" s="1462" t="s">
        <v>881</v>
      </c>
      <c r="K117" s="3763" t="s">
        <v>1093</v>
      </c>
      <c r="L117" s="3765">
        <f ca="1">C34</f>
        <v>8672</v>
      </c>
      <c r="M117" s="3766">
        <f ca="1">C35</f>
        <v>3823</v>
      </c>
      <c r="N117" s="3767">
        <f ca="1">C32</f>
        <v>12495</v>
      </c>
    </row>
    <row r="118" ht="24.75" customHeight="1" spans="1:27">
      <c r="A118" s="3768" t="str">
        <f>项目基本情况!S2</f>
        <v>北京市房地产</v>
      </c>
      <c r="B118" s="3409">
        <f>M18</f>
        <v>16724.51</v>
      </c>
      <c r="C118" s="3409">
        <f>M19</f>
        <v>9999.1</v>
      </c>
      <c r="D118" s="3409">
        <f ca="1">ROUND(IF(D32="总价",L117,L119*B118/10000),0)</f>
        <v>8672</v>
      </c>
      <c r="E118" s="3769">
        <f ca="1">ROUND(IF(C33="自定义",IF(D32="楼面单价",L119,D118*10000/B118),I118-G118),0)</f>
        <v>5185</v>
      </c>
      <c r="F118" s="3409">
        <f ca="1">ROUND(IF(D32="总价",M117,M119*B118/10000),0)</f>
        <v>3823</v>
      </c>
      <c r="G118" s="3769">
        <f ca="1">ROUND(IF(D32="楼面单价",,F118*10000/B118),0)</f>
        <v>2286</v>
      </c>
      <c r="H118" s="3409">
        <f ca="1">ROUND(IF(D32="总价",C32,N119*B118/10000),0)</f>
        <v>12495</v>
      </c>
      <c r="I118" s="3769">
        <f ca="1">ROUND(IF(D32="楼面单价",C32,N117*10000/B118),0)</f>
        <v>7471</v>
      </c>
      <c r="K118" s="3762"/>
      <c r="L118" s="3762"/>
      <c r="M118" s="3762"/>
      <c r="N118" s="3762"/>
    </row>
    <row r="119" ht="18.75" customHeight="1" spans="1:27">
      <c r="A119" s="1462" t="s">
        <v>1094</v>
      </c>
      <c r="B119" s="1462"/>
      <c r="C119" s="1462"/>
      <c r="D119" s="3770" t="str">
        <f ca="1">NUMBERSTRING(INT(D118*10000),2)&amp;"元整"</f>
        <v>捌仟陆佰柒拾贰万元整</v>
      </c>
      <c r="E119" s="3771"/>
      <c r="F119" s="3770" t="str">
        <f ca="1">NUMBERSTRING(INT(F118*10000),2)&amp;"元整"</f>
        <v>叁仟捌佰贰拾叁万元整</v>
      </c>
      <c r="G119" s="3771"/>
      <c r="H119" s="3770" t="str">
        <f ca="1">NUMBERSTRING(INT(H118*10000),2)&amp;"元整"</f>
        <v>壹亿贰仟肆佰玖拾伍万元整</v>
      </c>
      <c r="I119" s="3771"/>
      <c r="K119" s="3763" t="s">
        <v>1095</v>
      </c>
      <c r="L119" s="3766">
        <f ca="1">C34</f>
        <v>8672</v>
      </c>
      <c r="M119" s="3766">
        <f ca="1">C35</f>
        <v>3823</v>
      </c>
      <c r="N119" s="3767">
        <f ca="1">C32</f>
        <v>12495</v>
      </c>
    </row>
    <row r="120" ht="18.75" customHeight="1" spans="1:27">
      <c r="A120" s="3772" t="str">
        <f>IF(项目基本情况!B9="房地产市场价值","",MID(E103,3,LEN(E103)-2))</f>
        <v/>
      </c>
      <c r="B120" s="3773"/>
      <c r="C120" s="3774"/>
      <c r="D120" s="3775">
        <f>H103</f>
        <v>0</v>
      </c>
      <c r="E120" s="3776"/>
      <c r="F120" s="3776"/>
      <c r="G120" s="3776"/>
      <c r="H120" s="3776"/>
      <c r="I120" s="3777"/>
      <c r="J120" s="3390"/>
      <c r="K120" s="3390" t="str">
        <f>IF(D120=0,"故，本次评估不存在"&amp;A120,"故，本次评估"&amp;A120&amp;"为人民币"&amp;D120&amp;"万元整。")</f>
        <v>故，本次评估不存在</v>
      </c>
      <c r="L120" s="3390"/>
      <c r="M120" s="3390"/>
      <c r="N120" s="3390"/>
      <c r="O120" s="3390"/>
      <c r="P120" s="3390"/>
      <c r="Q120" s="3390"/>
      <c r="R120" s="3390"/>
      <c r="S120" s="3390"/>
    </row>
    <row r="121" ht="18.75" customHeight="1" spans="1:27">
      <c r="A121" s="1466" t="s">
        <v>1094</v>
      </c>
      <c r="B121" s="3778"/>
      <c r="C121" s="3779"/>
      <c r="D121" s="3780" t="str">
        <f>IF(D120=0,"零元整",NUMBERSTRING(INT(D120*10000),2)&amp;"元整")</f>
        <v>零元整</v>
      </c>
      <c r="E121" s="3781"/>
      <c r="F121" s="3781"/>
      <c r="G121" s="3781"/>
      <c r="H121" s="3781"/>
      <c r="I121" s="3782"/>
      <c r="K121" s="2374">
        <v>12466</v>
      </c>
      <c r="AA121" s="2374"/>
    </row>
    <row r="122" ht="18.75" customHeight="1" spans="1:27">
      <c r="A122" s="3749" t="str">
        <f>IF(项目基本情况!B9="房地产市场价值","",MID(E107,3,LEN(E107)-2))</f>
        <v/>
      </c>
      <c r="B122" s="3749"/>
      <c r="C122" s="3749"/>
      <c r="D122" s="3783">
        <f ca="1">H107</f>
        <v>12495</v>
      </c>
      <c r="E122" s="3784"/>
      <c r="F122" s="3784"/>
      <c r="G122" s="3784"/>
      <c r="H122" s="3784"/>
      <c r="I122" s="3785"/>
      <c r="AA122" s="2374"/>
    </row>
    <row r="123" ht="18.75" customHeight="1" spans="1:27">
      <c r="A123" s="1462" t="s">
        <v>1094</v>
      </c>
      <c r="B123" s="1462"/>
      <c r="C123" s="1462"/>
      <c r="D123" s="3780" t="str">
        <f ca="1">NUMBERSTRING(INT(D122*10000),2)&amp;"元整"</f>
        <v>壹亿贰仟肆佰玖拾伍万元整</v>
      </c>
      <c r="E123" s="3781"/>
      <c r="F123" s="3781"/>
      <c r="G123" s="3781"/>
      <c r="H123" s="3781"/>
      <c r="I123" s="3782"/>
      <c r="AA123" s="2374"/>
    </row>
    <row r="124" ht="18.75" customHeight="1" spans="1:27">
      <c r="A124" s="3749" t="str">
        <f>IF(项目基本情况!B9="房地产市场价值","",MID(E109,3,LEN(E109)-2))</f>
        <v/>
      </c>
      <c r="B124" s="3749"/>
      <c r="C124" s="3749"/>
      <c r="D124" s="3783" t="str">
        <f ca="1">H109</f>
        <v>——</v>
      </c>
      <c r="E124" s="3784"/>
      <c r="F124" s="3784"/>
      <c r="G124" s="3784"/>
      <c r="H124" s="3784"/>
      <c r="I124" s="3785"/>
      <c r="AA124" s="2374"/>
    </row>
    <row r="125" ht="18.75" customHeight="1" spans="1:27">
      <c r="A125" s="1462" t="s">
        <v>1094</v>
      </c>
      <c r="B125" s="1462"/>
      <c r="C125" s="1462"/>
      <c r="D125" s="3780" t="e">
        <f ca="1">NUMBERSTRING(INT(D124*10000),2)&amp;"元整"</f>
        <v>#VALUE!</v>
      </c>
      <c r="E125" s="3781"/>
      <c r="F125" s="3781"/>
      <c r="G125" s="3781"/>
      <c r="H125" s="3781"/>
      <c r="I125" s="3782"/>
      <c r="AA125" s="2374"/>
    </row>
    <row r="126" ht="18.75" customHeight="1" spans="1:27">
      <c r="A126" s="3749" t="str">
        <f>IF(项目基本情况!B9="房地产市场价值","",MID(E111,3,LEN(E111)-2))</f>
        <v/>
      </c>
      <c r="B126" s="3749"/>
      <c r="C126" s="3749"/>
      <c r="D126" s="3783" t="str">
        <f ca="1">H111</f>
        <v>——</v>
      </c>
      <c r="E126" s="3784"/>
      <c r="F126" s="3784"/>
      <c r="G126" s="3784"/>
      <c r="H126" s="3784"/>
      <c r="I126" s="3785"/>
      <c r="AA126" s="2374"/>
    </row>
    <row r="127" ht="18.75" customHeight="1" spans="1:27">
      <c r="A127" s="1462" t="s">
        <v>1094</v>
      </c>
      <c r="B127" s="1462"/>
      <c r="C127" s="1462"/>
      <c r="D127" s="3780" t="e">
        <f ca="1">NUMBERSTRING(INT(D126*10000),2)&amp;"元整"</f>
        <v>#VALUE!</v>
      </c>
      <c r="E127" s="3781"/>
      <c r="F127" s="3781"/>
      <c r="G127" s="3781"/>
      <c r="H127" s="3781"/>
      <c r="I127" s="3782"/>
      <c r="AA127" s="2374"/>
    </row>
    <row r="128" customHeight="1" spans="1:27">
      <c r="A128" s="2999" t="s">
        <v>113</v>
      </c>
      <c r="B128" s="2999"/>
      <c r="C128" s="2999"/>
      <c r="D128" s="2999"/>
      <c r="E128" s="2999"/>
      <c r="F128" s="2999"/>
      <c r="G128" s="2999"/>
      <c r="H128" s="2999"/>
      <c r="I128" s="2999"/>
      <c r="AA128" s="2374"/>
    </row>
    <row r="129" customHeight="1" spans="1:35">
      <c r="A129" s="3786" t="s">
        <v>1096</v>
      </c>
      <c r="B129" s="3787"/>
      <c r="C129" s="3788" t="s">
        <v>1097</v>
      </c>
      <c r="D129" s="3789"/>
      <c r="E129" s="3789"/>
      <c r="F129" s="3789"/>
      <c r="G129" s="3789"/>
      <c r="H129" s="3790"/>
      <c r="I129" s="3791"/>
      <c r="AA129" s="2374"/>
    </row>
    <row r="130" customHeight="1" spans="1:35">
      <c r="A130" s="3792">
        <v>1</v>
      </c>
      <c r="B130" s="3793"/>
      <c r="C130" s="3793"/>
      <c r="D130" s="3794"/>
      <c r="E130" s="3794"/>
      <c r="F130" s="3794"/>
      <c r="G130" s="3794"/>
      <c r="H130" s="3795"/>
      <c r="I130" s="3796"/>
      <c r="AA130" s="2374"/>
    </row>
    <row r="131" customHeight="1" spans="1:35">
      <c r="A131" s="3792">
        <v>2</v>
      </c>
      <c r="B131" s="3793"/>
      <c r="C131" s="3793"/>
      <c r="D131" s="3794"/>
      <c r="E131" s="3794"/>
      <c r="F131" s="3794"/>
      <c r="G131" s="3794"/>
      <c r="H131" s="3795"/>
      <c r="I131" s="3796"/>
      <c r="AA131" s="2374"/>
    </row>
    <row r="132" customHeight="1" spans="1:35">
      <c r="A132" s="3792">
        <v>3</v>
      </c>
      <c r="B132" s="3793"/>
      <c r="C132" s="3793"/>
      <c r="D132" s="3794"/>
      <c r="E132" s="3794"/>
      <c r="F132" s="3794"/>
      <c r="G132" s="3794"/>
      <c r="H132" s="3795"/>
      <c r="I132" s="3796"/>
      <c r="AA132" s="2374"/>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374"/>
    </row>
    <row r="135" customHeight="1" spans="1:35">
      <c r="A135" s="2374"/>
      <c r="B135" s="2374"/>
      <c r="C135" s="2374"/>
      <c r="D135" s="2374"/>
      <c r="E135" s="2374"/>
      <c r="F135" s="3802" t="s">
        <v>1098</v>
      </c>
      <c r="G135" s="3803"/>
      <c r="H135" s="3803"/>
      <c r="I135" s="3804" t="s">
        <v>1099</v>
      </c>
    </row>
    <row r="136" customHeight="1" spans="1:35">
      <c r="A136" s="2374"/>
      <c r="B136" s="3805" t="s">
        <v>1100</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3"/>
      <c r="C138" s="3803"/>
      <c r="D138" s="3803"/>
      <c r="E138" s="3803"/>
      <c r="F138" s="3803"/>
      <c r="G138" s="3803"/>
      <c r="H138" s="3803"/>
      <c r="I138" s="3804" t="s">
        <v>1101</v>
      </c>
    </row>
    <row r="139" customHeight="1" spans="1:35">
      <c r="A139" s="2374"/>
      <c r="B139" s="3805" t="s">
        <v>1102</v>
      </c>
      <c r="C139" s="2374"/>
      <c r="D139" s="2374"/>
      <c r="E139" s="2374"/>
      <c r="F139" s="2374"/>
      <c r="G139" s="2374"/>
      <c r="H139" s="2374"/>
      <c r="I139" s="2374"/>
    </row>
    <row r="140" customHeight="1" spans="1:35">
      <c r="A140" s="2374"/>
      <c r="B140" s="3805"/>
      <c r="C140" s="2374"/>
      <c r="D140" s="2374"/>
      <c r="E140" s="2374"/>
      <c r="F140" s="2374"/>
      <c r="G140" s="2374"/>
      <c r="H140" s="2374"/>
      <c r="I140" s="2374"/>
    </row>
    <row r="141" customHeight="1" spans="1:35">
      <c r="A141" s="2374"/>
      <c r="B141" s="3803"/>
      <c r="C141" s="3803"/>
      <c r="D141" s="3803"/>
      <c r="E141" s="3803"/>
      <c r="F141" s="3803"/>
      <c r="G141" s="3803"/>
      <c r="H141" s="3803"/>
      <c r="I141" s="3804" t="s">
        <v>1101</v>
      </c>
    </row>
    <row r="142" customHeight="1" spans="1:35">
      <c r="A142" s="2374"/>
      <c r="B142" s="3805"/>
      <c r="C142" s="3806"/>
      <c r="D142" s="3807"/>
      <c r="E142" s="3807"/>
      <c r="F142" s="3808"/>
      <c r="G142" s="2374"/>
      <c r="H142" s="2374"/>
      <c r="I142" s="2374"/>
    </row>
    <row r="143" s="2371" customFormat="1" customHeight="1" spans="1:35">
      <c r="A143" s="2374"/>
      <c r="B143" s="3805"/>
      <c r="C143" s="3806"/>
      <c r="D143" s="3807"/>
      <c r="E143" s="3807"/>
      <c r="F143" s="3808"/>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algorithmName="SHA-512" hashValue="geiPtQvA5wZKFr0CpR1Rx/tqhHECFw30KpDcehTMzuYI2+WczXnJMUHnHuM6/8nfHXoBdEmWXVlT1d3cT7SCdA==" saltValue="1HTH9JAvELzLXmGhbKxVPQ==" spinCount="100000" sheet="1" object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90" zoomScaleNormal="90" topLeftCell="A35" workbookViewId="0">
      <selection activeCell="C64" sqref="C64"/>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t="s">
        <v>617</v>
      </c>
      <c r="C1" s="3270" t="s">
        <v>1104</v>
      </c>
      <c r="D1" s="419"/>
      <c r="E1" s="419"/>
      <c r="F1" s="419"/>
      <c r="G1" s="612">
        <f>MATCH(B1,'数据-取费表'!A6:A16,0)+5</f>
        <v>6</v>
      </c>
    </row>
    <row r="2" s="409" customFormat="1" ht="15.5" spans="1:9">
      <c r="A2" s="421" t="s">
        <v>1105</v>
      </c>
      <c r="B2" s="613">
        <f ca="1">IF(C1="含税",E2+C33,E2+C32)</f>
        <v>9689</v>
      </c>
      <c r="C2" s="420" t="s">
        <v>1106</v>
      </c>
      <c r="D2" s="3262" t="s">
        <v>124</v>
      </c>
      <c r="E2" s="3385">
        <f ca="1">IF(D2="——",0,SUMIF(INDIRECT("'"&amp;G2&amp;"'"&amp;"!A:A"),"承租人权益价值",INDIRECT("'"&amp;G2&amp;"'"&amp;"!c:c")))</f>
        <v>0</v>
      </c>
      <c r="F2" s="727" t="s">
        <v>1106</v>
      </c>
      <c r="G2" s="3264" t="s">
        <v>355</v>
      </c>
    </row>
    <row r="3" s="409" customFormat="1" ht="16.25" spans="1:9">
      <c r="A3" s="424" t="s">
        <v>1107</v>
      </c>
      <c r="B3" s="615">
        <f ca="1">ROUND(B2*10000/(IF(B1="",'数据-汇总表'!E3,INDIRECT("'数据-取费表'!k"&amp;$G$1))),0)</f>
        <v>5793</v>
      </c>
      <c r="C3" s="420" t="s">
        <v>1108</v>
      </c>
      <c r="D3" s="420"/>
      <c r="E3" s="614"/>
      <c r="F3" s="420"/>
      <c r="G3" s="420"/>
    </row>
    <row r="4" s="409" customFormat="1" ht="16.25" spans="1:9">
      <c r="A4" s="3274" t="s">
        <v>991</v>
      </c>
      <c r="B4" s="3275" t="s">
        <v>992</v>
      </c>
      <c r="C4" s="3276" t="s">
        <v>733</v>
      </c>
      <c r="D4" s="3277" t="s">
        <v>1109</v>
      </c>
      <c r="E4" s="3278" t="s">
        <v>1110</v>
      </c>
      <c r="F4" s="3278" t="s">
        <v>1111</v>
      </c>
      <c r="G4" s="3279" t="s">
        <v>1112</v>
      </c>
    </row>
    <row r="5" s="410" customFormat="1" ht="15.5" spans="1:9">
      <c r="A5" s="3280" t="s">
        <v>1113</v>
      </c>
      <c r="B5" s="3281" t="s">
        <v>1114</v>
      </c>
      <c r="C5" s="3282">
        <f ca="1">ROUND((C6+C9+C21+C24+C25+C28)/(1-F22-C26-C29),0)</f>
        <v>9961</v>
      </c>
      <c r="D5" s="3283"/>
      <c r="E5" s="3283"/>
      <c r="F5" s="3283"/>
      <c r="G5" s="3284" t="s">
        <v>1115</v>
      </c>
    </row>
    <row r="6" s="608" customFormat="1" ht="14" spans="1:9">
      <c r="A6" s="3285" t="s">
        <v>1116</v>
      </c>
      <c r="B6" s="3286" t="s">
        <v>1117</v>
      </c>
      <c r="C6" s="3287">
        <f>C7+C8</f>
        <v>3721</v>
      </c>
      <c r="D6" s="3288"/>
      <c r="E6" s="3288"/>
      <c r="F6" s="3288"/>
      <c r="G6" s="3289"/>
    </row>
    <row r="7" s="411" customFormat="1" ht="13" spans="1:9">
      <c r="A7" s="3290" t="s">
        <v>1118</v>
      </c>
      <c r="B7" s="3291" t="s">
        <v>1119</v>
      </c>
      <c r="C7" s="656">
        <f>基准地价修正!C30</f>
        <v>3611</v>
      </c>
      <c r="D7" s="3292"/>
      <c r="E7" s="658"/>
      <c r="F7" s="658"/>
      <c r="G7" s="489"/>
    </row>
    <row r="8" s="411" customFormat="1" ht="13" spans="1:9">
      <c r="A8" s="3290" t="s">
        <v>1120</v>
      </c>
      <c r="B8" s="3291" t="s">
        <v>1121</v>
      </c>
      <c r="C8" s="650">
        <f>ROUND(C7*F8,0)</f>
        <v>110</v>
      </c>
      <c r="D8" s="478"/>
      <c r="E8" s="658"/>
      <c r="F8" s="653">
        <f>IF(项目基本情况!B8="出让",0,'数据-取费表'!B49+'数据-取费表'!B50)</f>
        <v>0.0305</v>
      </c>
      <c r="G8" s="489"/>
    </row>
    <row r="9" s="608" customFormat="1" ht="14" spans="1:9">
      <c r="A9" s="3293" t="s">
        <v>1122</v>
      </c>
      <c r="B9" s="3294" t="s">
        <v>1123</v>
      </c>
      <c r="C9" s="660">
        <f ca="1">C10+C11+C12+C13+C19+C20</f>
        <v>4681</v>
      </c>
      <c r="D9" s="3295"/>
      <c r="E9" s="3296"/>
      <c r="F9" s="663"/>
      <c r="G9" s="3297"/>
      <c r="I9" s="411"/>
    </row>
    <row r="10" s="411" customFormat="1" ht="13" spans="1:9">
      <c r="A10" s="3298" t="s">
        <v>1118</v>
      </c>
      <c r="B10" s="3299" t="s">
        <v>1124</v>
      </c>
      <c r="C10" s="650">
        <f ca="1">IF(B1="",IF(F10=100%,'数据-取费表'!M16,'数据-取费表'!O16),IF(F10=100%,INDIRECT("'数据-取费表'!m"&amp;$G$1)+INDIRECT("'数据-取费表'!t"&amp;$G$1),INDIRECT("'数据-取费表'!o"&amp;$G$1)+INDIRECT("'数据-取费表'!aq"&amp;$G$1)))</f>
        <v>3847</v>
      </c>
      <c r="D10" s="3292"/>
      <c r="E10" s="478"/>
      <c r="F10" s="3300">
        <f ca="1">IF('数据-取费表'!B24=0,1,IF(B1="",'数据-取费表'!N16,INDIRECT("'数据-取费表'!n"&amp;$G$1)))</f>
        <v>1</v>
      </c>
      <c r="G10" s="489" t="s">
        <v>1125</v>
      </c>
    </row>
    <row r="11" s="411" customFormat="1" ht="13" spans="1:9">
      <c r="A11" s="3298" t="s">
        <v>1120</v>
      </c>
      <c r="B11" s="3299" t="s">
        <v>1126</v>
      </c>
      <c r="C11" s="650">
        <f ca="1">ROUND(C10*F11,0)</f>
        <v>115</v>
      </c>
      <c r="D11" s="478"/>
      <c r="E11" s="478"/>
      <c r="F11" s="3301">
        <f>'数据-取费表'!B33</f>
        <v>0.03</v>
      </c>
      <c r="G11" s="659" t="s">
        <v>1127</v>
      </c>
    </row>
    <row r="12" s="411" customFormat="1" ht="13" spans="1:9">
      <c r="A12" s="3298" t="s">
        <v>1128</v>
      </c>
      <c r="B12" s="3299" t="s">
        <v>1129</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1130</v>
      </c>
    </row>
    <row r="13" s="411" customFormat="1" ht="13" spans="1:9">
      <c r="A13" s="3298" t="s">
        <v>1131</v>
      </c>
      <c r="B13" s="3299" t="s">
        <v>1132</v>
      </c>
      <c r="C13" s="650">
        <f ca="1">C14+C17+C18</f>
        <v>643</v>
      </c>
      <c r="D13" s="478"/>
      <c r="E13" s="658"/>
      <c r="F13" s="653"/>
      <c r="G13" s="489"/>
    </row>
    <row r="14" s="412" customFormat="1" ht="13" spans="1:9">
      <c r="A14" s="671" t="s">
        <v>1133</v>
      </c>
      <c r="B14" s="3303" t="s">
        <v>1134</v>
      </c>
      <c r="C14" s="650">
        <f ca="1">IF(G14="已包含在土地购买价格中","0",IF(B1="",'数据-取费表'!B29,IF(G15="全部缴纳",C15+C16,H15)))</f>
        <v>334</v>
      </c>
      <c r="D14" s="3304"/>
      <c r="E14" s="478"/>
      <c r="F14" s="653"/>
      <c r="G14" s="670" t="s">
        <v>1135</v>
      </c>
    </row>
    <row r="15" s="411" customFormat="1" ht="13" spans="1:9">
      <c r="A15" s="3305" t="s">
        <v>1136</v>
      </c>
      <c r="B15" s="3306" t="s">
        <v>1137</v>
      </c>
      <c r="C15" s="673">
        <f ca="1">ROUND(D15*E15/10000,0)</f>
        <v>0</v>
      </c>
      <c r="D15" s="673">
        <f ca="1">IF(B1="",'数据-汇总表'!E5,IF(INDIRECT("'数据-取费表'!c"&amp;$G$1)="住宅",INDIRECT("'数据-取费表'!k"&amp;$G$1),0))</f>
        <v>0</v>
      </c>
      <c r="E15" s="673">
        <f>'数据-取费表'!B27</f>
        <v>0</v>
      </c>
      <c r="F15" s="653"/>
      <c r="G15" s="675"/>
      <c r="H15" s="676">
        <f ca="1">C16</f>
        <v>334</v>
      </c>
      <c r="I15" s="677" t="s">
        <v>1138</v>
      </c>
    </row>
    <row r="16" s="411" customFormat="1" ht="13" spans="1:9">
      <c r="A16" s="3305" t="s">
        <v>1139</v>
      </c>
      <c r="B16" s="3306" t="s">
        <v>1140</v>
      </c>
      <c r="C16" s="673">
        <f ca="1">ROUND(D16*E16/10000,0)</f>
        <v>334</v>
      </c>
      <c r="D16" s="673">
        <f ca="1">IF(B1="",'数据-汇总表'!E6,IF(INDIRECT("'数据-取费表'!c"&amp;$G$1)="住宅",INDIRECT("'数据-取费表'!s"&amp;$G$1),INDIRECT("'数据-取费表'!k"&amp;$G$1)+INDIRECT("'数据-取费表'!s"&amp;$G$1)))</f>
        <v>16724.51</v>
      </c>
      <c r="E16" s="673">
        <f>'数据-取费表'!B28</f>
        <v>200</v>
      </c>
      <c r="F16" s="653"/>
      <c r="G16" s="448"/>
    </row>
    <row r="17" s="411" customFormat="1" ht="13" spans="1:7">
      <c r="A17" s="671" t="s">
        <v>1141</v>
      </c>
      <c r="B17" s="3307" t="s">
        <v>1142</v>
      </c>
      <c r="C17" s="650" t="str">
        <f ca="1">IF(G17="已包含在土地取得成本中","0",ROUND(D17*E17/10000,0))</f>
        <v>0</v>
      </c>
      <c r="D17" s="632">
        <f ca="1">D15+D16</f>
        <v>16724.51</v>
      </c>
      <c r="E17" s="632">
        <f>'数据-取费表'!B31</f>
        <v>200</v>
      </c>
      <c r="F17" s="3308"/>
      <c r="G17" s="670" t="s">
        <v>1143</v>
      </c>
    </row>
    <row r="18" s="411" customFormat="1" ht="13" spans="1:7">
      <c r="A18" s="3309" t="s">
        <v>1144</v>
      </c>
      <c r="B18" s="3307" t="s">
        <v>1145</v>
      </c>
      <c r="C18" s="650">
        <f ca="1">ROUND(E18*D18*F10/10000,0)</f>
        <v>309</v>
      </c>
      <c r="D18" s="650">
        <f ca="1">D17</f>
        <v>16724.51</v>
      </c>
      <c r="E18" s="650">
        <f>'数据-取费表'!B35</f>
        <v>185</v>
      </c>
      <c r="F18" s="3301"/>
      <c r="G18" s="489" t="s">
        <v>1146</v>
      </c>
    </row>
    <row r="19" s="411" customFormat="1" ht="13" spans="1:7">
      <c r="A19" s="3298" t="s">
        <v>1147</v>
      </c>
      <c r="B19" s="3299" t="s">
        <v>1148</v>
      </c>
      <c r="C19" s="650">
        <f ca="1">ROUND(C10*F19,0)</f>
        <v>38</v>
      </c>
      <c r="D19" s="478"/>
      <c r="E19" s="478"/>
      <c r="F19" s="3301">
        <f>'数据-取费表'!B36</f>
        <v>0.01</v>
      </c>
      <c r="G19" s="489" t="s">
        <v>1149</v>
      </c>
    </row>
    <row r="20" s="411" customFormat="1" ht="13" spans="1:7">
      <c r="A20" s="3298" t="s">
        <v>1150</v>
      </c>
      <c r="B20" s="3299" t="s">
        <v>1151</v>
      </c>
      <c r="C20" s="650">
        <f ca="1">ROUND(C10*F20,0)</f>
        <v>38</v>
      </c>
      <c r="D20" s="3310"/>
      <c r="E20" s="474"/>
      <c r="F20" s="3301">
        <f>'数据-取费表'!B37</f>
        <v>0.01</v>
      </c>
      <c r="G20" s="489" t="s">
        <v>1149</v>
      </c>
    </row>
    <row r="21" s="608" customFormat="1" ht="14" spans="1:7">
      <c r="A21" s="3285" t="s">
        <v>1152</v>
      </c>
      <c r="B21" s="3286" t="s">
        <v>1153</v>
      </c>
      <c r="C21" s="660">
        <f ca="1">ROUND((C6+C9)*F21,0)</f>
        <v>252</v>
      </c>
      <c r="D21" s="3311"/>
      <c r="E21" s="3311"/>
      <c r="F21" s="3312">
        <f>'数据-取费表'!B38</f>
        <v>0.03</v>
      </c>
      <c r="G21" s="3313" t="s">
        <v>1154</v>
      </c>
    </row>
    <row r="22" s="608" customFormat="1" ht="14" spans="1:7">
      <c r="A22" s="3285" t="s">
        <v>1155</v>
      </c>
      <c r="B22" s="3286" t="s">
        <v>1156</v>
      </c>
      <c r="C22" s="3314" t="str">
        <f>F22&amp;"V"</f>
        <v>0.03V</v>
      </c>
      <c r="D22" s="691"/>
      <c r="E22" s="3311"/>
      <c r="F22" s="3312">
        <f>'数据-取费表'!B39</f>
        <v>0.03</v>
      </c>
      <c r="G22" s="3315" t="s">
        <v>1157</v>
      </c>
    </row>
    <row r="23" s="608" customFormat="1" ht="14" spans="1:7">
      <c r="A23" s="3285" t="s">
        <v>1158</v>
      </c>
      <c r="B23" s="3294" t="s">
        <v>1159</v>
      </c>
      <c r="C23" s="689" t="str">
        <f ca="1">SUM(C24:C25)&amp;"+"&amp;C26&amp;"V"</f>
        <v>285+0.0007V</v>
      </c>
      <c r="D23" s="690"/>
      <c r="E23" s="691"/>
      <c r="F23" s="3312">
        <f ca="1">'数据-取费表'!B41</f>
        <v>0.0306</v>
      </c>
      <c r="G23" s="3313" t="str">
        <f>IF('数据-取费表'!B22&lt;=1,"单利计息","复利计息")</f>
        <v>复利计息</v>
      </c>
    </row>
    <row r="24" s="411" customFormat="1" ht="13" spans="1:7">
      <c r="A24" s="635" t="s">
        <v>1118</v>
      </c>
      <c r="B24" s="3307" t="s">
        <v>1160</v>
      </c>
      <c r="C24" s="3316">
        <f ca="1">ROUND(IF('数据-取费表'!B22&lt;=1,C6*F23*'数据-取费表'!B23,C6*(POWER((1+F23),'数据-取费表'!B23)-1)),0)</f>
        <v>172</v>
      </c>
      <c r="D24" s="467"/>
      <c r="E24" s="467"/>
      <c r="F24" s="3317"/>
      <c r="G24" s="469" t="s">
        <v>1161</v>
      </c>
    </row>
    <row r="25" s="411" customFormat="1" ht="13" spans="1:7">
      <c r="A25" s="635" t="s">
        <v>1120</v>
      </c>
      <c r="B25" s="3307" t="s">
        <v>1162</v>
      </c>
      <c r="C25" s="3316">
        <f ca="1">ROUND(IF('数据-取费表'!B22&lt;=1,(C9+C21)*F23*'数据-取费表'!B23/2,(C9+C21)*(POWER((1+F23),'数据-取费表'!B23/2)-1)),0)</f>
        <v>113</v>
      </c>
      <c r="D25" s="467"/>
      <c r="E25" s="467"/>
      <c r="F25" s="3317"/>
      <c r="G25" s="469" t="s">
        <v>1163</v>
      </c>
    </row>
    <row r="26" s="411" customFormat="1" ht="13" spans="1:7">
      <c r="A26" s="635" t="s">
        <v>1164</v>
      </c>
      <c r="B26" s="3307" t="s">
        <v>1165</v>
      </c>
      <c r="C26" s="3318">
        <f ca="1">ROUND(IF('数据-取费表'!B22&lt;=1,F22*F23*'数据-取费表'!B23/2,F22*(POWER((1+F23),'数据-取费表'!B23/2)-1)),4)</f>
        <v>0.0007</v>
      </c>
      <c r="D26" s="467"/>
      <c r="E26" s="470"/>
      <c r="F26" s="3317"/>
      <c r="G26" s="472"/>
    </row>
    <row r="27" s="608" customFormat="1" ht="14" spans="1:7">
      <c r="A27" s="3285" t="s">
        <v>1166</v>
      </c>
      <c r="B27" s="3294" t="s">
        <v>1167</v>
      </c>
      <c r="C27" s="694" t="str">
        <f ca="1">C28&amp;"+"&amp;C29&amp;"V"</f>
        <v>692+0.0024V</v>
      </c>
      <c r="D27" s="690"/>
      <c r="E27" s="691"/>
      <c r="F27" s="3319">
        <f ca="1">IF(B1="",'数据-取费表'!Q16,INDIRECT("'数据-取费表'!q"&amp;$G$1))</f>
        <v>0.08</v>
      </c>
      <c r="G27" s="3313" t="s">
        <v>1168</v>
      </c>
    </row>
    <row r="28" s="411" customFormat="1" ht="13" spans="1:7">
      <c r="A28" s="3298" t="s">
        <v>1118</v>
      </c>
      <c r="B28" s="3307" t="s">
        <v>1169</v>
      </c>
      <c r="C28" s="3320">
        <f ca="1">ROUND(C6*F27*'数据-取费表'!B23/'数据-取费表'!B22+(C9+C21)*F27,0)</f>
        <v>692</v>
      </c>
      <c r="D28" s="460"/>
      <c r="E28" s="461"/>
      <c r="F28" s="3308"/>
      <c r="G28" s="3386" t="s">
        <v>1170</v>
      </c>
    </row>
    <row r="29" s="411" customFormat="1" ht="13" spans="1:7">
      <c r="A29" s="3298" t="s">
        <v>1120</v>
      </c>
      <c r="B29" s="3307" t="s">
        <v>1171</v>
      </c>
      <c r="C29" s="3318">
        <f ca="1">ROUND(F22*F27,4)</f>
        <v>0.0024</v>
      </c>
      <c r="D29" s="460"/>
      <c r="E29" s="461"/>
      <c r="F29" s="3308"/>
      <c r="G29" s="476"/>
    </row>
    <row r="30" s="608" customFormat="1" ht="14" spans="1:7">
      <c r="A30" s="3285" t="s">
        <v>1172</v>
      </c>
      <c r="B30" s="3286" t="s">
        <v>1173</v>
      </c>
      <c r="C30" s="1594">
        <v>0</v>
      </c>
      <c r="D30" s="691"/>
      <c r="E30" s="3321"/>
      <c r="F30" s="3312"/>
      <c r="G30" s="3322" t="s">
        <v>1174</v>
      </c>
    </row>
    <row r="31" s="411" customFormat="1" ht="15.5" spans="1:7">
      <c r="A31" s="3323">
        <v>2</v>
      </c>
      <c r="B31" s="3324" t="s">
        <v>1175</v>
      </c>
      <c r="C31" s="627">
        <f ca="1">C57</f>
        <v>1072</v>
      </c>
      <c r="D31" s="697"/>
      <c r="E31" s="697"/>
      <c r="F31" s="3325">
        <f>IF('数据-取费表'!B24=0,'数据-取费表'!N16,1)</f>
        <v>0.79</v>
      </c>
      <c r="G31" s="699" t="s">
        <v>1176</v>
      </c>
    </row>
    <row r="32" s="411" customFormat="1" ht="15.5" spans="1:7">
      <c r="A32" s="696" t="s">
        <v>1177</v>
      </c>
      <c r="B32" s="626" t="s">
        <v>1178</v>
      </c>
      <c r="C32" s="627">
        <f ca="1">C5-C31</f>
        <v>8889</v>
      </c>
      <c r="D32" s="697"/>
      <c r="E32" s="697"/>
      <c r="F32" s="698"/>
      <c r="G32" s="3326" t="s">
        <v>1179</v>
      </c>
    </row>
    <row r="33" s="411" customFormat="1" ht="16.25" spans="1:7">
      <c r="A33" s="3327">
        <v>4</v>
      </c>
      <c r="B33" s="3328" t="s">
        <v>1180</v>
      </c>
      <c r="C33" s="3329">
        <f ca="1">ROUND(C32*(1+F33),0)</f>
        <v>9689</v>
      </c>
      <c r="D33" s="3330"/>
      <c r="E33" s="3330"/>
      <c r="F33" s="3331">
        <f>IF(G33="其他类型公式—成本价值×（1+9%）",9%,3%)</f>
        <v>0.09</v>
      </c>
      <c r="G33" s="3332" t="s">
        <v>1181</v>
      </c>
    </row>
    <row r="34" s="412" customFormat="1" ht="13"/>
    <row r="35" s="411" customFormat="1" ht="13"/>
    <row r="36" s="411" customFormat="1" ht="13"/>
    <row r="37" s="411" customFormat="1" ht="13"/>
    <row r="38" ht="14.75" spans="1:7">
      <c r="A38" s="3333" t="s">
        <v>1182</v>
      </c>
      <c r="B38" s="3334"/>
      <c r="C38" s="3334"/>
      <c r="D38" s="3334"/>
      <c r="E38" s="3334"/>
      <c r="F38" s="3334"/>
      <c r="G38" s="3335"/>
    </row>
    <row r="39" ht="14.75" spans="1:7">
      <c r="A39" s="3336" t="s">
        <v>991</v>
      </c>
      <c r="B39" s="3337" t="s">
        <v>992</v>
      </c>
      <c r="C39" s="3338" t="s">
        <v>733</v>
      </c>
      <c r="D39" s="3339" t="s">
        <v>1183</v>
      </c>
      <c r="E39" s="3340" t="s">
        <v>1184</v>
      </c>
      <c r="F39" s="3340" t="s">
        <v>1185</v>
      </c>
      <c r="G39" s="3341" t="s">
        <v>1112</v>
      </c>
    </row>
    <row r="40" ht="14" spans="1:7">
      <c r="A40" s="3342" t="s">
        <v>1116</v>
      </c>
      <c r="B40" s="3343" t="s">
        <v>1186</v>
      </c>
      <c r="C40" s="3344">
        <f ca="1">SUM(C41:C46)</f>
        <v>4347</v>
      </c>
      <c r="D40" s="3342"/>
      <c r="E40" s="3342"/>
      <c r="F40" s="3342"/>
      <c r="G40" s="3342"/>
    </row>
    <row r="41" ht="15.5" spans="1:7">
      <c r="A41" s="3345" t="s">
        <v>1118</v>
      </c>
      <c r="B41" s="3346" t="str">
        <f t="shared" ref="B41:C43" si="0">B10</f>
        <v>  建安费用</v>
      </c>
      <c r="C41" s="783">
        <f ca="1" t="shared" si="0"/>
        <v>3847</v>
      </c>
      <c r="D41" s="3347"/>
      <c r="E41" s="3347"/>
      <c r="F41" s="792"/>
      <c r="G41" s="792"/>
    </row>
    <row r="42" ht="15.5" spans="1:7">
      <c r="A42" s="3345" t="s">
        <v>1120</v>
      </c>
      <c r="B42" s="3346" t="str">
        <f t="shared" si="0"/>
        <v>  前期费用</v>
      </c>
      <c r="C42" s="783">
        <f ca="1" t="shared" si="0"/>
        <v>115</v>
      </c>
      <c r="D42" s="3347"/>
      <c r="E42" s="3347"/>
      <c r="F42" s="792"/>
      <c r="G42" s="792"/>
    </row>
    <row r="43" ht="15.5" spans="1:7">
      <c r="A43" s="3345" t="s">
        <v>1128</v>
      </c>
      <c r="B43" s="3348" t="str">
        <f t="shared" si="0"/>
        <v>  公共配套设施费用</v>
      </c>
      <c r="C43" s="783">
        <f ca="1" t="shared" si="0"/>
        <v>0</v>
      </c>
      <c r="D43" s="3347"/>
      <c r="E43" s="3347"/>
      <c r="F43" s="792"/>
      <c r="G43" s="792"/>
    </row>
    <row r="44" ht="15.5" spans="1:7">
      <c r="A44" s="3345" t="s">
        <v>1131</v>
      </c>
      <c r="B44" s="3348" t="str">
        <f>B18</f>
        <v>红线内市政费用</v>
      </c>
      <c r="C44" s="783">
        <f ca="1">C18</f>
        <v>309</v>
      </c>
      <c r="D44" s="3347"/>
      <c r="E44" s="3347"/>
      <c r="F44" s="792"/>
      <c r="G44" s="792"/>
    </row>
    <row r="45" ht="15.5" spans="1:7">
      <c r="A45" s="635" t="s">
        <v>1187</v>
      </c>
      <c r="B45" s="3303" t="str">
        <f>B19</f>
        <v>  其他工程费</v>
      </c>
      <c r="C45" s="798">
        <f ca="1">C19</f>
        <v>38</v>
      </c>
      <c r="D45" s="3349"/>
      <c r="E45" s="3349"/>
      <c r="F45" s="801"/>
      <c r="G45" s="801"/>
    </row>
    <row r="46" ht="15.5" spans="1:7">
      <c r="A46" s="635" t="s">
        <v>1188</v>
      </c>
      <c r="B46" s="3303" t="s">
        <v>764</v>
      </c>
      <c r="C46" s="798">
        <f ca="1">C20</f>
        <v>38</v>
      </c>
      <c r="D46" s="3349"/>
      <c r="E46" s="3349"/>
      <c r="F46" s="801"/>
      <c r="G46" s="801"/>
    </row>
    <row r="47" ht="14" spans="1:7">
      <c r="A47" s="3350" t="s">
        <v>1189</v>
      </c>
      <c r="B47" s="780" t="s">
        <v>1153</v>
      </c>
      <c r="C47" s="3351">
        <f ca="1">ROUND(C40*F47,0)</f>
        <v>130</v>
      </c>
      <c r="D47" s="3352"/>
      <c r="E47" s="3352"/>
      <c r="F47" s="3353">
        <f>F21</f>
        <v>0.03</v>
      </c>
      <c r="G47" s="3354" t="s">
        <v>1190</v>
      </c>
    </row>
    <row r="48" ht="14" spans="1:7">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102+0.0007V建1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102</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358+0.0024V建1</v>
      </c>
      <c r="D52" s="3362"/>
      <c r="E52" s="3352"/>
      <c r="F52" s="3363">
        <f ca="1">F27</f>
        <v>0.08</v>
      </c>
      <c r="G52" s="3364" t="s">
        <v>1195</v>
      </c>
    </row>
    <row r="53" ht="13" spans="1:7">
      <c r="A53" s="3345" t="s">
        <v>1118</v>
      </c>
      <c r="B53" s="3359" t="s">
        <v>1196</v>
      </c>
      <c r="C53" s="783">
        <f ca="1">ROUND((C40+C47)*F27,0)</f>
        <v>358</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5106</v>
      </c>
      <c r="D56" s="691"/>
      <c r="E56" s="691"/>
      <c r="F56" s="3373"/>
      <c r="G56" s="3372" t="s">
        <v>1201</v>
      </c>
    </row>
    <row r="57" ht="14" spans="1:7">
      <c r="A57" s="3285" t="s">
        <v>1202</v>
      </c>
      <c r="B57" s="3374" t="s">
        <v>1175</v>
      </c>
      <c r="C57" s="660">
        <f ca="1">ROUND(C56*(1-F57),0)</f>
        <v>1072</v>
      </c>
      <c r="D57" s="691"/>
      <c r="E57" s="691"/>
      <c r="F57" s="3373">
        <f>F31</f>
        <v>0.79</v>
      </c>
      <c r="G57" s="3372" t="s">
        <v>1203</v>
      </c>
    </row>
    <row r="58" ht="17.5" spans="1:7">
      <c r="A58" s="3285" t="s">
        <v>1204</v>
      </c>
      <c r="B58" s="3370" t="s">
        <v>1205</v>
      </c>
      <c r="C58" s="660">
        <f ca="1">C56-C57</f>
        <v>4034</v>
      </c>
      <c r="D58" s="691"/>
      <c r="E58" s="691"/>
      <c r="F58" s="3373"/>
      <c r="G58" s="3372" t="s">
        <v>1206</v>
      </c>
    </row>
    <row r="59" ht="14" spans="1:7">
      <c r="A59" s="3375" t="s">
        <v>1207</v>
      </c>
      <c r="B59" s="3376" t="s">
        <v>1208</v>
      </c>
      <c r="C59" s="3377">
        <f ca="1">ROUND(C58*(1+F59),0)</f>
        <v>4397</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0.546</v>
      </c>
    </row>
    <row r="64" ht="21" customHeight="1" spans="1:7">
      <c r="B64" s="1292" t="s">
        <v>1212</v>
      </c>
      <c r="C64" s="3384">
        <f ca="1">ROUND(C58/C32,3)</f>
        <v>0.454</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北京市房地产市场价值预评估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3.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1103</v>
      </c>
      <c r="B1" s="611"/>
      <c r="C1" s="3270"/>
      <c r="D1" s="3260" t="s">
        <v>1214</v>
      </c>
      <c r="E1" s="419"/>
      <c r="F1" s="419"/>
      <c r="G1" s="612">
        <f>MATCH(B1,'数据-取费表'!A6:A16,0)+5</f>
        <v>7</v>
      </c>
      <c r="H1" s="3271" t="str">
        <f>IF(ISERROR(FIND("住宅",B1)),"非住宅","住宅")</f>
        <v>非住宅</v>
      </c>
    </row>
    <row r="2" s="409" customFormat="1" ht="15.5" spans="1:10">
      <c r="A2" s="421" t="s">
        <v>1105</v>
      </c>
      <c r="B2" s="3272">
        <f ca="1">ROUND(D3/10000,4)</f>
        <v>4428.8249</v>
      </c>
      <c r="C2" s="420" t="s">
        <v>1106</v>
      </c>
      <c r="D2" s="3262" t="s">
        <v>124</v>
      </c>
      <c r="E2" s="3273">
        <f ca="1">IF(D2="——",0,SUMIF(INDIRECT("'"&amp;G2&amp;"'"&amp;"!A:A"),"承租人权益价值",INDIRECT("'"&amp;G2&amp;"'"&amp;"!c:c")))</f>
        <v>0</v>
      </c>
      <c r="F2" s="727" t="s">
        <v>1106</v>
      </c>
      <c r="G2" s="3264"/>
    </row>
    <row r="3" s="409" customFormat="1" ht="16.25" spans="1:10">
      <c r="A3" s="424" t="s">
        <v>1107</v>
      </c>
      <c r="B3" s="615">
        <f ca="1">ROUND(D3/(IF(B1="",'数据-汇总表'!E3,INDIRECT("'数据-取费表'!k"&amp;$G$1))),0)</f>
        <v>2648</v>
      </c>
      <c r="C3" s="420" t="s">
        <v>1108</v>
      </c>
      <c r="D3" s="420">
        <f ca="1">IF(C1="含税",E2+C33,E2+C32)</f>
        <v>44288249</v>
      </c>
      <c r="E3" s="614"/>
      <c r="F3" s="420"/>
      <c r="G3" s="420"/>
    </row>
    <row r="4" s="409" customFormat="1" ht="16.25" spans="1:10">
      <c r="A4" s="3274" t="s">
        <v>991</v>
      </c>
      <c r="B4" s="3275" t="s">
        <v>992</v>
      </c>
      <c r="C4" s="3276" t="s">
        <v>733</v>
      </c>
      <c r="D4" s="3277" t="s">
        <v>1109</v>
      </c>
      <c r="E4" s="3278" t="s">
        <v>1110</v>
      </c>
      <c r="F4" s="3278" t="s">
        <v>1111</v>
      </c>
      <c r="G4" s="3279" t="s">
        <v>1112</v>
      </c>
    </row>
    <row r="5" s="410" customFormat="1" ht="15.5" spans="1:10">
      <c r="A5" s="3280" t="s">
        <v>1113</v>
      </c>
      <c r="B5" s="3281" t="s">
        <v>1114</v>
      </c>
      <c r="C5" s="3282">
        <f ca="1">ROUND((C6+C9+C21+C24+C25+C28)/(1-F22-C26-C29),0)</f>
        <v>55016364</v>
      </c>
      <c r="D5" s="3283"/>
      <c r="E5" s="3283"/>
      <c r="F5" s="3283"/>
      <c r="G5" s="3284" t="s">
        <v>1115</v>
      </c>
      <c r="J5" s="409"/>
    </row>
    <row r="6" s="608" customFormat="1" ht="15.5" spans="1:10">
      <c r="A6" s="3285" t="s">
        <v>1116</v>
      </c>
      <c r="B6" s="3286" t="s">
        <v>1117</v>
      </c>
      <c r="C6" s="3287">
        <f>C7+C8</f>
        <v>0</v>
      </c>
      <c r="D6" s="3288"/>
      <c r="E6" s="3288"/>
      <c r="F6" s="3288"/>
      <c r="G6" s="3289"/>
      <c r="J6" s="409"/>
    </row>
    <row r="7" s="411" customFormat="1" ht="15.5" spans="1:10">
      <c r="A7" s="3290" t="s">
        <v>1118</v>
      </c>
      <c r="B7" s="3291" t="s">
        <v>1119</v>
      </c>
      <c r="C7" s="656"/>
      <c r="D7" s="3292"/>
      <c r="E7" s="658"/>
      <c r="F7" s="658"/>
      <c r="G7" s="489"/>
      <c r="J7" s="409"/>
    </row>
    <row r="8" s="411" customFormat="1" ht="15.5" spans="1:10">
      <c r="A8" s="3290" t="s">
        <v>1120</v>
      </c>
      <c r="B8" s="3291" t="s">
        <v>1121</v>
      </c>
      <c r="C8" s="650">
        <f>ROUND(C7*F8,0)</f>
        <v>0</v>
      </c>
      <c r="D8" s="478"/>
      <c r="E8" s="658"/>
      <c r="F8" s="653">
        <f>IF(项目基本情况!B8="出让",0,'数据-取费表'!B49+'数据-取费表'!B50)</f>
        <v>0.0305</v>
      </c>
      <c r="G8" s="489"/>
      <c r="J8" s="409"/>
    </row>
    <row r="9" s="608" customFormat="1" ht="15.5" spans="1:10">
      <c r="A9" s="3293" t="s">
        <v>1122</v>
      </c>
      <c r="B9" s="3294" t="s">
        <v>1123</v>
      </c>
      <c r="C9" s="660">
        <f ca="1">C10+C11+C12+C13+C19+C20</f>
        <v>46828962</v>
      </c>
      <c r="D9" s="3295"/>
      <c r="E9" s="3296"/>
      <c r="F9" s="663"/>
      <c r="G9" s="3297"/>
      <c r="J9" s="409"/>
    </row>
    <row r="10" s="411" customFormat="1" ht="15.5" spans="1:10">
      <c r="A10" s="3298" t="s">
        <v>1118</v>
      </c>
      <c r="B10" s="3299" t="s">
        <v>1124</v>
      </c>
      <c r="C10" s="650">
        <f ca="1">ROUND(IF(B1="",SUMPRODUCT('数据-取费表'!K6:K14,'数据-取费表'!L6:L14),INDIRECT("'数据-取费表'!l"&amp;$G$1)*INDIRECT("'数据-取费表'!k"&amp;$G$1)+'数据-取费表'!L14*INDIRECT("'数据-取费表'!S"&amp;$G$1)),0)</f>
        <v>38466373</v>
      </c>
      <c r="D10" s="3292"/>
      <c r="E10" s="478"/>
      <c r="F10" s="3300">
        <f ca="1">IF('数据-取费表'!B24=0,1,IF(B1="",'数据-取费表'!N16,INDIRECT("'数据-取费表'!n"&amp;$G$1)))</f>
        <v>1</v>
      </c>
      <c r="G10" s="489" t="s">
        <v>1125</v>
      </c>
      <c r="J10" s="409"/>
    </row>
    <row r="11" s="411" customFormat="1" ht="15.5" spans="1:10">
      <c r="A11" s="3298" t="s">
        <v>1120</v>
      </c>
      <c r="B11" s="3299" t="s">
        <v>1126</v>
      </c>
      <c r="C11" s="650">
        <f ca="1">ROUND(C10*F11,0)</f>
        <v>1153991</v>
      </c>
      <c r="D11" s="478"/>
      <c r="E11" s="478"/>
      <c r="F11" s="3301">
        <f>'数据-取费表'!B33</f>
        <v>0.03</v>
      </c>
      <c r="G11" s="489" t="s">
        <v>1149</v>
      </c>
      <c r="J11" s="409"/>
    </row>
    <row r="12" s="411" customFormat="1" ht="15.5" spans="1:10">
      <c r="A12" s="3298" t="s">
        <v>1128</v>
      </c>
      <c r="B12" s="3299" t="s">
        <v>1129</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1130</v>
      </c>
      <c r="J12" s="409"/>
    </row>
    <row r="13" s="411" customFormat="1" ht="15.5" spans="1:10">
      <c r="A13" s="3298" t="s">
        <v>1131</v>
      </c>
      <c r="B13" s="3299" t="s">
        <v>1132</v>
      </c>
      <c r="C13" s="650">
        <f ca="1">C14+C17+C18</f>
        <v>6439270</v>
      </c>
      <c r="D13" s="478"/>
      <c r="E13" s="658"/>
      <c r="F13" s="653"/>
      <c r="G13" s="489"/>
      <c r="J13" s="409"/>
    </row>
    <row r="14" s="412" customFormat="1" ht="15.5" spans="1:10">
      <c r="A14" s="671" t="s">
        <v>1133</v>
      </c>
      <c r="B14" s="3303" t="s">
        <v>1134</v>
      </c>
      <c r="C14" s="650">
        <f ca="1">IF(G14="已包含在土地购买价格中","0",IF(B1="",'数据-取费表'!B29,IF(G15="全部缴纳",C15+C16,H15)))</f>
        <v>334</v>
      </c>
      <c r="D14" s="3304"/>
      <c r="E14" s="478"/>
      <c r="F14" s="653"/>
      <c r="G14" s="670"/>
      <c r="J14" s="409"/>
    </row>
    <row r="15" s="411" customFormat="1" ht="15.5" spans="1:10">
      <c r="A15" s="3305" t="s">
        <v>1136</v>
      </c>
      <c r="B15" s="3306" t="s">
        <v>1137</v>
      </c>
      <c r="C15" s="673">
        <f ca="1">ROUND(D15*E15,0)</f>
        <v>0</v>
      </c>
      <c r="D15" s="673">
        <f ca="1">IF(B1="",'数据-汇总表'!E5,IF(INDIRECT("'数据-取费表'!c"&amp;$G$1)="住宅",INDIRECT("'数据-取费表'!k"&amp;$G$1),0))</f>
        <v>0</v>
      </c>
      <c r="E15" s="673">
        <f>'数据-取费表'!B27</f>
        <v>0</v>
      </c>
      <c r="F15" s="653"/>
      <c r="G15" s="675"/>
      <c r="H15" s="676"/>
      <c r="I15" s="677" t="s">
        <v>1138</v>
      </c>
      <c r="J15" s="409"/>
    </row>
    <row r="16" s="411" customFormat="1" ht="15.5" spans="1:10">
      <c r="A16" s="3305" t="s">
        <v>1139</v>
      </c>
      <c r="B16" s="3306" t="s">
        <v>1140</v>
      </c>
      <c r="C16" s="673">
        <f ca="1">ROUND(D16*E16,0)</f>
        <v>3344902</v>
      </c>
      <c r="D16" s="673">
        <f ca="1">IF(B1="",'数据-汇总表'!E6,IF(INDIRECT("'数据-取费表'!c"&amp;$G$1)="住宅",INDIRECT("'数据-取费表'!s"&amp;$G$1),INDIRECT("'数据-取费表'!k"&amp;$G$1)+INDIRECT("'数据-取费表'!s"&amp;$G$1)))</f>
        <v>16724.51</v>
      </c>
      <c r="E16" s="673">
        <f>'数据-取费表'!B28</f>
        <v>200</v>
      </c>
      <c r="F16" s="653"/>
      <c r="G16" s="448"/>
      <c r="J16" s="409"/>
    </row>
    <row r="17" s="411" customFormat="1" ht="15.5" spans="1:10">
      <c r="A17" s="671" t="s">
        <v>1141</v>
      </c>
      <c r="B17" s="3307" t="s">
        <v>1142</v>
      </c>
      <c r="C17" s="650">
        <f ca="1">IF(G17="已包含在土地取得成本中","0",ROUND(D17*E17,0))</f>
        <v>3344902</v>
      </c>
      <c r="D17" s="632">
        <f ca="1">D15+D16</f>
        <v>16724.51</v>
      </c>
      <c r="E17" s="632">
        <f>'数据-取费表'!B31</f>
        <v>200</v>
      </c>
      <c r="F17" s="3308"/>
      <c r="G17" s="670"/>
      <c r="J17" s="409"/>
    </row>
    <row r="18" s="411" customFormat="1" ht="15.5" spans="1:10">
      <c r="A18" s="3309" t="s">
        <v>1144</v>
      </c>
      <c r="B18" s="3307" t="s">
        <v>1145</v>
      </c>
      <c r="C18" s="650">
        <f ca="1">ROUND(E18*D18*F10,0)</f>
        <v>3094034</v>
      </c>
      <c r="D18" s="650">
        <f ca="1">D17</f>
        <v>16724.51</v>
      </c>
      <c r="E18" s="650">
        <f>'数据-取费表'!B35</f>
        <v>185</v>
      </c>
      <c r="F18" s="3301"/>
      <c r="G18" s="489" t="s">
        <v>1146</v>
      </c>
      <c r="J18" s="409"/>
    </row>
    <row r="19" s="411" customFormat="1" ht="15.5" spans="1:10">
      <c r="A19" s="3298" t="s">
        <v>1147</v>
      </c>
      <c r="B19" s="3299" t="s">
        <v>1148</v>
      </c>
      <c r="C19" s="650">
        <f ca="1">ROUND(C10*F19,0)</f>
        <v>384664</v>
      </c>
      <c r="D19" s="478"/>
      <c r="E19" s="478"/>
      <c r="F19" s="3301">
        <f>'数据-取费表'!B36</f>
        <v>0.01</v>
      </c>
      <c r="G19" s="489" t="s">
        <v>1149</v>
      </c>
      <c r="J19" s="409"/>
    </row>
    <row r="20" s="411" customFormat="1" ht="15.5" spans="1:10">
      <c r="A20" s="3298" t="s">
        <v>1150</v>
      </c>
      <c r="B20" s="3299" t="s">
        <v>1151</v>
      </c>
      <c r="C20" s="650">
        <f ca="1">ROUND(C10*F20,0)</f>
        <v>384664</v>
      </c>
      <c r="D20" s="3310"/>
      <c r="E20" s="474"/>
      <c r="F20" s="3301">
        <f>'数据-取费表'!B37</f>
        <v>0.01</v>
      </c>
      <c r="G20" s="489" t="s">
        <v>1149</v>
      </c>
      <c r="J20" s="409"/>
    </row>
    <row r="21" s="608" customFormat="1" ht="15.5" spans="1:10">
      <c r="A21" s="3285" t="s">
        <v>1152</v>
      </c>
      <c r="B21" s="3286" t="s">
        <v>1153</v>
      </c>
      <c r="C21" s="660">
        <f ca="1">ROUND((C6+C9)*F21,0)</f>
        <v>1404869</v>
      </c>
      <c r="D21" s="3311"/>
      <c r="E21" s="3311"/>
      <c r="F21" s="3312">
        <f>'数据-取费表'!B38</f>
        <v>0.03</v>
      </c>
      <c r="G21" s="3313" t="s">
        <v>1154</v>
      </c>
      <c r="J21" s="409"/>
    </row>
    <row r="22" s="608" customFormat="1" ht="15.5" spans="1:10">
      <c r="A22" s="3285" t="s">
        <v>1155</v>
      </c>
      <c r="B22" s="3286" t="s">
        <v>1156</v>
      </c>
      <c r="C22" s="3314" t="str">
        <f>F22&amp;"V"</f>
        <v>0.03V</v>
      </c>
      <c r="D22" s="691"/>
      <c r="E22" s="3311"/>
      <c r="F22" s="3312">
        <f>'数据-取费表'!B39</f>
        <v>0.03</v>
      </c>
      <c r="G22" s="3315" t="s">
        <v>1157</v>
      </c>
      <c r="J22" s="409"/>
    </row>
    <row r="23" s="608" customFormat="1" ht="15.5" spans="1:10">
      <c r="A23" s="3285" t="s">
        <v>1158</v>
      </c>
      <c r="B23" s="3294" t="s">
        <v>1159</v>
      </c>
      <c r="C23" s="689" t="str">
        <f ca="1">SUM(C24:C25)&amp;"+"&amp;C26&amp;"V"</f>
        <v>1102785+0.0007V</v>
      </c>
      <c r="D23" s="690"/>
      <c r="E23" s="691"/>
      <c r="F23" s="3312">
        <f ca="1">'数据-取费表'!B41</f>
        <v>0.0306</v>
      </c>
      <c r="G23" s="3313" t="str">
        <f>IF('数据-取费表'!B22&lt;=1,"单利计息","复利计息")</f>
        <v>复利计息</v>
      </c>
      <c r="J23" s="409"/>
    </row>
    <row r="24" s="411" customFormat="1" ht="15.5" spans="1:10">
      <c r="A24" s="635" t="s">
        <v>1118</v>
      </c>
      <c r="B24" s="3307" t="s">
        <v>1160</v>
      </c>
      <c r="C24" s="3316">
        <f ca="1">ROUND(IF('数据-取费表'!B22&lt;=1,C6*F23*'数据-取费表'!B23,C6*(POWER((1+F23),'数据-取费表'!B23)-1)),0)</f>
        <v>0</v>
      </c>
      <c r="D24" s="467"/>
      <c r="E24" s="467"/>
      <c r="F24" s="3317"/>
      <c r="G24" s="469" t="s">
        <v>1161</v>
      </c>
      <c r="J24" s="409"/>
    </row>
    <row r="25" s="411" customFormat="1" ht="15.5" spans="1:10">
      <c r="A25" s="635" t="s">
        <v>1120</v>
      </c>
      <c r="B25" s="3307" t="s">
        <v>1162</v>
      </c>
      <c r="C25" s="3316">
        <f ca="1">ROUND(IF('数据-取费表'!B22&lt;=1,(C9+C21)*F23*'数据-取费表'!B23/2,(C9+C21)*(POWER((1+F23),'数据-取费表'!B23/2)-1)),0)</f>
        <v>1102785</v>
      </c>
      <c r="D25" s="467"/>
      <c r="E25" s="467"/>
      <c r="F25" s="3317"/>
      <c r="G25" s="469" t="s">
        <v>1163</v>
      </c>
      <c r="J25" s="409"/>
    </row>
    <row r="26" s="411" customFormat="1" ht="15.5" spans="1:10">
      <c r="A26" s="635" t="s">
        <v>1164</v>
      </c>
      <c r="B26" s="3307" t="s">
        <v>1165</v>
      </c>
      <c r="C26" s="3318">
        <f ca="1">ROUND(IF('数据-取费表'!B22&lt;=1,F22*F23*'数据-取费表'!B23/2,F22*(POWER((1+F23),'数据-取费表'!B23/2)-1)),4)</f>
        <v>0.0007</v>
      </c>
      <c r="D26" s="467"/>
      <c r="E26" s="470"/>
      <c r="F26" s="3317"/>
      <c r="G26" s="472"/>
      <c r="J26" s="409"/>
    </row>
    <row r="27" s="608" customFormat="1" ht="15.5" spans="1:10">
      <c r="A27" s="3285" t="s">
        <v>1166</v>
      </c>
      <c r="B27" s="3294" t="s">
        <v>1167</v>
      </c>
      <c r="C27" s="694" t="str">
        <f ca="1">C28&amp;"+"&amp;C29&amp;"V"</f>
        <v>3858706+0.0024V</v>
      </c>
      <c r="D27" s="690"/>
      <c r="E27" s="691"/>
      <c r="F27" s="3319">
        <f ca="1">IF(B1="",'数据-取费表'!Q16,INDIRECT("'数据-取费表'!q"&amp;$G$1))</f>
        <v>0.08</v>
      </c>
      <c r="G27" s="3313" t="s">
        <v>1168</v>
      </c>
      <c r="J27" s="409"/>
    </row>
    <row r="28" s="411" customFormat="1" ht="15.5" spans="1:10">
      <c r="A28" s="3298" t="s">
        <v>1118</v>
      </c>
      <c r="B28" s="3307" t="s">
        <v>1169</v>
      </c>
      <c r="C28" s="3320">
        <f ca="1">ROUND(C6*F27*'数据-取费表'!B23/'数据-取费表'!B22+(C9+C21)*F27,0)</f>
        <v>3858706</v>
      </c>
      <c r="D28" s="460"/>
      <c r="E28" s="461"/>
      <c r="F28" s="3308"/>
      <c r="G28" s="476"/>
      <c r="J28" s="409"/>
    </row>
    <row r="29" s="411" customFormat="1" ht="15.5" spans="1:10">
      <c r="A29" s="3298" t="s">
        <v>1120</v>
      </c>
      <c r="B29" s="3307" t="s">
        <v>1171</v>
      </c>
      <c r="C29" s="3318">
        <f ca="1">ROUND(F22*F27,4)</f>
        <v>0.0024</v>
      </c>
      <c r="D29" s="460"/>
      <c r="E29" s="461"/>
      <c r="F29" s="3308"/>
      <c r="G29" s="476"/>
      <c r="J29" s="409"/>
    </row>
    <row r="30" s="608" customFormat="1" ht="15.5" spans="1:10">
      <c r="A30" s="3285" t="s">
        <v>1172</v>
      </c>
      <c r="B30" s="3286" t="s">
        <v>1173</v>
      </c>
      <c r="C30" s="1594">
        <v>0</v>
      </c>
      <c r="D30" s="691"/>
      <c r="E30" s="3321"/>
      <c r="F30" s="3312"/>
      <c r="G30" s="3322" t="s">
        <v>1174</v>
      </c>
      <c r="J30" s="409"/>
    </row>
    <row r="31" s="411" customFormat="1" ht="15.5" spans="1:10">
      <c r="A31" s="3323">
        <v>2</v>
      </c>
      <c r="B31" s="3324" t="s">
        <v>1175</v>
      </c>
      <c r="C31" s="627">
        <f ca="1">C57</f>
        <v>10728115</v>
      </c>
      <c r="D31" s="697"/>
      <c r="E31" s="697"/>
      <c r="F31" s="3325">
        <f>IF('数据-取费表'!B24=0,'数据-取费表'!N16,1)</f>
        <v>0.79</v>
      </c>
      <c r="G31" s="699" t="s">
        <v>1176</v>
      </c>
      <c r="J31" s="409"/>
    </row>
    <row r="32" s="411" customFormat="1" ht="15.5" spans="1:10">
      <c r="A32" s="696" t="s">
        <v>1177</v>
      </c>
      <c r="B32" s="626" t="s">
        <v>1178</v>
      </c>
      <c r="C32" s="627">
        <f ca="1">C5-C31</f>
        <v>44288249</v>
      </c>
      <c r="D32" s="697"/>
      <c r="E32" s="697"/>
      <c r="F32" s="698"/>
      <c r="G32" s="3326" t="s">
        <v>1179</v>
      </c>
      <c r="J32" s="409"/>
    </row>
    <row r="33" s="411" customFormat="1" ht="16.25" spans="1:10">
      <c r="A33" s="3327">
        <v>4</v>
      </c>
      <c r="B33" s="3328" t="s">
        <v>1180</v>
      </c>
      <c r="C33" s="3329">
        <f ca="1">ROUND(C32*(1+F33),0)</f>
        <v>48274191</v>
      </c>
      <c r="D33" s="3330"/>
      <c r="E33" s="3330"/>
      <c r="F33" s="3331">
        <f>IF(G33="其他类型公式—成本价值×（1+9%）",9%,3%)</f>
        <v>0.09</v>
      </c>
      <c r="G33" s="3332" t="s">
        <v>1181</v>
      </c>
      <c r="J33" s="409"/>
    </row>
    <row r="34" s="412" customFormat="1" ht="15.5" spans="1:10">
      <c r="J34" s="409"/>
    </row>
    <row r="35" s="411" customFormat="1" ht="13"/>
    <row r="36" s="411" customFormat="1" ht="13"/>
    <row r="37" s="411" customFormat="1" ht="13"/>
    <row r="38" ht="14.75" spans="1:10">
      <c r="A38" s="3333" t="s">
        <v>1182</v>
      </c>
      <c r="B38" s="3334"/>
      <c r="C38" s="3334"/>
      <c r="D38" s="3334"/>
      <c r="E38" s="3334"/>
      <c r="F38" s="3334"/>
      <c r="G38" s="3335"/>
    </row>
    <row r="39" ht="14.75" spans="1:10">
      <c r="A39" s="3336" t="s">
        <v>991</v>
      </c>
      <c r="B39" s="3337" t="s">
        <v>992</v>
      </c>
      <c r="C39" s="3338" t="s">
        <v>733</v>
      </c>
      <c r="D39" s="3339" t="s">
        <v>1183</v>
      </c>
      <c r="E39" s="3340" t="s">
        <v>1184</v>
      </c>
      <c r="F39" s="3340" t="s">
        <v>1185</v>
      </c>
      <c r="G39" s="3341" t="s">
        <v>1112</v>
      </c>
    </row>
    <row r="40" ht="14" spans="1:10">
      <c r="A40" s="3342" t="s">
        <v>1116</v>
      </c>
      <c r="B40" s="3343" t="s">
        <v>1186</v>
      </c>
      <c r="C40" s="3344">
        <f ca="1">SUM(C41:C46)</f>
        <v>43483726</v>
      </c>
      <c r="D40" s="3342"/>
      <c r="E40" s="3342"/>
      <c r="F40" s="3342"/>
      <c r="G40" s="3342"/>
    </row>
    <row r="41" ht="15.5" spans="1:10">
      <c r="A41" s="3345" t="s">
        <v>1118</v>
      </c>
      <c r="B41" s="3346" t="str">
        <f t="shared" ref="B41:C43" si="0">B10</f>
        <v>  建安费用</v>
      </c>
      <c r="C41" s="783">
        <f ca="1" t="shared" si="0"/>
        <v>38466373</v>
      </c>
      <c r="D41" s="3347"/>
      <c r="E41" s="3347"/>
      <c r="F41" s="792"/>
      <c r="G41" s="792"/>
    </row>
    <row r="42" ht="15.5" spans="1:10">
      <c r="A42" s="3345" t="s">
        <v>1120</v>
      </c>
      <c r="B42" s="3346" t="str">
        <f t="shared" si="0"/>
        <v>  前期费用</v>
      </c>
      <c r="C42" s="783">
        <f ca="1" t="shared" si="0"/>
        <v>1153991</v>
      </c>
      <c r="D42" s="3347"/>
      <c r="E42" s="3347"/>
      <c r="F42" s="792"/>
      <c r="G42" s="792"/>
    </row>
    <row r="43" ht="15.5" spans="1:10">
      <c r="A43" s="3345" t="s">
        <v>1128</v>
      </c>
      <c r="B43" s="3348" t="str">
        <f t="shared" si="0"/>
        <v>  公共配套设施费用</v>
      </c>
      <c r="C43" s="783">
        <f ca="1" t="shared" si="0"/>
        <v>0</v>
      </c>
      <c r="D43" s="3347"/>
      <c r="E43" s="3347"/>
      <c r="F43" s="792"/>
      <c r="G43" s="792"/>
    </row>
    <row r="44" ht="15.5" spans="1:10">
      <c r="A44" s="3345" t="s">
        <v>1131</v>
      </c>
      <c r="B44" s="3348" t="str">
        <f>B18</f>
        <v>红线内市政费用</v>
      </c>
      <c r="C44" s="783">
        <f ca="1">C18</f>
        <v>3094034</v>
      </c>
      <c r="D44" s="3347"/>
      <c r="E44" s="3347"/>
      <c r="F44" s="792"/>
      <c r="G44" s="792"/>
    </row>
    <row r="45" ht="15.5" spans="1:10">
      <c r="A45" s="635" t="s">
        <v>1187</v>
      </c>
      <c r="B45" s="3303" t="str">
        <f>B19</f>
        <v>  其他工程费</v>
      </c>
      <c r="C45" s="798">
        <f ca="1">C19</f>
        <v>384664</v>
      </c>
      <c r="D45" s="3349"/>
      <c r="E45" s="3349"/>
      <c r="F45" s="801"/>
      <c r="G45" s="801"/>
    </row>
    <row r="46" ht="15.5" spans="1:10">
      <c r="A46" s="635" t="s">
        <v>1188</v>
      </c>
      <c r="B46" s="3303" t="s">
        <v>764</v>
      </c>
      <c r="C46" s="798">
        <f ca="1">C20</f>
        <v>384664</v>
      </c>
      <c r="D46" s="3349"/>
      <c r="E46" s="3349"/>
      <c r="F46" s="801"/>
      <c r="G46" s="801"/>
    </row>
    <row r="47" ht="14" spans="1:10">
      <c r="A47" s="3350" t="s">
        <v>1189</v>
      </c>
      <c r="B47" s="780" t="s">
        <v>1153</v>
      </c>
      <c r="C47" s="3351">
        <f ca="1">ROUND(C40*F47,0)</f>
        <v>1304512</v>
      </c>
      <c r="D47" s="3352"/>
      <c r="E47" s="3352"/>
      <c r="F47" s="3353">
        <f>F21</f>
        <v>0.03</v>
      </c>
      <c r="G47" s="3354" t="s">
        <v>1190</v>
      </c>
    </row>
    <row r="48" ht="14" spans="1:10">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1024008+0.0007V建1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1024008</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3583059+0.0024V建1</v>
      </c>
      <c r="D52" s="3362"/>
      <c r="E52" s="3352"/>
      <c r="F52" s="3363">
        <f ca="1">F27</f>
        <v>0.08</v>
      </c>
      <c r="G52" s="3364" t="s">
        <v>1195</v>
      </c>
    </row>
    <row r="53" ht="13" spans="1:7">
      <c r="A53" s="3345" t="s">
        <v>1118</v>
      </c>
      <c r="B53" s="3359" t="s">
        <v>1196</v>
      </c>
      <c r="C53" s="783">
        <f ca="1">ROUND((C40+C47)*F27,0)</f>
        <v>3583059</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51086260</v>
      </c>
      <c r="D56" s="691"/>
      <c r="E56" s="691"/>
      <c r="F56" s="3373"/>
      <c r="G56" s="3372" t="s">
        <v>1201</v>
      </c>
    </row>
    <row r="57" ht="14" spans="1:7">
      <c r="A57" s="3285" t="s">
        <v>1202</v>
      </c>
      <c r="B57" s="3374" t="s">
        <v>1175</v>
      </c>
      <c r="C57" s="660">
        <f ca="1">ROUND(C56*(1-F57),0)</f>
        <v>10728115</v>
      </c>
      <c r="D57" s="691"/>
      <c r="E57" s="691"/>
      <c r="F57" s="3373">
        <f>F31</f>
        <v>0.79</v>
      </c>
      <c r="G57" s="3372" t="s">
        <v>1203</v>
      </c>
    </row>
    <row r="58" ht="17.5" spans="1:7">
      <c r="A58" s="3285" t="s">
        <v>1204</v>
      </c>
      <c r="B58" s="3370" t="s">
        <v>1205</v>
      </c>
      <c r="C58" s="660">
        <f ca="1">C56-C57</f>
        <v>40358145</v>
      </c>
      <c r="D58" s="691"/>
      <c r="E58" s="691"/>
      <c r="F58" s="3373"/>
      <c r="G58" s="3372" t="s">
        <v>1206</v>
      </c>
    </row>
    <row r="59" ht="14" spans="1:7">
      <c r="A59" s="3375" t="s">
        <v>1207</v>
      </c>
      <c r="B59" s="3376" t="s">
        <v>1208</v>
      </c>
      <c r="C59" s="3377">
        <f ca="1">ROUND(C58*(1+F59),0)</f>
        <v>43990378</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0.089</v>
      </c>
    </row>
    <row r="64" ht="21" customHeight="1" spans="1:7">
      <c r="B64" s="1292" t="s">
        <v>1212</v>
      </c>
      <c r="C64" s="3384">
        <f ca="1">ROUND(C58/C32,3)</f>
        <v>0.911</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259"/>
      <c r="C1" s="3260" t="s">
        <v>1214</v>
      </c>
      <c r="D1" s="419"/>
      <c r="E1" s="419"/>
      <c r="F1" s="419"/>
      <c r="G1" s="612">
        <f>MATCH(B1,'数据-取费表'!A6:A16,0)+5</f>
        <v>7</v>
      </c>
      <c r="H1" s="2280" t="str">
        <f>IF(ISERROR(FIND("住宅",B1)),"非住宅","住宅")</f>
        <v>非住宅</v>
      </c>
    </row>
    <row r="2" s="409" customFormat="1" ht="18" customHeight="1" spans="1:8">
      <c r="A2" s="421" t="s">
        <v>1105</v>
      </c>
      <c r="B2" s="3261">
        <f ca="1">ROUND(IF(D2="——",C52/10000,C52/10000-E2),4)</f>
        <v>7280.4111</v>
      </c>
      <c r="C2" s="420" t="s">
        <v>1106</v>
      </c>
      <c r="D2" s="3262" t="s">
        <v>124</v>
      </c>
      <c r="E2" s="3263" t="e">
        <f ca="1">SUMIF(INDIRECT("'"&amp;G2&amp;"'"&amp;"!A:A"),"承租人权益价值",INDIRECT("'"&amp;G2&amp;"'"&amp;"!c:c"))</f>
        <v>#REF!</v>
      </c>
      <c r="F2" s="727" t="s">
        <v>1106</v>
      </c>
      <c r="G2" s="3264"/>
    </row>
    <row r="3" s="409" customFormat="1" ht="18" customHeight="1" spans="1:8">
      <c r="A3" s="424" t="s">
        <v>1107</v>
      </c>
      <c r="B3" s="425">
        <f ca="1">ROUND(B2*10000/(IF(B1="",'数据-汇总表'!E3,INDIRECT("'数据-取费表'!k"&amp;$G$1))),0)</f>
        <v>4353</v>
      </c>
      <c r="C3" s="420" t="s">
        <v>1108</v>
      </c>
      <c r="D3" s="420"/>
      <c r="E3" s="420"/>
      <c r="F3" s="420"/>
      <c r="G3" s="420"/>
    </row>
    <row r="4" s="410" customFormat="1" ht="15.5" spans="1:8">
      <c r="A4" s="426" t="s">
        <v>1215</v>
      </c>
      <c r="B4" s="427"/>
      <c r="C4" s="427"/>
      <c r="D4" s="427"/>
      <c r="E4" s="427"/>
      <c r="F4" s="427"/>
      <c r="G4" s="428"/>
    </row>
    <row r="5" s="411" customFormat="1" ht="13.5" customHeight="1" spans="1:8">
      <c r="A5" s="429" t="s">
        <v>1216</v>
      </c>
      <c r="B5" s="430" t="s">
        <v>1217</v>
      </c>
      <c r="C5" s="431">
        <f ca="1">C6+C7+C8</f>
        <v>23975512</v>
      </c>
      <c r="D5" s="431" t="s">
        <v>1218</v>
      </c>
      <c r="E5" s="432" t="s">
        <v>1219</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1220</v>
      </c>
      <c r="C8" s="440">
        <f ca="1">IF(G8="已包含在土地购买价格中",0,C9+C10)</f>
        <v>3344902</v>
      </c>
      <c r="D8" s="442"/>
      <c r="E8" s="440"/>
      <c r="F8" s="441"/>
      <c r="G8" s="670"/>
    </row>
    <row r="9" s="411" customFormat="1" ht="13.5" customHeight="1" spans="1:8">
      <c r="A9" s="444" t="s">
        <v>1136</v>
      </c>
      <c r="B9" s="445" t="s">
        <v>1137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1139</v>
      </c>
      <c r="B10" s="445" t="s">
        <v>1140</v>
      </c>
      <c r="C10" s="446">
        <f ca="1">ROUND(D10*E10,0)</f>
        <v>3344902</v>
      </c>
      <c r="D10" s="447">
        <f ca="1">IF(B1="",'数据-汇总表'!E6,IF(INDIRECT("'数据-取费表'!c"&amp;$G$1)="住宅",INDIRECT("'数据-取费表'!s"&amp;$G$1),INDIRECT("'数据-取费表'!k"&amp;$G$1)+INDIRECT("'数据-取费表'!s"&amp;$G$1)))</f>
        <v>16724.51</v>
      </c>
      <c r="E10" s="446">
        <f>'数据-取费表'!B28</f>
        <v>200</v>
      </c>
      <c r="F10" s="441"/>
      <c r="G10" s="448"/>
    </row>
    <row r="11" s="411" customFormat="1" ht="13.5" customHeight="1" spans="1:8">
      <c r="A11" s="449" t="s">
        <v>1221</v>
      </c>
      <c r="B11" s="435" t="s">
        <v>1222</v>
      </c>
      <c r="C11" s="431"/>
      <c r="D11" s="450"/>
      <c r="E11" s="438"/>
      <c r="F11" s="438"/>
      <c r="G11" s="439"/>
    </row>
    <row r="12" s="411" customFormat="1" ht="13.5" customHeight="1" spans="1:8">
      <c r="A12" s="449" t="s">
        <v>1223</v>
      </c>
      <c r="B12" s="435" t="s">
        <v>1038</v>
      </c>
      <c r="C12" s="431">
        <v>0</v>
      </c>
      <c r="D12" s="450"/>
      <c r="E12" s="451"/>
      <c r="F12" s="441">
        <v>0.0305</v>
      </c>
      <c r="G12" s="439"/>
    </row>
    <row r="13" s="411" customFormat="1" ht="13.5" customHeight="1" spans="1:8">
      <c r="A13" s="449" t="s">
        <v>1224</v>
      </c>
      <c r="B13" s="435" t="s">
        <v>1225</v>
      </c>
      <c r="C13" s="431"/>
      <c r="D13" s="450"/>
      <c r="E13" s="438"/>
      <c r="F13" s="438"/>
      <c r="G13" s="439"/>
    </row>
    <row r="14" s="411" customFormat="1" ht="13.5" customHeight="1" spans="1:8">
      <c r="A14" s="449" t="s">
        <v>1226</v>
      </c>
      <c r="B14" s="435" t="s">
        <v>1220</v>
      </c>
      <c r="C14" s="431"/>
      <c r="D14" s="450"/>
      <c r="E14" s="438"/>
      <c r="F14" s="438"/>
      <c r="G14" s="439" t="s">
        <v>1227</v>
      </c>
    </row>
    <row r="15" s="411" customFormat="1" ht="13.5" customHeight="1" spans="1:8">
      <c r="A15" s="449" t="s">
        <v>1228</v>
      </c>
      <c r="B15" s="435" t="s">
        <v>1229</v>
      </c>
      <c r="C15" s="440"/>
      <c r="D15" s="450"/>
      <c r="E15" s="438"/>
      <c r="F15" s="438"/>
      <c r="G15" s="439" t="s">
        <v>1230</v>
      </c>
    </row>
    <row r="16" s="411" customFormat="1" ht="13.5" customHeight="1" spans="1:8">
      <c r="A16" s="449" t="s">
        <v>1231</v>
      </c>
      <c r="B16" s="435" t="s">
        <v>1220</v>
      </c>
      <c r="C16" s="440"/>
      <c r="D16" s="450"/>
      <c r="E16" s="438"/>
      <c r="F16" s="438"/>
      <c r="G16" s="439"/>
    </row>
    <row r="17" s="411" customFormat="1" ht="13.5" customHeight="1" spans="1:7">
      <c r="A17" s="449" t="s">
        <v>1232</v>
      </c>
      <c r="B17" s="435" t="s">
        <v>1233</v>
      </c>
      <c r="C17" s="452"/>
      <c r="D17" s="453"/>
      <c r="E17" s="452"/>
      <c r="F17" s="452"/>
      <c r="G17" s="439" t="s">
        <v>1230</v>
      </c>
    </row>
    <row r="18" s="411" customFormat="1" ht="13.5" customHeight="1" spans="1:7">
      <c r="A18" s="449" t="s">
        <v>1234</v>
      </c>
      <c r="B18" s="435" t="s">
        <v>1235</v>
      </c>
      <c r="C18" s="440">
        <v>0</v>
      </c>
      <c r="D18" s="450"/>
      <c r="E18" s="438"/>
      <c r="F18" s="441">
        <v>0.0305</v>
      </c>
      <c r="G18" s="439" t="s">
        <v>1236</v>
      </c>
    </row>
    <row r="19" s="412" customFormat="1" ht="13.5" customHeight="1" spans="1:7">
      <c r="A19" s="429" t="s">
        <v>1237</v>
      </c>
      <c r="B19" s="430" t="s">
        <v>1238</v>
      </c>
      <c r="C19" s="431">
        <f ca="1">IF(G19="已包含在土地取得成本中","0",ROUND(D19*E19,0))</f>
        <v>3344902</v>
      </c>
      <c r="D19" s="455">
        <f ca="1">D9+D10</f>
        <v>16724.51</v>
      </c>
      <c r="E19" s="431">
        <f>'数据-取费表'!B31</f>
        <v>200</v>
      </c>
      <c r="F19" s="456"/>
      <c r="G19" s="670"/>
    </row>
    <row r="20" s="411" customFormat="1" ht="13.5" customHeight="1" spans="1:7">
      <c r="A20" s="429" t="s">
        <v>1239</v>
      </c>
      <c r="B20" s="430" t="s">
        <v>1240</v>
      </c>
      <c r="C20" s="457">
        <f ca="1">ROUND((C5+C19)*F20,0)</f>
        <v>819612</v>
      </c>
      <c r="D20" s="457"/>
      <c r="E20" s="457"/>
      <c r="F20" s="458">
        <f>'数据-取费表'!B38</f>
        <v>0.03</v>
      </c>
      <c r="G20" s="462" t="s">
        <v>1241</v>
      </c>
    </row>
    <row r="21" s="411" customFormat="1" ht="13.5" customHeight="1" spans="1:7">
      <c r="A21" s="429" t="s">
        <v>1242</v>
      </c>
      <c r="B21" s="430" t="s">
        <v>1243</v>
      </c>
      <c r="C21" s="460">
        <f>F21</f>
        <v>0.03</v>
      </c>
      <c r="D21" s="461" t="s">
        <v>1244</v>
      </c>
      <c r="E21" s="457"/>
      <c r="F21" s="458">
        <f>'数据-取费表'!B39</f>
        <v>0.03</v>
      </c>
      <c r="G21" s="462" t="s">
        <v>1245</v>
      </c>
    </row>
    <row r="22" s="411" customFormat="1" ht="13.5" customHeight="1" spans="1:7">
      <c r="A22" s="429" t="s">
        <v>1246</v>
      </c>
      <c r="B22" s="430" t="s">
        <v>1247</v>
      </c>
      <c r="C22" s="3265">
        <f ca="1">ROUND(SUM(C23:C25),0)</f>
        <v>1282291</v>
      </c>
      <c r="D22" s="460">
        <f ca="1">C26</f>
        <v>0.0007</v>
      </c>
      <c r="E22" s="461" t="s">
        <v>1244</v>
      </c>
      <c r="F22" s="464">
        <f ca="1">'数据-取费表'!B41</f>
        <v>0.0306</v>
      </c>
      <c r="G22" s="462" t="str">
        <f>IF('数据-取费表'!B22&lt;=1,"单利计息","复利计息")</f>
        <v>复利计息</v>
      </c>
    </row>
    <row r="23" s="411" customFormat="1" ht="13.5" customHeight="1" spans="1:7">
      <c r="A23" s="465" t="s">
        <v>1118</v>
      </c>
      <c r="B23" s="435" t="s">
        <v>1160</v>
      </c>
      <c r="C23" s="3266">
        <f ca="1">ROUND(IF('数据-取费表'!B22&lt;=1,C5*F22*'数据-取费表'!B22,C5*(POWER((1+F22),'数据-取费表'!B22)-1)),0)</f>
        <v>1108852</v>
      </c>
      <c r="D23" s="467"/>
      <c r="E23" s="467"/>
      <c r="F23" s="468"/>
      <c r="G23" s="469" t="s">
        <v>1161</v>
      </c>
    </row>
    <row r="24" s="411" customFormat="1" ht="13.5" customHeight="1" spans="1:7">
      <c r="A24" s="465" t="s">
        <v>1120</v>
      </c>
      <c r="B24" s="435" t="s">
        <v>1248</v>
      </c>
      <c r="C24" s="3266">
        <f ca="1">ROUND(IF('数据-取费表'!B22&lt;=1,C19*F22*('数据-取费表'!B19/2+'数据-取费表'!B20),C19*(POWER((1+F22),('数据-取费表'!B19/2+'数据-取费表'!B20))-1)),0)</f>
        <v>154700</v>
      </c>
      <c r="D24" s="467"/>
      <c r="E24" s="467"/>
      <c r="F24" s="468"/>
      <c r="G24" s="469" t="s">
        <v>1163</v>
      </c>
    </row>
    <row r="25" s="411" customFormat="1" ht="26" spans="1:7">
      <c r="A25" s="465" t="s">
        <v>1128</v>
      </c>
      <c r="B25" s="435" t="s">
        <v>1249</v>
      </c>
      <c r="C25" s="3266">
        <f ca="1">ROUND(IF('数据-取费表'!B22&lt;=1,C20*F22*'数据-取费表'!B22/2,C20*(POWER((1+F22),'数据-取费表'!B22/2)-1)),0)</f>
        <v>18739</v>
      </c>
      <c r="D25" s="467"/>
      <c r="E25" s="470"/>
      <c r="F25" s="468"/>
      <c r="G25" s="471" t="s">
        <v>1250</v>
      </c>
    </row>
    <row r="26" s="411" customFormat="1" ht="13" spans="1:7">
      <c r="A26" s="465" t="s">
        <v>1164</v>
      </c>
      <c r="B26" s="435" t="s">
        <v>1165</v>
      </c>
      <c r="C26" s="467">
        <f ca="1">ROUND(IF('数据-取费表'!B22&lt;=1,F21*F22*'数据-取费表'!B22/2,F21*(POWER((1+F22),'数据-取费表'!B22/2)-1)),4)</f>
        <v>0.0007</v>
      </c>
      <c r="D26" s="467"/>
      <c r="E26" s="470"/>
      <c r="F26" s="468"/>
      <c r="G26" s="472"/>
    </row>
    <row r="27" s="411" customFormat="1" ht="26" spans="1:7">
      <c r="A27" s="429" t="s">
        <v>1251</v>
      </c>
      <c r="B27" s="473" t="s">
        <v>1252</v>
      </c>
      <c r="C27" s="474">
        <f ca="1">C28</f>
        <v>2251202</v>
      </c>
      <c r="D27" s="460">
        <f ca="1">C29</f>
        <v>0.0024</v>
      </c>
      <c r="E27" s="461" t="s">
        <v>1244</v>
      </c>
      <c r="F27" s="475">
        <f ca="1">IF(B1="",'数据-取费表'!Q16,INDIRECT("'数据-取费表'!q"&amp;$G$1))</f>
        <v>0.08</v>
      </c>
      <c r="G27" s="476" t="s">
        <v>1253</v>
      </c>
    </row>
    <row r="28" s="411" customFormat="1" ht="13.5" customHeight="1" spans="1:7">
      <c r="A28" s="465" t="s">
        <v>1118</v>
      </c>
      <c r="B28" s="477" t="s">
        <v>1169</v>
      </c>
      <c r="C28" s="478">
        <f ca="1">ROUND((C5+C19+C20)*F27,0)</f>
        <v>2251202</v>
      </c>
      <c r="D28" s="460"/>
      <c r="E28" s="461"/>
      <c r="F28" s="475"/>
      <c r="G28" s="476"/>
    </row>
    <row r="29" s="411" customFormat="1" ht="13.5" customHeight="1" spans="1:7">
      <c r="A29" s="465" t="s">
        <v>1120</v>
      </c>
      <c r="B29" s="477" t="s">
        <v>1171</v>
      </c>
      <c r="C29" s="467">
        <f ca="1">ROUND(C21*F27,4)</f>
        <v>0.0024</v>
      </c>
      <c r="D29" s="460"/>
      <c r="E29" s="461"/>
      <c r="F29" s="475"/>
      <c r="G29" s="476"/>
    </row>
    <row r="30" s="411" customFormat="1" ht="13.5" customHeight="1" spans="1:7">
      <c r="A30" s="429" t="s">
        <v>1254</v>
      </c>
      <c r="B30" s="430" t="s">
        <v>1255</v>
      </c>
      <c r="C30" s="460">
        <f>ROUND(F30/(1+'数据-取费表'!C43),4)</f>
        <v>0.0006</v>
      </c>
      <c r="D30" s="461" t="s">
        <v>1244</v>
      </c>
      <c r="E30" s="470"/>
      <c r="F30" s="3267">
        <v>0.00056</v>
      </c>
      <c r="G30" s="462" t="s">
        <v>1256</v>
      </c>
    </row>
    <row r="31" ht="16.5" customHeight="1" spans="1:7">
      <c r="A31" s="479">
        <v>1</v>
      </c>
      <c r="B31" s="430" t="s">
        <v>1257</v>
      </c>
      <c r="C31" s="431">
        <f ca="1">ROUND((C5+C19+C20+C22+C27)/(1-C21-D22-D27-C30),0)</f>
        <v>32778142</v>
      </c>
      <c r="D31" s="480"/>
      <c r="E31" s="431"/>
      <c r="F31" s="481"/>
      <c r="G31" s="462" t="s">
        <v>1258</v>
      </c>
    </row>
    <row r="32" s="410" customFormat="1" ht="15.5" spans="1:7">
      <c r="A32" s="482" t="s">
        <v>1259</v>
      </c>
      <c r="B32" s="483"/>
      <c r="C32" s="483"/>
      <c r="D32" s="483"/>
      <c r="E32" s="483"/>
      <c r="F32" s="483"/>
      <c r="G32" s="484"/>
    </row>
    <row r="33" s="411" customFormat="1" ht="13.5" customHeight="1" spans="1:7">
      <c r="A33" s="429" t="s">
        <v>1216</v>
      </c>
      <c r="B33" s="430" t="s">
        <v>1260</v>
      </c>
      <c r="C33" s="485">
        <f ca="1">SUM(C34:C38)</f>
        <v>43099062</v>
      </c>
      <c r="D33" s="457"/>
      <c r="E33" s="432"/>
      <c r="F33" s="470"/>
      <c r="G33" s="462"/>
    </row>
    <row r="34" s="413" customFormat="1" ht="13.5" customHeight="1" spans="1:7">
      <c r="A34" s="465" t="s">
        <v>1118</v>
      </c>
      <c r="B34" s="435" t="s">
        <v>1261</v>
      </c>
      <c r="C34" s="440">
        <f ca="1">ROUND(IF(B1="",SUMPRODUCT('数据-取费表'!K6:K14,'数据-取费表'!L6:L14),INDIRECT("'数据-取费表'!l"&amp;$G$1)*INDIRECT("'数据-取费表'!k"&amp;$G$1)+'数据-取费表'!L14*INDIRECT("'数据-取费表'!S"&amp;$G$1)),0)</f>
        <v>38466373</v>
      </c>
      <c r="D34" s="437"/>
      <c r="E34" s="440"/>
      <c r="F34" s="486"/>
      <c r="G34" s="439"/>
    </row>
    <row r="35" ht="13.5" customHeight="1" spans="1:7">
      <c r="A35" s="465" t="s">
        <v>1120</v>
      </c>
      <c r="B35" s="435" t="s">
        <v>1262</v>
      </c>
      <c r="C35" s="440">
        <f ca="1">ROUND(C34*F35,0)</f>
        <v>1153991</v>
      </c>
      <c r="D35" s="440"/>
      <c r="E35" s="440"/>
      <c r="F35" s="487">
        <f>'数据-取费表'!B33</f>
        <v>0.03</v>
      </c>
      <c r="G35" s="439" t="s">
        <v>1149</v>
      </c>
    </row>
    <row r="36" ht="26" spans="1:7">
      <c r="A36" s="465" t="s">
        <v>1128</v>
      </c>
      <c r="B36" s="435" t="s">
        <v>1263</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1164</v>
      </c>
      <c r="B37" s="435" t="s">
        <v>1145</v>
      </c>
      <c r="C37" s="478">
        <f ca="1">ROUND(E37*D37,0)</f>
        <v>3094034</v>
      </c>
      <c r="D37" s="437">
        <f ca="1">D19</f>
        <v>16724.51</v>
      </c>
      <c r="E37" s="478">
        <f>'数据-取费表'!B35</f>
        <v>185</v>
      </c>
      <c r="F37" s="487"/>
      <c r="G37" s="489"/>
    </row>
    <row r="38" ht="13.5" customHeight="1" spans="1:7">
      <c r="A38" s="465" t="s">
        <v>1147</v>
      </c>
      <c r="B38" s="435" t="s">
        <v>1038</v>
      </c>
      <c r="C38" s="440">
        <f ca="1">ROUND(C34*F38,0)</f>
        <v>384664</v>
      </c>
      <c r="D38" s="440"/>
      <c r="E38" s="440"/>
      <c r="F38" s="487">
        <f>'数据-取费表'!B36</f>
        <v>0.01</v>
      </c>
      <c r="G38" s="439" t="s">
        <v>1149</v>
      </c>
    </row>
    <row r="39" s="411" customFormat="1" ht="13.5" customHeight="1" spans="1:7">
      <c r="A39" s="429" t="s">
        <v>1237</v>
      </c>
      <c r="B39" s="430" t="s">
        <v>1240</v>
      </c>
      <c r="C39" s="457">
        <f ca="1">ROUND(C33*F20,0)</f>
        <v>1292972</v>
      </c>
      <c r="D39" s="457"/>
      <c r="E39" s="457"/>
      <c r="F39" s="458">
        <f>F20</f>
        <v>0.03</v>
      </c>
      <c r="G39" s="462" t="s">
        <v>1264</v>
      </c>
    </row>
    <row r="40" s="411" customFormat="1" ht="13.5" customHeight="1" spans="1:7">
      <c r="A40" s="429" t="s">
        <v>1239</v>
      </c>
      <c r="B40" s="430" t="s">
        <v>1243</v>
      </c>
      <c r="C40" s="3268">
        <f>F21</f>
        <v>0.03</v>
      </c>
      <c r="D40" s="461" t="s">
        <v>1265</v>
      </c>
      <c r="E40" s="457"/>
      <c r="F40" s="458">
        <f>F21</f>
        <v>0.03</v>
      </c>
      <c r="G40" s="462" t="s">
        <v>1266</v>
      </c>
    </row>
    <row r="41" s="411" customFormat="1" ht="13.5" customHeight="1" spans="1:7">
      <c r="A41" s="429" t="s">
        <v>1242</v>
      </c>
      <c r="B41" s="430" t="s">
        <v>1247</v>
      </c>
      <c r="C41" s="457">
        <f ca="1">ROUND(SUM(C42:C43),0)</f>
        <v>1014949</v>
      </c>
      <c r="D41" s="460">
        <f ca="1">C44</f>
        <v>0.0007</v>
      </c>
      <c r="E41" s="461" t="s">
        <v>1265</v>
      </c>
      <c r="F41" s="464">
        <f ca="1">F22</f>
        <v>0.0306</v>
      </c>
      <c r="G41" s="462" t="str">
        <f>IF('数据-取费表'!B22&lt;=1,"单利计息","复利计息")</f>
        <v>复利计息</v>
      </c>
    </row>
    <row r="42" ht="13.5" customHeight="1" spans="1:7">
      <c r="A42" s="465" t="s">
        <v>1118</v>
      </c>
      <c r="B42" s="435" t="s">
        <v>1160</v>
      </c>
      <c r="C42" s="467">
        <f ca="1">ROUND(IF('数据-取费表'!B22&lt;=1,C33*F22*'数据-取费表'!B20/2,C33*(POWER((1+F22),'数据-取费表'!B20/2)-1)),0)</f>
        <v>985387</v>
      </c>
      <c r="D42" s="467"/>
      <c r="E42" s="467"/>
      <c r="F42" s="468"/>
      <c r="G42" s="491" t="s">
        <v>1267</v>
      </c>
    </row>
    <row r="43" ht="13.5" customHeight="1" spans="1:7">
      <c r="A43" s="465" t="s">
        <v>1120</v>
      </c>
      <c r="B43" s="435" t="s">
        <v>1248</v>
      </c>
      <c r="C43" s="467">
        <f ca="1">ROUND(IF('数据-取费表'!B22&lt;=1,C39*F22*'数据-取费表'!B20/2,C39*(POWER((1+F22),'数据-取费表'!B20/2)-1)),0)</f>
        <v>29562</v>
      </c>
      <c r="D43" s="467"/>
      <c r="E43" s="467"/>
      <c r="F43" s="468"/>
      <c r="G43" s="492"/>
    </row>
    <row r="44" ht="13.5" customHeight="1" spans="1:7">
      <c r="A44" s="465" t="s">
        <v>1128</v>
      </c>
      <c r="B44" s="435" t="s">
        <v>1249</v>
      </c>
      <c r="C44" s="467">
        <f ca="1">ROUND(IF('数据-取费表'!B22&lt;=1,C40*F22*'数据-取费表'!B20/2,C40*(POWER((1+F22),'数据-取费表'!B20/2)-1)),4)</f>
        <v>0.0007</v>
      </c>
      <c r="D44" s="467"/>
      <c r="E44" s="467"/>
      <c r="F44" s="468"/>
      <c r="G44" s="493"/>
    </row>
    <row r="45" s="411" customFormat="1" ht="13.5" customHeight="1" spans="1:7">
      <c r="A45" s="429" t="s">
        <v>1246</v>
      </c>
      <c r="B45" s="473" t="s">
        <v>1252</v>
      </c>
      <c r="C45" s="474">
        <f ca="1">C46</f>
        <v>3551363</v>
      </c>
      <c r="D45" s="460">
        <f ca="1">C47</f>
        <v>0.0024</v>
      </c>
      <c r="E45" s="461" t="s">
        <v>1265</v>
      </c>
      <c r="F45" s="475">
        <f ca="1">F27</f>
        <v>0.08</v>
      </c>
      <c r="G45" s="476" t="s">
        <v>1268</v>
      </c>
    </row>
    <row r="46" s="411" customFormat="1" ht="13.5" customHeight="1" spans="1:7">
      <c r="A46" s="465" t="s">
        <v>1118</v>
      </c>
      <c r="B46" s="477" t="s">
        <v>1196</v>
      </c>
      <c r="C46" s="478">
        <f ca="1">ROUND((C33+C39)*F27,0)</f>
        <v>3551363</v>
      </c>
      <c r="D46" s="494"/>
      <c r="E46" s="461"/>
      <c r="F46" s="475"/>
      <c r="G46" s="476"/>
    </row>
    <row r="47" s="411" customFormat="1" ht="13.5" customHeight="1" spans="1:7">
      <c r="A47" s="465" t="s">
        <v>1120</v>
      </c>
      <c r="B47" s="477" t="s">
        <v>1197</v>
      </c>
      <c r="C47" s="467">
        <f ca="1">ROUND(C40*F27,4)</f>
        <v>0.0024</v>
      </c>
      <c r="D47" s="494"/>
      <c r="E47" s="461"/>
      <c r="F47" s="475"/>
      <c r="G47" s="476"/>
    </row>
    <row r="48" s="411" customFormat="1" ht="13.5" customHeight="1" spans="1:7">
      <c r="A48" s="429" t="s">
        <v>1251</v>
      </c>
      <c r="B48" s="430" t="s">
        <v>1255</v>
      </c>
      <c r="C48" s="490">
        <f>ROUND(F30/(1+'数据-取费表'!C43),4)</f>
        <v>0.0006</v>
      </c>
      <c r="D48" s="461" t="s">
        <v>1265</v>
      </c>
      <c r="E48" s="457"/>
      <c r="F48" s="3269">
        <f>F30</f>
        <v>0.00056</v>
      </c>
      <c r="G48" s="462" t="s">
        <v>1269</v>
      </c>
    </row>
    <row r="49" ht="16.5" customHeight="1" spans="1:7">
      <c r="A49" s="429" t="s">
        <v>1254</v>
      </c>
      <c r="B49" s="430" t="s">
        <v>1270</v>
      </c>
      <c r="C49" s="457">
        <f ca="1">ROUND((C33+C39+C41+C45)/(1-C40-D41-D45-C48),0)</f>
        <v>50665783</v>
      </c>
      <c r="D49" s="457"/>
      <c r="E49" s="457"/>
      <c r="F49" s="495"/>
      <c r="G49" s="462" t="s">
        <v>1271</v>
      </c>
    </row>
    <row r="50" s="413" customFormat="1" ht="13" spans="1:7">
      <c r="A50" s="429" t="s">
        <v>1272</v>
      </c>
      <c r="B50" s="430" t="s">
        <v>1273</v>
      </c>
      <c r="C50" s="457"/>
      <c r="D50" s="457"/>
      <c r="E50" s="457"/>
      <c r="F50" s="495">
        <f>IF('数据-取费表'!B24=0,'数据-取费表'!N16,1)</f>
        <v>0.79</v>
      </c>
      <c r="G50" s="476"/>
    </row>
    <row r="51" ht="16.5" customHeight="1" spans="1:7">
      <c r="A51" s="429" t="s">
        <v>1274</v>
      </c>
      <c r="B51" s="430" t="s">
        <v>1275</v>
      </c>
      <c r="C51" s="457">
        <f ca="1">ROUND(C49*F50,0)</f>
        <v>40025969</v>
      </c>
      <c r="D51" s="457"/>
      <c r="E51" s="457"/>
      <c r="F51" s="495"/>
      <c r="G51" s="462" t="s">
        <v>1276</v>
      </c>
    </row>
    <row r="52" s="410" customFormat="1" ht="16.25" spans="1:7">
      <c r="A52" s="496" t="s">
        <v>1277</v>
      </c>
      <c r="B52" s="497"/>
      <c r="C52" s="498">
        <f ca="1">C31+C51</f>
        <v>72804111</v>
      </c>
      <c r="D52" s="497"/>
      <c r="E52" s="497"/>
      <c r="F52" s="497"/>
      <c r="G52" s="499"/>
    </row>
    <row r="55" ht="15.5" spans="1:7">
      <c r="B55" s="500" t="s">
        <v>1210</v>
      </c>
      <c r="C55" s="501"/>
    </row>
    <row r="56" ht="13" spans="1:7">
      <c r="B56" s="502" t="s">
        <v>1211</v>
      </c>
      <c r="C56" s="504">
        <f ca="1">1-C57</f>
        <v>0.45</v>
      </c>
    </row>
    <row r="57" ht="13" spans="1:7">
      <c r="B57" s="502" t="s">
        <v>1212</v>
      </c>
      <c r="C57" s="503">
        <f ca="1">ROUND(C51/C52,3)</f>
        <v>0.55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zoomScale="90" zoomScaleNormal="90" workbookViewId="0">
      <selection activeCell="A16" sqref="$A16:$XFD16"/>
    </sheetView>
  </sheetViews>
  <sheetFormatPr defaultColWidth="9" defaultRowHeight="12.5"/>
  <cols>
    <col min="1" max="1" width="9" style="413" customWidth="1"/>
    <col min="2" max="2" width="20.6272727272727" style="2365" customWidth="1"/>
    <col min="3" max="3" width="12.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t="s">
        <v>617</v>
      </c>
      <c r="D1" s="2788" t="s">
        <v>124</v>
      </c>
      <c r="E1" s="2789" t="s">
        <v>1279</v>
      </c>
      <c r="F1" s="3238">
        <f ca="1">J58</f>
        <v>30.38</v>
      </c>
      <c r="G1" s="2791">
        <f>MATCH(C1,'数据-取费表'!A6:A16,0)+5</f>
        <v>6</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500">
        <f ca="1">IF(D2="含税",C28+J29+L51,C25+J28+L51)</f>
        <v>14365</v>
      </c>
      <c r="C2" s="2797" t="s">
        <v>1281</v>
      </c>
      <c r="D2" s="3062" t="s">
        <v>1104</v>
      </c>
      <c r="E2" s="2799"/>
      <c r="F2" s="2800"/>
      <c r="G2" s="2801"/>
      <c r="H2" s="2802"/>
      <c r="I2" s="2802"/>
      <c r="J2" s="2802"/>
      <c r="K2" s="2803"/>
      <c r="L2" s="2802"/>
      <c r="M2" s="2802"/>
    </row>
    <row r="3" ht="18" customHeight="1" spans="1:37">
      <c r="A3" s="2804" t="s">
        <v>1282</v>
      </c>
      <c r="B3" s="3142">
        <f ca="1">IF(ISERROR(B2*10000/F29),0,ROUND(B2*10000/F29,0))</f>
        <v>8589</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3064" t="s">
        <v>1290</v>
      </c>
      <c r="C5" s="3065">
        <f ca="1">C6+C10+C12</f>
        <v>935</v>
      </c>
      <c r="D5" s="2816" t="s">
        <v>1291</v>
      </c>
      <c r="E5" s="2817"/>
      <c r="F5" s="2818"/>
      <c r="G5" s="892"/>
      <c r="H5" s="2813">
        <v>1</v>
      </c>
      <c r="I5" s="2814" t="s">
        <v>1292</v>
      </c>
      <c r="J5" s="3065">
        <f ca="1">J6+J10+J12</f>
        <v>0</v>
      </c>
      <c r="K5" s="2816" t="s">
        <v>1291</v>
      </c>
      <c r="L5" s="2817"/>
      <c r="M5" s="2818"/>
    </row>
    <row r="6" ht="18" customHeight="1" spans="1:37">
      <c r="A6" s="2819" t="s">
        <v>1001</v>
      </c>
      <c r="B6" s="3067" t="s">
        <v>1293</v>
      </c>
      <c r="C6" s="3068">
        <f ca="1">C7-C9</f>
        <v>934</v>
      </c>
      <c r="D6" s="1291" t="s">
        <v>1294</v>
      </c>
      <c r="E6" s="3069" t="s">
        <v>1295</v>
      </c>
      <c r="F6" s="3070">
        <f ca="1">INDIRECT("'数据-取费表'!u"&amp;$G$1)</f>
        <v>1.7</v>
      </c>
      <c r="G6" s="892"/>
      <c r="H6" s="2819" t="s">
        <v>1001</v>
      </c>
      <c r="I6" s="2820" t="s">
        <v>1296</v>
      </c>
      <c r="J6" s="2500">
        <f ca="1">J7-J9</f>
        <v>0</v>
      </c>
      <c r="K6" s="1291" t="s">
        <v>1294</v>
      </c>
      <c r="L6" s="3069" t="s">
        <v>1295</v>
      </c>
      <c r="M6" s="3239">
        <f ca="1">INDIRECT("'数据-取费表'!z"&amp;$G$1)</f>
        <v>0</v>
      </c>
    </row>
    <row r="7" ht="18" customHeight="1" spans="1:37">
      <c r="A7" s="3073" t="s">
        <v>1030</v>
      </c>
      <c r="B7" s="3074" t="s">
        <v>1297</v>
      </c>
      <c r="C7" s="2500">
        <f ca="1">ROUND(F6*F7*F8/10000,0)</f>
        <v>1038</v>
      </c>
      <c r="D7" s="3075" t="s">
        <v>1298</v>
      </c>
      <c r="E7" s="2830" t="s">
        <v>1299</v>
      </c>
      <c r="F7" s="3076">
        <f ca="1">IF(INDIRECT("'数据-取费表'!ah"&amp;$G$1)="",INDIRECT("'数据-取费表'!k"&amp;$G$1),INDIRECT("'数据-取费表'!ah"&amp;$G$1))</f>
        <v>16724.51</v>
      </c>
      <c r="G7" s="892"/>
      <c r="H7" s="3073" t="s">
        <v>1030</v>
      </c>
      <c r="I7" s="3074" t="s">
        <v>1297</v>
      </c>
      <c r="J7" s="3077">
        <f ca="1">ROUND(M6*M8*M7/10000,0)</f>
        <v>0</v>
      </c>
      <c r="K7" s="1292" t="s">
        <v>1300</v>
      </c>
      <c r="L7" s="1313" t="s">
        <v>1299</v>
      </c>
      <c r="M7" s="3240">
        <f ca="1">F7</f>
        <v>16724.51</v>
      </c>
    </row>
    <row r="8" ht="18" customHeight="1" spans="1:37">
      <c r="A8" s="3079"/>
      <c r="B8" s="3080"/>
      <c r="C8" s="2500"/>
      <c r="D8" s="3075"/>
      <c r="E8" s="1313" t="s">
        <v>1301</v>
      </c>
      <c r="F8" s="3076">
        <f ca="1">INDIRECT("'数据-取费表'!ai"&amp;$G$1)</f>
        <v>365</v>
      </c>
      <c r="G8" s="892"/>
      <c r="H8" s="3079"/>
      <c r="I8" s="3080"/>
      <c r="J8" s="3077"/>
      <c r="K8" s="1292"/>
      <c r="L8" s="1313" t="s">
        <v>1301</v>
      </c>
      <c r="M8" s="3240">
        <f ca="1">INDIRECT("'数据-取费表'!ai"&amp;$G$1)</f>
        <v>365</v>
      </c>
    </row>
    <row r="9" ht="18" customHeight="1" spans="1:37">
      <c r="A9" s="1327" t="s">
        <v>1034</v>
      </c>
      <c r="B9" s="3080" t="s">
        <v>1302</v>
      </c>
      <c r="C9" s="3077">
        <f ca="1">ROUND(C7*F9,0)</f>
        <v>104</v>
      </c>
      <c r="D9" s="1291" t="s">
        <v>1303</v>
      </c>
      <c r="E9" s="1313" t="s">
        <v>1304</v>
      </c>
      <c r="F9" s="3081">
        <f ca="1">INDIRECT("'数据-取费表'!w"&amp;$G$1)</f>
        <v>0.1</v>
      </c>
      <c r="G9" s="892"/>
      <c r="H9" s="1327" t="s">
        <v>1034</v>
      </c>
      <c r="I9" s="3080" t="s">
        <v>1302</v>
      </c>
      <c r="J9" s="2500">
        <f ca="1">ROUND(J7*M9,0)</f>
        <v>0</v>
      </c>
      <c r="K9" s="1292"/>
      <c r="L9" s="2835" t="s">
        <v>1304</v>
      </c>
      <c r="M9" s="2836">
        <f ca="1">INDIRECT("'数据-取费表'!ab"&amp;$G$1)</f>
        <v>0</v>
      </c>
    </row>
    <row r="10" ht="18" customHeight="1" spans="1:37">
      <c r="A10" s="2819" t="s">
        <v>1006</v>
      </c>
      <c r="B10" s="2837" t="s">
        <v>1305</v>
      </c>
      <c r="C10" s="3084">
        <f ca="1">ROUND(IF(F10="押一",C6/12*F11,IF(F10="押二",C6/12*2*F11,IF(F10="押三",C6/12*3*F11,C11*F11))),0)</f>
        <v>1</v>
      </c>
      <c r="D10" s="2838" t="s">
        <v>1306</v>
      </c>
      <c r="E10" s="2835" t="s">
        <v>1307</v>
      </c>
      <c r="F10" s="2839" t="s">
        <v>1308</v>
      </c>
      <c r="G10" s="892"/>
      <c r="H10" s="2819" t="s">
        <v>1006</v>
      </c>
      <c r="I10" s="2837" t="s">
        <v>1305</v>
      </c>
      <c r="J10" s="3085">
        <f ca="1">ROUND(IF(M10="押一",J6/12*M11,IF(M10="押二",J6/12*2*M11,IF(M10="押三",J6/12*3*M11,J11*M11))),0)</f>
        <v>0</v>
      </c>
      <c r="K10" s="2838" t="s">
        <v>1306</v>
      </c>
      <c r="L10" s="2835" t="s">
        <v>1307</v>
      </c>
      <c r="M10" s="2839"/>
    </row>
    <row r="11" ht="18" customHeight="1" spans="1:37">
      <c r="A11" s="2841"/>
      <c r="B11" s="3241" t="s">
        <v>1309</v>
      </c>
      <c r="C11" s="3242"/>
      <c r="D11" s="3088"/>
      <c r="E11" s="2835" t="s">
        <v>1310</v>
      </c>
      <c r="F11" s="3089">
        <f ca="1">'数据-取费表'!B40</f>
        <v>0.015</v>
      </c>
      <c r="G11" s="892"/>
      <c r="H11" s="2844"/>
      <c r="I11" s="2842" t="s">
        <v>1311</v>
      </c>
      <c r="J11" s="3242"/>
      <c r="K11" s="2845"/>
      <c r="L11" s="2835" t="s">
        <v>1310</v>
      </c>
      <c r="M11" s="2846">
        <f ca="1">'数据-取费表'!B40</f>
        <v>0.015</v>
      </c>
    </row>
    <row r="12" ht="18" customHeight="1" spans="1:37">
      <c r="A12" s="2847" t="s">
        <v>1057</v>
      </c>
      <c r="B12" s="2848" t="s">
        <v>1312</v>
      </c>
      <c r="C12" s="3211"/>
      <c r="D12" s="2850"/>
      <c r="E12" s="2851"/>
      <c r="F12" s="2852"/>
      <c r="G12" s="892"/>
      <c r="H12" s="2847" t="s">
        <v>1057</v>
      </c>
      <c r="I12" s="2848" t="s">
        <v>1312</v>
      </c>
      <c r="J12" s="3091"/>
      <c r="K12" s="2853"/>
      <c r="L12" s="2851"/>
      <c r="M12" s="2852"/>
    </row>
    <row r="13" ht="18" customHeight="1" spans="1:37">
      <c r="A13" s="2855" t="s">
        <v>1313</v>
      </c>
      <c r="B13" s="2856" t="s">
        <v>1314</v>
      </c>
      <c r="C13" s="3243">
        <f ca="1">ROUND(C14+C21+C22+C23,0)</f>
        <v>228</v>
      </c>
      <c r="D13" s="2861" t="s">
        <v>1315</v>
      </c>
      <c r="E13" s="2876"/>
      <c r="F13" s="2818"/>
      <c r="G13" s="892"/>
      <c r="H13" s="2855" t="s">
        <v>1313</v>
      </c>
      <c r="I13" s="2856" t="s">
        <v>1314</v>
      </c>
      <c r="J13" s="3094">
        <f ca="1">ROUND(J14+J21+J22+J23,0)</f>
        <v>58</v>
      </c>
      <c r="K13" s="2865" t="s">
        <v>1316</v>
      </c>
      <c r="L13" s="2876"/>
      <c r="M13" s="2818"/>
    </row>
    <row r="14" ht="18" customHeight="1" spans="1:37">
      <c r="A14" s="738" t="s">
        <v>1001</v>
      </c>
      <c r="B14" s="1313" t="s">
        <v>1317</v>
      </c>
      <c r="C14" s="3098">
        <f ca="1">ROUND(IF(AND(项目基本情况!B11="自然人",项目基本情况!B10="北京市",M52="住宅"),C6*F14,C15+C18+C19),2)</f>
        <v>203.96</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42.87</v>
      </c>
      <c r="K14" s="3099" t="s">
        <v>1319</v>
      </c>
      <c r="L14" s="2486" t="s">
        <v>1318</v>
      </c>
      <c r="M14" s="2879" t="str">
        <f ca="1">IF(项目基本情况!B11="企业","",IF('数据-取费表'!B10="住宅",IF(M6*M7*M8/12/(1+'数据-取费表'!F30)&gt;100000,4%,2.5%),IF(M6*M7*M8/12/(1+'数据-取费表'!F30)&gt;100000,12%,7%)))</f>
        <v/>
      </c>
    </row>
    <row r="15" s="2784" customFormat="1" ht="18" customHeight="1" spans="1:37">
      <c r="A15" s="1327" t="s">
        <v>1030</v>
      </c>
      <c r="B15" s="3069" t="s">
        <v>771</v>
      </c>
      <c r="C15" s="3102">
        <f ca="1">ROUND((C16-C17)*(1+F15),2)</f>
        <v>90.38</v>
      </c>
      <c r="D15" s="3099" t="s">
        <v>1319</v>
      </c>
      <c r="E15" s="1313" t="s">
        <v>1320</v>
      </c>
      <c r="F15" s="3101">
        <f>'数据-取费表'!B44</f>
        <v>0.1</v>
      </c>
      <c r="G15" s="2870"/>
      <c r="H15" s="738" t="s">
        <v>1030</v>
      </c>
      <c r="I15" s="3069" t="s">
        <v>771</v>
      </c>
      <c r="J15" s="3102">
        <f ca="1">ROUND((J16-J17)*(1+M15),2)</f>
        <v>-1.52</v>
      </c>
      <c r="K15" s="642"/>
      <c r="L15" s="1313" t="s">
        <v>1320</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5">
        <f ca="1">ROUND(C6*F16,2)</f>
        <v>84.06</v>
      </c>
      <c r="D16" s="642"/>
      <c r="E16" s="3106" t="s">
        <v>1321</v>
      </c>
      <c r="F16" s="3101">
        <v>0.09</v>
      </c>
      <c r="G16" s="892"/>
      <c r="H16" s="671" t="s">
        <v>1133</v>
      </c>
      <c r="I16" s="3105" t="s">
        <v>965</v>
      </c>
      <c r="J16" s="815">
        <f ca="1">ROUND(J6*M16,2)</f>
        <v>0</v>
      </c>
      <c r="K16" s="3107" t="s">
        <v>1322</v>
      </c>
      <c r="L16" s="3106" t="s">
        <v>1321</v>
      </c>
      <c r="M16" s="2892">
        <v>0.09</v>
      </c>
    </row>
    <row r="17" s="2784" customFormat="1" ht="18" customHeight="1" spans="1:37">
      <c r="A17" s="671" t="s">
        <v>1141</v>
      </c>
      <c r="B17" s="3105" t="s">
        <v>969</v>
      </c>
      <c r="C17" s="3111">
        <f ca="1">ROUND(C21*F16+((C22+C23)*F17),2)</f>
        <v>1.9</v>
      </c>
      <c r="D17" s="3107" t="s">
        <v>1322</v>
      </c>
      <c r="E17" s="3107"/>
      <c r="F17" s="3101">
        <v>0.06</v>
      </c>
      <c r="G17" s="2870"/>
      <c r="H17" s="671" t="s">
        <v>1141</v>
      </c>
      <c r="I17" s="3105" t="s">
        <v>969</v>
      </c>
      <c r="J17" s="3111">
        <f ca="1">ROUND(J21*M16+((J22+J23)*M17),2)</f>
        <v>1.38</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3102">
        <f ca="1">IF(AND(项目基本情况!B11="自然人",M52="住宅"),"——",IF(D18="按不含税租金收入计税",ROUND(C6*F18,2),IF(D18="按房产原值计税",ROUND(C47*F18*0.7,2),INDIRECT("'数据-取费表'!Aj"&amp;$G$1))))</f>
        <v>112.08</v>
      </c>
      <c r="D18" s="3114" t="s">
        <v>1324</v>
      </c>
      <c r="E18" s="1313" t="s">
        <v>1325</v>
      </c>
      <c r="F18" s="3115">
        <f>IF(D18="按票据","——",IF(D18="按不含税租金收入计税",'数据-取费表'!B52,'数据-取费表'!B51))</f>
        <v>0.12</v>
      </c>
      <c r="G18" s="2870"/>
      <c r="H18" s="738" t="s">
        <v>1034</v>
      </c>
      <c r="I18" s="1313" t="s">
        <v>1323</v>
      </c>
      <c r="J18" s="3102">
        <f ca="1">IF(K18="按不含税租金收入计税",ROUND(J6*M18,2),ROUND(C47*M18*0.7,2))</f>
        <v>42.89</v>
      </c>
      <c r="K18" s="2881"/>
      <c r="L18" s="1313" t="s">
        <v>1325</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8">
        <f ca="1">IF(AND(项目基本情况!B11="自然人",M52="住宅"),"——",ROUND(F19*F20/10000,2))</f>
        <v>1.5</v>
      </c>
      <c r="D19" s="2884" t="s">
        <v>1327</v>
      </c>
      <c r="E19" s="1313" t="s">
        <v>1328</v>
      </c>
      <c r="F19" s="3174">
        <f>'数据-取费表'!B53</f>
        <v>1.5</v>
      </c>
      <c r="G19" s="892"/>
      <c r="H19" s="738" t="s">
        <v>1037</v>
      </c>
      <c r="I19" s="2822" t="s">
        <v>1326</v>
      </c>
      <c r="J19" s="3118">
        <f ca="1">ROUND(M19*M20/10000,2)</f>
        <v>1.5</v>
      </c>
      <c r="K19" s="2884" t="s">
        <v>1327</v>
      </c>
      <c r="L19" s="1313" t="s">
        <v>1328</v>
      </c>
      <c r="M19" s="2885">
        <f>'数据-取费表'!B53</f>
        <v>1.5</v>
      </c>
    </row>
    <row r="20" s="2784" customFormat="1" ht="18" customHeight="1" spans="1:37">
      <c r="A20" s="2886"/>
      <c r="B20" s="2922"/>
      <c r="C20" s="3121"/>
      <c r="D20" s="2889"/>
      <c r="E20" s="1313" t="s">
        <v>1329</v>
      </c>
      <c r="F20" s="3172">
        <f ca="1">INDIRECT("'数据-取费表'!r"&amp;$G$1)</f>
        <v>9999.1</v>
      </c>
      <c r="G20" s="2870"/>
      <c r="H20" s="2886"/>
      <c r="I20" s="2887"/>
      <c r="J20" s="3121"/>
      <c r="K20" s="2889"/>
      <c r="L20" s="1313" t="s">
        <v>1329</v>
      </c>
      <c r="M20" s="2823">
        <f ca="1">INDIRECT("'数据-取费表'!r"&amp;$G$1)</f>
        <v>9999.1</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3102">
        <f ca="1">ROUND(C47*F21,2)</f>
        <v>15.32</v>
      </c>
      <c r="D21" s="2486" t="s">
        <v>1331</v>
      </c>
      <c r="E21" s="1313" t="s">
        <v>1325</v>
      </c>
      <c r="F21" s="3122">
        <f ca="1">INDIRECT("'数据-取费表'!Ak"&amp;$G$1)</f>
        <v>0.003</v>
      </c>
      <c r="G21" s="2870"/>
      <c r="H21" s="738" t="s">
        <v>1006</v>
      </c>
      <c r="I21" s="1313" t="s">
        <v>1330</v>
      </c>
      <c r="J21" s="3102">
        <f ca="1">ROUND(J31*M21,2)</f>
        <v>15.32</v>
      </c>
      <c r="K21" s="2486" t="s">
        <v>1331</v>
      </c>
      <c r="L21" s="1313" t="s">
        <v>1325</v>
      </c>
      <c r="M21" s="2890">
        <f ca="1">INDIRECT("'数据-取费表'!Ak"&amp;$G$1)</f>
        <v>0.003</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3102">
        <f ca="1">ROUND(C49*F22,2)</f>
        <v>4.03</v>
      </c>
      <c r="D22" s="2486" t="s">
        <v>1333</v>
      </c>
      <c r="E22" s="1313" t="s">
        <v>1325</v>
      </c>
      <c r="F22" s="3124">
        <f ca="1">INDIRECT("'数据-取费表'!Al"&amp;$G$1)</f>
        <v>0.001</v>
      </c>
      <c r="G22" s="892"/>
      <c r="H22" s="738" t="s">
        <v>1057</v>
      </c>
      <c r="I22" s="1313" t="s">
        <v>1332</v>
      </c>
      <c r="J22" s="3102">
        <f ca="1">ROUND(J33*M22,2)</f>
        <v>0</v>
      </c>
      <c r="K22" s="2486" t="s">
        <v>1334</v>
      </c>
      <c r="L22" s="1313" t="s">
        <v>1325</v>
      </c>
      <c r="M22" s="2891">
        <f ca="1">INDIRECT("'数据-取费表'!Al"&amp;$G$1)</f>
        <v>0.001</v>
      </c>
    </row>
    <row r="23" s="2784" customFormat="1" ht="18" customHeight="1" spans="1:37">
      <c r="A23" s="2871" t="s">
        <v>1062</v>
      </c>
      <c r="B23" s="2851" t="s">
        <v>1335</v>
      </c>
      <c r="C23" s="3128">
        <f ca="1">ROUND(C5*F23,2)</f>
        <v>4.68</v>
      </c>
      <c r="D23" s="2894" t="s">
        <v>1336</v>
      </c>
      <c r="E23" s="2851" t="s">
        <v>1325</v>
      </c>
      <c r="F23" s="3127">
        <f ca="1">INDIRECT("'数据-取费表'!Am"&amp;$G$1)</f>
        <v>0.005</v>
      </c>
      <c r="G23" s="2870"/>
      <c r="H23" s="2871" t="s">
        <v>1062</v>
      </c>
      <c r="I23" s="2851" t="s">
        <v>1335</v>
      </c>
      <c r="J23" s="3128">
        <f ca="1">ROUND(J5*M23,2)</f>
        <v>0</v>
      </c>
      <c r="K23" s="2894" t="s">
        <v>1336</v>
      </c>
      <c r="L23" s="2851" t="s">
        <v>1325</v>
      </c>
      <c r="M23" s="2852">
        <f ca="1">INDIRECT("'数据-取费表'!Am"&amp;$G$1)</f>
        <v>0.005</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243">
        <f ca="1">C5-C13</f>
        <v>707</v>
      </c>
      <c r="D24" s="2896" t="s">
        <v>1338</v>
      </c>
      <c r="E24" s="2897"/>
      <c r="F24" s="2898"/>
      <c r="G24" s="2870"/>
      <c r="H24" s="2855" t="s">
        <v>1177</v>
      </c>
      <c r="I24" s="2895" t="s">
        <v>1337</v>
      </c>
      <c r="J24" s="3094">
        <f ca="1">J5-J13</f>
        <v>-58</v>
      </c>
      <c r="K24" s="2896" t="s">
        <v>1338</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3061">
        <f ca="1">ROUND(C24*(1-((1+F27)/(1+F25))^F26)/(F25-F27),0)</f>
        <v>12952</v>
      </c>
      <c r="D25" s="2884" t="s">
        <v>1341</v>
      </c>
      <c r="E25" s="1313" t="s">
        <v>1342</v>
      </c>
      <c r="F25" s="3081">
        <f ca="1">INDIRECT("'数据-取费表'!I"&amp;$G$1)</f>
        <v>0.055</v>
      </c>
      <c r="G25" s="892"/>
      <c r="H25" s="2813" t="s">
        <v>1339</v>
      </c>
      <c r="I25" s="2814" t="s">
        <v>1343</v>
      </c>
      <c r="J25" s="3133">
        <f ca="1">IF(J5&lt;&gt;0,ROUND(J24*(1-((1+M27)/(1+M25))^M26)/(M25-M27),0),0)</f>
        <v>0</v>
      </c>
      <c r="K25" s="2884" t="s">
        <v>1341</v>
      </c>
      <c r="L25" s="2835" t="s">
        <v>1342</v>
      </c>
      <c r="M25" s="2836">
        <f ca="1">INDIRECT("'数据-取费表'!I"&amp;$G$1)</f>
        <v>0.055</v>
      </c>
    </row>
    <row r="26" ht="13" spans="1:37">
      <c r="A26" s="3131"/>
      <c r="B26" s="3132"/>
      <c r="C26" s="3061"/>
      <c r="D26" s="2900" t="s">
        <v>1344</v>
      </c>
      <c r="E26" s="1313" t="s">
        <v>1345</v>
      </c>
      <c r="F26" s="3134">
        <f ca="1">IF(INDIRECT("'数据-取费表'!af"&amp;$G$1)=0,INDIRECT("'数据-取费表'!ae"&amp;$G$1),INDIRECT("'数据-取费表'!af"&amp;$G$1))</f>
        <v>30.38</v>
      </c>
      <c r="G26" s="892"/>
      <c r="H26" s="2831"/>
      <c r="I26" s="2899"/>
      <c r="J26" s="3077"/>
      <c r="K26" s="2486" t="s">
        <v>1344</v>
      </c>
      <c r="L26" s="1313" t="s">
        <v>1345</v>
      </c>
      <c r="M26" s="2901">
        <f ca="1">INDIRECT("'数据-取费表'!ag"&amp;$G$1)</f>
        <v>0</v>
      </c>
    </row>
    <row r="27" ht="18" customHeight="1" spans="1:37">
      <c r="A27" s="2987"/>
      <c r="B27" s="3132"/>
      <c r="C27" s="3061"/>
      <c r="D27" s="2889"/>
      <c r="E27" s="1313" t="s">
        <v>1346</v>
      </c>
      <c r="F27" s="3081">
        <f ca="1">INDIRECT("'数据-取费表'!v"&amp;$G$1)</f>
        <v>0.02</v>
      </c>
      <c r="G27" s="892"/>
      <c r="H27" s="2841"/>
      <c r="I27" s="2902"/>
      <c r="J27" s="3094"/>
      <c r="K27" s="2486"/>
      <c r="L27" s="1313" t="s">
        <v>1346</v>
      </c>
      <c r="M27" s="2834">
        <f ca="1">INDIRECT("'数据-取费表'!aa"&amp;$G$1)</f>
        <v>0</v>
      </c>
    </row>
    <row r="28" s="2784" customFormat="1" ht="18" customHeight="1" spans="1:37">
      <c r="A28" s="3131" t="s">
        <v>1347</v>
      </c>
      <c r="B28" s="3137" t="s">
        <v>1348</v>
      </c>
      <c r="C28" s="3061">
        <f ca="1">ROUND(C25*(1+F28),0)</f>
        <v>14118</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3"/>
      <c r="M28" s="2901">
        <f ca="1">INDIRECT("'数据-取费表'!k"&amp;$G$1)</f>
        <v>16724.51</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2805">
        <f ca="1">ROUND(C28*10000/F29,0)</f>
        <v>8442</v>
      </c>
      <c r="D29" s="2907" t="s">
        <v>1354</v>
      </c>
      <c r="E29" s="2908" t="s">
        <v>1355</v>
      </c>
      <c r="F29" s="3143">
        <f ca="1">INDIRECT("'数据-取费表'!k"&amp;$G$1)</f>
        <v>16724.51</v>
      </c>
      <c r="G29" s="2870"/>
      <c r="H29" s="2904" t="s">
        <v>1352</v>
      </c>
      <c r="I29" s="3144" t="s">
        <v>1356</v>
      </c>
      <c r="J29" s="3244">
        <f ca="1">ROUND(J28*(1+F28),0)</f>
        <v>0</v>
      </c>
      <c r="K29" s="3146" t="str">
        <f>D28</f>
        <v>其他类型公式—收益价值×（1+9%）</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4347</v>
      </c>
      <c r="D31" s="3152" t="s">
        <v>1359</v>
      </c>
      <c r="E31" s="3153"/>
      <c r="F31" s="3154"/>
      <c r="G31" s="892"/>
      <c r="H31" s="3155" t="s">
        <v>1357</v>
      </c>
      <c r="I31" s="3156" t="s">
        <v>1360</v>
      </c>
      <c r="J31" s="3157">
        <f ca="1">C47</f>
        <v>5106</v>
      </c>
      <c r="K31" s="3158" t="s">
        <v>1361</v>
      </c>
      <c r="L31" s="3159"/>
      <c r="M31" s="3160"/>
    </row>
    <row r="32" ht="18" customHeight="1" spans="1:37">
      <c r="A32" s="1327" t="s">
        <v>1030</v>
      </c>
      <c r="B32" s="3161" t="s">
        <v>1362</v>
      </c>
      <c r="C32" s="3162">
        <f ca="1">INDIRECT("'数据-取费表'!m"&amp;$G$1)+INDIRECT("'数据-取费表'!t"&amp;$G$1)</f>
        <v>3847</v>
      </c>
      <c r="D32" s="2486" t="s">
        <v>1363</v>
      </c>
      <c r="E32" s="2486"/>
      <c r="F32" s="2901"/>
      <c r="G32" s="892"/>
      <c r="H32" s="3163" t="s">
        <v>1006</v>
      </c>
      <c r="I32" s="3164" t="s">
        <v>1175</v>
      </c>
      <c r="J32" s="810">
        <f ca="1">ROUND(J31*(1-M32),0)</f>
        <v>5106</v>
      </c>
      <c r="K32" s="1313" t="s">
        <v>1364</v>
      </c>
      <c r="L32" s="1291" t="s">
        <v>1365</v>
      </c>
      <c r="M32" s="2834">
        <f ca="1">INDIRECT("'数据-取费表'!ad"&amp;$G$1)</f>
        <v>0</v>
      </c>
    </row>
    <row r="33" ht="18" customHeight="1" spans="1:13">
      <c r="A33" s="1327" t="s">
        <v>1034</v>
      </c>
      <c r="B33" s="3161" t="s">
        <v>1366</v>
      </c>
      <c r="C33" s="1299">
        <f ca="1">ROUND(C32*F33,0)</f>
        <v>115</v>
      </c>
      <c r="D33" s="1313" t="s">
        <v>1367</v>
      </c>
      <c r="E33" s="1313" t="s">
        <v>1325</v>
      </c>
      <c r="F33" s="3115">
        <f>'数据-取费表'!B33</f>
        <v>0.03</v>
      </c>
      <c r="G33" s="892"/>
      <c r="H33" s="3165" t="s">
        <v>1368</v>
      </c>
      <c r="I33" s="3166" t="s">
        <v>1369</v>
      </c>
      <c r="J33" s="3142">
        <f ca="1">J31-J32</f>
        <v>0</v>
      </c>
      <c r="K33" s="3167" t="s">
        <v>1370</v>
      </c>
      <c r="L33" s="2907"/>
      <c r="M33" s="3168"/>
    </row>
    <row r="34" ht="18" customHeight="1" spans="1:13">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3">
      <c r="A35" s="1327" t="s">
        <v>1372</v>
      </c>
      <c r="B35" s="3161" t="s">
        <v>1373</v>
      </c>
      <c r="C35" s="1299">
        <f ca="1">ROUND(F35*(F29+INDIRECT("'数据-取费表'!S"&amp;$G$1))/10000,0)</f>
        <v>309</v>
      </c>
      <c r="D35" s="1313" t="s">
        <v>1374</v>
      </c>
      <c r="E35" s="1313" t="s">
        <v>1375</v>
      </c>
      <c r="F35" s="3174">
        <f>'数据-取费表'!B35</f>
        <v>185</v>
      </c>
      <c r="G35" s="892"/>
    </row>
    <row r="36" ht="18" customHeight="1" spans="1:13">
      <c r="A36" s="1327" t="s">
        <v>1376</v>
      </c>
      <c r="B36" s="3105" t="s">
        <v>763</v>
      </c>
      <c r="C36" s="1299">
        <f ca="1">ROUND(C32*F36,0)</f>
        <v>38</v>
      </c>
      <c r="D36" s="1313" t="s">
        <v>1367</v>
      </c>
      <c r="E36" s="1313" t="s">
        <v>1325</v>
      </c>
      <c r="F36" s="3115">
        <f>'数据-取费表'!B36</f>
        <v>0.01</v>
      </c>
      <c r="G36" s="892"/>
      <c r="H36" s="720"/>
      <c r="I36" s="720"/>
      <c r="J36" s="720"/>
      <c r="K36" s="1349"/>
      <c r="L36" s="720"/>
      <c r="M36" s="720"/>
    </row>
    <row r="37" ht="18" customHeight="1" spans="1:13">
      <c r="A37" s="1327" t="s">
        <v>1376</v>
      </c>
      <c r="B37" s="3105" t="s">
        <v>764</v>
      </c>
      <c r="C37" s="1299">
        <f ca="1">ROUND(C32*F37,0)</f>
        <v>38</v>
      </c>
      <c r="D37" s="1313" t="s">
        <v>1367</v>
      </c>
      <c r="E37" s="1313" t="s">
        <v>1325</v>
      </c>
      <c r="F37" s="3115">
        <f>'数据-取费表'!B37</f>
        <v>0.01</v>
      </c>
      <c r="G37" s="892"/>
      <c r="H37" s="720"/>
      <c r="I37" s="720"/>
      <c r="J37" s="720"/>
      <c r="K37" s="1349"/>
      <c r="L37" s="720"/>
      <c r="M37" s="720"/>
    </row>
    <row r="38" ht="18" customHeight="1" spans="1:13">
      <c r="A38" s="3019" t="s">
        <v>1377</v>
      </c>
      <c r="B38" s="3141" t="s">
        <v>1378</v>
      </c>
      <c r="C38" s="2500">
        <f ca="1">ROUND(C31*F38,0)</f>
        <v>130</v>
      </c>
      <c r="D38" s="3132" t="s">
        <v>1379</v>
      </c>
      <c r="E38" s="3141" t="s">
        <v>1380</v>
      </c>
      <c r="F38" s="3081">
        <f>'数据-取费表'!B38</f>
        <v>0.03</v>
      </c>
      <c r="G38" s="892"/>
      <c r="H38" s="720"/>
      <c r="I38" s="720"/>
      <c r="J38" s="720"/>
      <c r="K38" s="1349"/>
      <c r="L38" s="720"/>
      <c r="M38" s="720"/>
    </row>
    <row r="39" ht="18" customHeight="1" spans="1:13">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3">
      <c r="A40" s="3019" t="s">
        <v>1384</v>
      </c>
      <c r="B40" s="3171" t="s">
        <v>1159</v>
      </c>
      <c r="C40" s="3170" t="str">
        <f ca="1">C41&amp;"+"&amp;C42&amp;"V建"</f>
        <v>102+0.0007V建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1030</v>
      </c>
      <c r="B41" s="1313" t="s">
        <v>1385</v>
      </c>
      <c r="C41" s="1299">
        <f ca="1">IF('数据-取费表'!B22&lt;=1,ROUND(C31*F42*F41/2,0)+ROUND(C38*F42*F41/2,0),ROUND(C31*(POWER((1+F42),F41/2)-1),0)+ROUND(C38*(POWER((1+F42),F41/2)-1),0))</f>
        <v>102</v>
      </c>
      <c r="D41" s="1292" t="str">
        <f>IF(F41&lt;=1,"(建造成本+管理费用)×利率×(建设周期÷2)","(建造成本+管理费用)×((1+利率)^(建设周期÷2)-1)")</f>
        <v>(建造成本+管理费用)×((1+利率)^(建设周期÷2)-1)</v>
      </c>
      <c r="E41" s="1313" t="s">
        <v>1386</v>
      </c>
      <c r="F41" s="3174">
        <f>'数据-取费表'!B20</f>
        <v>1.5</v>
      </c>
      <c r="G41" s="892"/>
      <c r="H41" s="720"/>
      <c r="I41" s="720"/>
      <c r="J41" s="720"/>
      <c r="K41" s="1349"/>
      <c r="L41" s="720"/>
      <c r="M41" s="720"/>
    </row>
    <row r="42" ht="18" customHeight="1" spans="1:13">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3">
      <c r="A43" s="3019" t="s">
        <v>1389</v>
      </c>
      <c r="B43" s="3171" t="s">
        <v>1167</v>
      </c>
      <c r="C43" s="3170" t="str">
        <f ca="1">C44&amp;"+"&amp;C45&amp;"V建"</f>
        <v>358+0.0024V建</v>
      </c>
      <c r="D43" s="1307" t="s">
        <v>1390</v>
      </c>
      <c r="E43" s="2480"/>
      <c r="F43" s="3174"/>
      <c r="G43" s="892"/>
      <c r="H43" s="720"/>
      <c r="I43" s="720"/>
      <c r="J43" s="720"/>
      <c r="K43" s="1349"/>
      <c r="L43" s="720"/>
      <c r="M43" s="720"/>
    </row>
    <row r="44" ht="18" customHeight="1" spans="1:13">
      <c r="A44" s="1327" t="s">
        <v>1030</v>
      </c>
      <c r="B44" s="1313" t="s">
        <v>1391</v>
      </c>
      <c r="C44" s="1299">
        <f ca="1">ROUND((C31+C38)*F44,0)</f>
        <v>358</v>
      </c>
      <c r="D44" s="2882" t="s">
        <v>1392</v>
      </c>
      <c r="E44" s="1313" t="s">
        <v>1393</v>
      </c>
      <c r="F44" s="3081">
        <f ca="1">INDIRECT("'数据-取费表'!q"&amp;$G$1)</f>
        <v>0.08</v>
      </c>
      <c r="G44" s="892"/>
      <c r="H44" s="720"/>
      <c r="I44" s="720"/>
      <c r="J44" s="720"/>
      <c r="K44" s="1349"/>
      <c r="L44" s="720"/>
      <c r="M44" s="720"/>
    </row>
    <row r="45" ht="18" customHeight="1" spans="1:13">
      <c r="A45" s="1327" t="s">
        <v>1034</v>
      </c>
      <c r="B45" s="1313" t="s">
        <v>1394</v>
      </c>
      <c r="C45" s="3246">
        <f ca="1">ROUND(F39*F44,4)</f>
        <v>0.0024</v>
      </c>
      <c r="D45" s="2882" t="s">
        <v>1395</v>
      </c>
      <c r="E45" s="1313"/>
      <c r="F45" s="3115"/>
      <c r="G45" s="892"/>
      <c r="H45" s="720"/>
      <c r="I45" s="720"/>
      <c r="J45" s="720"/>
      <c r="K45" s="1349"/>
      <c r="L45" s="720"/>
      <c r="M45" s="720"/>
    </row>
    <row r="46" ht="18" customHeight="1" spans="1:13">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3">
      <c r="A47" s="3019" t="s">
        <v>1398</v>
      </c>
      <c r="B47" s="3141" t="s">
        <v>1399</v>
      </c>
      <c r="C47" s="2500">
        <f ca="1">ROUND((C31+C38+C41+C44)/(1-F39-C42-C45-C46),0)</f>
        <v>5106</v>
      </c>
      <c r="D47" s="3175" t="s">
        <v>1361</v>
      </c>
      <c r="E47" s="3141"/>
      <c r="F47" s="3081"/>
      <c r="K47" s="2928"/>
    </row>
    <row r="48" s="892" customFormat="1" ht="18" customHeight="1" spans="1:13">
      <c r="A48" s="3176" t="s">
        <v>1202</v>
      </c>
      <c r="B48" s="3171" t="s">
        <v>1175</v>
      </c>
      <c r="C48" s="2500">
        <f ca="1">ROUND(C47*(1-F48),0)</f>
        <v>1072</v>
      </c>
      <c r="D48" s="1313" t="s">
        <v>1364</v>
      </c>
      <c r="E48" s="1313" t="s">
        <v>1400</v>
      </c>
      <c r="F48" s="3115">
        <f ca="1">INDIRECT("'数据-取费表'!y"&amp;$G$1)</f>
        <v>0.79</v>
      </c>
      <c r="K48" s="2928"/>
    </row>
    <row r="49" s="892" customFormat="1" ht="18" customHeight="1" spans="1:18">
      <c r="A49" s="3177" t="s">
        <v>1401</v>
      </c>
      <c r="B49" s="3178" t="s">
        <v>1402</v>
      </c>
      <c r="C49" s="3142">
        <f ca="1">C47-C48</f>
        <v>4034</v>
      </c>
      <c r="D49" s="3167" t="s">
        <v>1370</v>
      </c>
      <c r="E49" s="2905"/>
      <c r="F49" s="3179"/>
      <c r="K49" s="2928"/>
    </row>
    <row r="50" s="892" customFormat="1" ht="18" customHeight="1" spans="1:18">
      <c r="A50" s="2926"/>
      <c r="B50" s="2926"/>
      <c r="C50" s="2927"/>
      <c r="D50" s="2926"/>
      <c r="E50" s="2926"/>
      <c r="F50" s="2926"/>
      <c r="I50" s="3180" t="s">
        <v>1403</v>
      </c>
      <c r="J50" s="2386"/>
      <c r="O50" s="3181" t="s">
        <v>1404</v>
      </c>
      <c r="P50" s="2925"/>
      <c r="Q50" s="2925"/>
      <c r="R50" s="2925"/>
    </row>
    <row r="51" s="892" customFormat="1" ht="13.75" spans="1:18">
      <c r="A51" s="2933" t="s">
        <v>1405</v>
      </c>
      <c r="C51" s="3183">
        <f ca="1">IF(D2="含税",C78-C28,C75-C25)</f>
        <v>-14497</v>
      </c>
      <c r="D51" s="2935" t="str">
        <f>C2</f>
        <v>万元</v>
      </c>
      <c r="E51" s="2926"/>
      <c r="F51" s="2926"/>
      <c r="I51" s="2936" t="s">
        <v>1406</v>
      </c>
      <c r="J51" s="2937"/>
      <c r="K51" s="2938"/>
      <c r="L51" s="3184">
        <f ca="1">IF(M52="住宅",0,IF(L53&gt;J56,L65,J65))</f>
        <v>247</v>
      </c>
      <c r="O51" s="2940" t="s">
        <v>1407</v>
      </c>
      <c r="P51" s="2941" t="s">
        <v>1408</v>
      </c>
      <c r="Q51" s="2942" t="s">
        <v>1409</v>
      </c>
      <c r="R51" s="2942" t="s">
        <v>1410</v>
      </c>
    </row>
    <row r="52" s="892" customFormat="1" ht="13.75" spans="1:18">
      <c r="A52" s="2943" t="s">
        <v>1285</v>
      </c>
      <c r="B52" s="2944" t="s">
        <v>1286</v>
      </c>
      <c r="C52" s="3186" t="s">
        <v>1287</v>
      </c>
      <c r="D52" s="2944" t="s">
        <v>1288</v>
      </c>
      <c r="E52" s="2945" t="s">
        <v>1289</v>
      </c>
      <c r="F52" s="2472"/>
      <c r="G52" s="2946"/>
      <c r="I52" s="2947" t="s">
        <v>1411</v>
      </c>
      <c r="J52" s="2948" t="s">
        <v>735</v>
      </c>
      <c r="K52" s="2949" t="s">
        <v>1412</v>
      </c>
      <c r="L52" s="3187">
        <f ca="1">INDIRECT("'数据-取费表'!d"&amp;$G$1)</f>
        <v>50</v>
      </c>
      <c r="M52" s="2951" t="str">
        <f>IF(ISNUMBER(FIND("住宅",C1)),"住宅","非住宅")</f>
        <v>非住宅</v>
      </c>
      <c r="O52" s="2952" t="s">
        <v>1136</v>
      </c>
      <c r="P52" s="2953" t="s">
        <v>1413</v>
      </c>
      <c r="Q52" s="3247">
        <f ca="1">C25+J28</f>
        <v>12952</v>
      </c>
      <c r="R52" s="2954" t="s">
        <v>1414</v>
      </c>
    </row>
    <row r="53" s="892" customFormat="1" ht="42.75" spans="1:18">
      <c r="A53" s="2955" t="s">
        <v>1113</v>
      </c>
      <c r="B53" s="2814" t="s">
        <v>1292</v>
      </c>
      <c r="C53" s="3189">
        <f ca="1">C54+C58+C60</f>
        <v>0</v>
      </c>
      <c r="D53" s="2956"/>
      <c r="E53" s="2957"/>
      <c r="F53" s="2958"/>
      <c r="G53" s="2946"/>
      <c r="H53" s="2959"/>
      <c r="I53" s="2960" t="s">
        <v>1415</v>
      </c>
      <c r="J53" s="2961" t="s">
        <v>1416</v>
      </c>
      <c r="K53" s="2962" t="s">
        <v>1417</v>
      </c>
      <c r="L53" s="3190">
        <f ca="1">INDIRECT("'数据-取费表'!f"&amp;$G$1)</f>
        <v>30.38</v>
      </c>
      <c r="O53" s="2952" t="s">
        <v>1139</v>
      </c>
      <c r="P53" s="2953" t="s">
        <v>1418</v>
      </c>
      <c r="Q53" s="3247">
        <f ca="1">J65</f>
        <v>247</v>
      </c>
      <c r="R53" s="2954" t="s">
        <v>1419</v>
      </c>
    </row>
    <row r="54" s="892" customFormat="1" ht="15.75" spans="1:18">
      <c r="A54" s="2964" t="s">
        <v>1357</v>
      </c>
      <c r="B54" s="2965" t="s">
        <v>1420</v>
      </c>
      <c r="C54" s="3191">
        <f ca="1">C55-C57</f>
        <v>0</v>
      </c>
      <c r="D54" s="2967" t="s">
        <v>1421</v>
      </c>
      <c r="E54" s="3192" t="s">
        <v>1422</v>
      </c>
      <c r="F54" s="3248"/>
      <c r="G54" s="2970"/>
      <c r="H54" s="2959"/>
      <c r="I54" s="2960" t="s">
        <v>1423</v>
      </c>
      <c r="J54" s="3194">
        <v>2009</v>
      </c>
      <c r="K54" s="2962" t="s">
        <v>1424</v>
      </c>
      <c r="L54" s="3195"/>
      <c r="O54" s="2973" t="s">
        <v>1425</v>
      </c>
      <c r="P54" s="2953" t="s">
        <v>1426</v>
      </c>
      <c r="Q54" s="3247">
        <f ca="1">C47</f>
        <v>5106</v>
      </c>
      <c r="R54" s="2954" t="s">
        <v>1414</v>
      </c>
    </row>
    <row r="55" s="892" customFormat="1" ht="13.75" spans="1:18">
      <c r="A55" s="2974" t="s">
        <v>1427</v>
      </c>
      <c r="B55" s="3196" t="s">
        <v>1428</v>
      </c>
      <c r="C55" s="3197">
        <f ca="1">ROUND(F54*F56*F55/10000,0)</f>
        <v>0</v>
      </c>
      <c r="D55" s="2977"/>
      <c r="E55" s="2978" t="s">
        <v>1299</v>
      </c>
      <c r="F55" s="3249">
        <f ca="1">F7</f>
        <v>16724.51</v>
      </c>
      <c r="H55" s="2959"/>
      <c r="I55" s="2960" t="s">
        <v>1429</v>
      </c>
      <c r="J55" s="3250">
        <f>SUMPRODUCT((I68:I70=J52)*(J67:L67=J53)*(J68:L70))</f>
        <v>60</v>
      </c>
      <c r="K55" s="2962" t="s">
        <v>1430</v>
      </c>
      <c r="L55" s="3195"/>
      <c r="M55" s="2981"/>
      <c r="O55" s="2973" t="s">
        <v>1431</v>
      </c>
      <c r="P55" s="2953" t="s">
        <v>1432</v>
      </c>
      <c r="Q55" s="2982">
        <f ca="1">J63</f>
        <v>0.4</v>
      </c>
      <c r="R55" s="2954"/>
    </row>
    <row r="56" s="892" customFormat="1" ht="13.75" spans="1:18">
      <c r="A56" s="2983"/>
      <c r="B56" s="2975"/>
      <c r="C56" s="3201"/>
      <c r="D56" s="2977"/>
      <c r="E56" s="2984" t="s">
        <v>1301</v>
      </c>
      <c r="F56" s="3076">
        <f ca="1">F8</f>
        <v>365</v>
      </c>
      <c r="I56" s="2985" t="s">
        <v>1433</v>
      </c>
      <c r="J56" s="3190">
        <f>IF(J54="",J55,J54+J55-YEAR('数据-取费表'!B2))</f>
        <v>43</v>
      </c>
      <c r="K56" s="2987" t="s">
        <v>1434</v>
      </c>
      <c r="L56" s="3202">
        <f ca="1">ROUND(-PV(INDIRECT("'数据-取费表'!h"&amp;$G$1),J56,(C24-C48*C83),0),0)</f>
        <v>11088</v>
      </c>
      <c r="M56" s="2989"/>
      <c r="O56" s="2973" t="s">
        <v>1435</v>
      </c>
      <c r="P56" s="2953" t="s">
        <v>1436</v>
      </c>
      <c r="Q56" s="2982">
        <f>J57</f>
        <v>0.075</v>
      </c>
      <c r="R56" s="2954"/>
    </row>
    <row r="57" s="892" customFormat="1" ht="13.75" spans="1:18">
      <c r="A57" s="2983" t="s">
        <v>1437</v>
      </c>
      <c r="B57" s="3196" t="s">
        <v>1302</v>
      </c>
      <c r="C57" s="3201">
        <f ca="1">ROUND(C55*F57,0)</f>
        <v>0</v>
      </c>
      <c r="D57" s="2977"/>
      <c r="E57" s="2984" t="s">
        <v>1304</v>
      </c>
      <c r="F57" s="3203"/>
      <c r="I57" s="2991" t="s">
        <v>1438</v>
      </c>
      <c r="J57" s="2992">
        <v>0.075</v>
      </c>
      <c r="K57" s="2991" t="s">
        <v>1439</v>
      </c>
      <c r="L57" s="2992"/>
      <c r="O57" s="2973" t="s">
        <v>1440</v>
      </c>
      <c r="P57" s="2953" t="s">
        <v>1441</v>
      </c>
      <c r="Q57" s="3251">
        <f ca="1">J58</f>
        <v>30.38</v>
      </c>
      <c r="R57" s="2954" t="s">
        <v>1442</v>
      </c>
    </row>
    <row r="58" s="892" customFormat="1" ht="26.75" spans="1:18">
      <c r="A58" s="3252" t="s">
        <v>1377</v>
      </c>
      <c r="B58" s="3206" t="s">
        <v>1305</v>
      </c>
      <c r="C58" s="2500">
        <f ca="1">ROUND(IF(F58="押一",C54/12*F11,IF(F58="押二",C54/12*2*F11,IF(F58="押三",C54/12*3*F11,C59*F11))),0)</f>
        <v>0</v>
      </c>
      <c r="D58" s="2838" t="s">
        <v>1306</v>
      </c>
      <c r="E58" s="2835" t="s">
        <v>1307</v>
      </c>
      <c r="F58" s="3253"/>
      <c r="I58" s="2994" t="s">
        <v>1443</v>
      </c>
      <c r="J58" s="3208">
        <f ca="1">IF(M52="住宅",IF(D1="——",MAX(J56,L53),MAX(J56,L53-'数据-取费表'!B24)),IF(D1="——",MIN(J56,L53),MIN(J56,L53-'数据-取费表'!B24)))</f>
        <v>30.38</v>
      </c>
      <c r="K58" s="2996" t="s">
        <v>1444</v>
      </c>
      <c r="L58" s="2997"/>
      <c r="O58" s="2952" t="s">
        <v>1445</v>
      </c>
      <c r="P58" s="2953" t="s">
        <v>1446</v>
      </c>
      <c r="Q58" s="3247">
        <f ca="1">Q52+Q53</f>
        <v>13199</v>
      </c>
      <c r="R58" s="2954" t="s">
        <v>1447</v>
      </c>
    </row>
    <row r="59" s="892" customFormat="1" ht="26.75" spans="1:18">
      <c r="A59" s="3209"/>
      <c r="B59" s="2842" t="s">
        <v>1311</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1448</v>
      </c>
      <c r="P59" s="3003"/>
      <c r="Q59" s="3003"/>
      <c r="R59" s="3003"/>
    </row>
    <row r="60" s="892" customFormat="1" ht="13.75" spans="1:18">
      <c r="A60" s="2847" t="s">
        <v>1057</v>
      </c>
      <c r="B60" s="2848" t="s">
        <v>1312</v>
      </c>
      <c r="C60" s="3211"/>
      <c r="D60" s="2838"/>
      <c r="E60" s="2999"/>
      <c r="F60" s="3000"/>
      <c r="I60" s="3004" t="s">
        <v>1449</v>
      </c>
      <c r="J60" s="3005">
        <f ca="1">ROUND(IF(J52="钢混",J62/J55,1-(1-2%)*(J55-J62)/J55),3)</f>
        <v>0.21</v>
      </c>
      <c r="K60" s="3006" t="s">
        <v>1450</v>
      </c>
      <c r="L60" s="3007"/>
      <c r="O60" s="2940" t="s">
        <v>1407</v>
      </c>
      <c r="P60" s="2941" t="s">
        <v>1408</v>
      </c>
      <c r="Q60" s="2942" t="s">
        <v>1409</v>
      </c>
      <c r="R60" s="2942" t="s">
        <v>1410</v>
      </c>
    </row>
    <row r="61" s="892" customFormat="1" ht="40.5" spans="1:18">
      <c r="A61" s="3008">
        <v>2</v>
      </c>
      <c r="B61" s="3212" t="s">
        <v>1402</v>
      </c>
      <c r="C61" s="3213">
        <f ca="1">C49</f>
        <v>4034</v>
      </c>
      <c r="D61" s="642"/>
      <c r="E61" s="3010"/>
      <c r="F61" s="3000"/>
      <c r="I61" s="3011" t="s">
        <v>1451</v>
      </c>
      <c r="J61" s="3012" t="s">
        <v>1452</v>
      </c>
      <c r="K61" s="2960" t="s">
        <v>1453</v>
      </c>
      <c r="L61" s="3190" t="str">
        <f ca="1">IF(L53&lt;J56,"——",L53-J58)</f>
        <v>——</v>
      </c>
      <c r="O61" s="2952" t="s">
        <v>1136</v>
      </c>
      <c r="P61" s="2953" t="s">
        <v>1413</v>
      </c>
      <c r="Q61" s="3247">
        <f ca="1">C25+J28</f>
        <v>12952</v>
      </c>
      <c r="R61" s="2954" t="s">
        <v>1414</v>
      </c>
    </row>
    <row r="62" s="892" customFormat="1" ht="26.75" spans="1:18">
      <c r="A62" s="3013"/>
      <c r="B62" s="1351" t="s">
        <v>1454</v>
      </c>
      <c r="C62" s="3214">
        <f ca="1">C47</f>
        <v>5106</v>
      </c>
      <c r="D62" s="3215" t="s">
        <v>1361</v>
      </c>
      <c r="E62" s="3015"/>
      <c r="F62" s="3016"/>
      <c r="I62" s="3017" t="s">
        <v>1455</v>
      </c>
      <c r="J62" s="3216">
        <f ca="1">IF(OR(M52="住宅",J56&lt;L53,J61="是"),"——",J56-L53)</f>
        <v>12.62</v>
      </c>
      <c r="K62" s="2960" t="s">
        <v>1456</v>
      </c>
      <c r="L62" s="3217" t="str">
        <f ca="1">IF(L53&lt;J56,"——",IF(L60="比较法",L54,IF(L60="基准地价",L55,L56)))</f>
        <v>——</v>
      </c>
      <c r="O62" s="2952" t="s">
        <v>1139</v>
      </c>
      <c r="P62" s="2953" t="s">
        <v>1457</v>
      </c>
      <c r="Q62" s="3251">
        <f ca="1">L65</f>
        <v>0</v>
      </c>
      <c r="R62" s="2954" t="s">
        <v>1458</v>
      </c>
    </row>
    <row r="63" s="892" customFormat="1" ht="26.75" spans="1:18">
      <c r="A63" s="3019" t="s">
        <v>1177</v>
      </c>
      <c r="B63" s="3009" t="s">
        <v>1314</v>
      </c>
      <c r="C63" s="2500">
        <f ca="1">ROUND(C64+C71+C72+C73,0)</f>
        <v>19</v>
      </c>
      <c r="D63" s="3020" t="s">
        <v>1315</v>
      </c>
      <c r="E63" s="3021"/>
      <c r="F63" s="2958"/>
      <c r="I63" s="3017" t="s">
        <v>1459</v>
      </c>
      <c r="J63" s="3022">
        <f ca="1">IF(J60&lt;0.4,0.4,J60)</f>
        <v>0.4</v>
      </c>
      <c r="K63" s="2987" t="s">
        <v>1460</v>
      </c>
      <c r="L63" s="3217" t="e">
        <f ca="1">ROUND(POWER(1+L57,L52-L53)*(POWER(1+L57,L53)-1)/(POWER(1+L57,L52)-1),4)</f>
        <v>#DIV/0!</v>
      </c>
      <c r="O63" s="2973" t="s">
        <v>1425</v>
      </c>
      <c r="P63" s="2953" t="s">
        <v>1461</v>
      </c>
      <c r="Q63" s="3251">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-0.28</v>
      </c>
      <c r="D64" s="3023" t="s">
        <v>1316</v>
      </c>
      <c r="E64" s="3024" t="s">
        <v>1318</v>
      </c>
      <c r="F64" s="3097" t="str">
        <f ca="1">IF(项目基本情况!B11="企业","——",IF('数据-取费表'!B10="住宅",IF(F54*F55*F56/12/(1+'数据-取费表'!F30)&gt;100000,4%,2.5%),IF(F54*F55*F56/12/(1+'数据-取费表'!F30)&gt;100000,12%,7%)))</f>
        <v>——</v>
      </c>
      <c r="I64" s="3017" t="s">
        <v>1462</v>
      </c>
      <c r="J64" s="3218">
        <f ca="1">IF(OR(M52="住宅",J56&lt;L53,J61="是"),"——",ROUND(C47*J63,0))</f>
        <v>2042</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2982">
        <f>L57</f>
        <v>0</v>
      </c>
      <c r="R64" s="2954"/>
    </row>
    <row r="65" s="892" customFormat="1" ht="16.75" spans="1:18">
      <c r="A65" s="738" t="s">
        <v>1030</v>
      </c>
      <c r="B65" s="3069" t="s">
        <v>771</v>
      </c>
      <c r="C65" s="3102">
        <f ca="1">ROUND((C66-C67)*(1+F65),2)</f>
        <v>-1.78</v>
      </c>
      <c r="D65" s="3099" t="s">
        <v>1319</v>
      </c>
      <c r="E65" s="1313" t="s">
        <v>1320</v>
      </c>
      <c r="F65" s="3101">
        <f>F15</f>
        <v>0.1</v>
      </c>
      <c r="I65" s="3025" t="s">
        <v>1464</v>
      </c>
      <c r="J65" s="3219">
        <f ca="1">IF(OR(M52="住宅",J56&lt;L53,J61="是"),"0",IF(D2="含税",ROUND((J64/(1+J57)^J58)*(1+M16),0),ROUND(J64/(1+J57)^J58,0)))</f>
        <v>247</v>
      </c>
      <c r="K65" s="3027" t="s">
        <v>1465</v>
      </c>
      <c r="L65" s="3219">
        <f ca="1">IF(OR(M52="住宅",L53&lt;J56),0,IF(D2="含税",ROUND((L62*(L63/L64-1))*(1+M16),0),ROUND(L62*(L63/L64-1),0)))</f>
        <v>0</v>
      </c>
      <c r="O65" s="2973" t="s">
        <v>1435</v>
      </c>
      <c r="P65" s="2953" t="s">
        <v>1466</v>
      </c>
      <c r="Q65" s="3254" t="e">
        <f ca="1">L63</f>
        <v>#DIV/0!</v>
      </c>
      <c r="R65" s="2954" t="s">
        <v>1467</v>
      </c>
    </row>
    <row r="66" s="892" customFormat="1" ht="13.75" spans="1:18">
      <c r="A66" s="738"/>
      <c r="B66" s="3105" t="s">
        <v>965</v>
      </c>
      <c r="C66" s="3102">
        <f ca="1">ROUND(C54*F66,2)</f>
        <v>0</v>
      </c>
      <c r="D66" s="642"/>
      <c r="E66" s="3106" t="s">
        <v>1321</v>
      </c>
      <c r="F66" s="3101">
        <f t="shared" ref="F66:F67" si="0">F16</f>
        <v>0.09</v>
      </c>
      <c r="I66" s="2925"/>
      <c r="J66" s="2925"/>
      <c r="K66" s="2925"/>
      <c r="L66" s="2925"/>
      <c r="O66" s="2973" t="s">
        <v>1440</v>
      </c>
      <c r="P66" s="2953" t="str">
        <f>K64</f>
        <v>建筑物剩余耐用年限下的土地年期修正系数Kn</v>
      </c>
      <c r="Q66" s="3254" t="e">
        <f ca="1">L64</f>
        <v>#DIV/0!</v>
      </c>
      <c r="R66" s="2954" t="s">
        <v>1468</v>
      </c>
    </row>
    <row r="67" s="892" customFormat="1" ht="13.75" spans="1:18">
      <c r="A67" s="738"/>
      <c r="B67" s="3105" t="s">
        <v>969</v>
      </c>
      <c r="C67" s="3102">
        <f ca="1">ROUND(C71*F66+((C72+C73)*F67),2)</f>
        <v>1.62</v>
      </c>
      <c r="D67" s="3107" t="s">
        <v>1322</v>
      </c>
      <c r="E67" s="3107"/>
      <c r="F67" s="3101">
        <f t="shared" si="0"/>
        <v>0.06</v>
      </c>
      <c r="I67" s="3030" t="s">
        <v>1469</v>
      </c>
      <c r="J67" s="3031" t="s">
        <v>1470</v>
      </c>
      <c r="K67" s="3031" t="s">
        <v>1471</v>
      </c>
      <c r="L67" s="3031" t="s">
        <v>1472</v>
      </c>
      <c r="M67" s="811" t="s">
        <v>1473</v>
      </c>
      <c r="O67" s="2952" t="s">
        <v>1445</v>
      </c>
      <c r="P67" s="2953" t="s">
        <v>1446</v>
      </c>
      <c r="Q67" s="3251">
        <f ca="1">Q61+Q62</f>
        <v>12952</v>
      </c>
      <c r="R67" s="2954" t="s">
        <v>1447</v>
      </c>
    </row>
    <row r="68" s="892" customFormat="1" ht="13.75" spans="1:18">
      <c r="A68" s="738" t="s">
        <v>1034</v>
      </c>
      <c r="B68" s="1351" t="s">
        <v>1323</v>
      </c>
      <c r="C68" s="3102">
        <f ca="1">IF(项目基本情况!B11="自然人","——",IF(D68="按不含税租金收入计税",ROUND(C54*F68/(1+'数据-取费表'!C43),2),IF(D68="按房产原值计税",ROUND(C62*F68*0.7,2),INDIRECT("'数据-取费表'!Aj"&amp;$G$1))))</f>
        <v>0</v>
      </c>
      <c r="D68" s="2881"/>
      <c r="E68" s="1351" t="s">
        <v>1325</v>
      </c>
      <c r="F68" s="3115">
        <f t="shared" ref="F68:F73" si="1">F18</f>
        <v>0.12</v>
      </c>
      <c r="I68" s="3030" t="s">
        <v>1474</v>
      </c>
      <c r="J68" s="3222">
        <v>70</v>
      </c>
      <c r="K68" s="3222">
        <v>50</v>
      </c>
      <c r="L68" s="3222">
        <v>80</v>
      </c>
      <c r="M68" s="3034">
        <v>0.02</v>
      </c>
      <c r="O68" s="2932" t="s">
        <v>1475</v>
      </c>
      <c r="P68" s="3003"/>
      <c r="Q68" s="3003"/>
      <c r="R68" s="3003"/>
    </row>
    <row r="69" s="892" customFormat="1" ht="13.75" spans="1:18">
      <c r="A69" s="738" t="s">
        <v>1037</v>
      </c>
      <c r="B69" s="3028" t="s">
        <v>1326</v>
      </c>
      <c r="C69" s="3118">
        <f ca="1">IF(项目基本情况!B11="自然人","——",ROUND(F69*F70/10000,2))</f>
        <v>1.5</v>
      </c>
      <c r="D69" s="3029" t="s">
        <v>1327</v>
      </c>
      <c r="E69" s="1351" t="s">
        <v>1328</v>
      </c>
      <c r="F69" s="3117">
        <f t="shared" si="1"/>
        <v>1.5</v>
      </c>
      <c r="I69" s="3030" t="s">
        <v>1476</v>
      </c>
      <c r="J69" s="3222">
        <v>50</v>
      </c>
      <c r="K69" s="3222">
        <v>35</v>
      </c>
      <c r="L69" s="3222">
        <v>60</v>
      </c>
      <c r="M69" s="811">
        <v>0</v>
      </c>
      <c r="O69" s="2940" t="s">
        <v>1407</v>
      </c>
      <c r="P69" s="2941" t="s">
        <v>1408</v>
      </c>
      <c r="Q69" s="2942" t="s">
        <v>1409</v>
      </c>
      <c r="R69" s="2942" t="s">
        <v>1410</v>
      </c>
    </row>
    <row r="70" s="892" customFormat="1" ht="13.75" spans="1:18">
      <c r="A70" s="2886"/>
      <c r="B70" s="3032"/>
      <c r="C70" s="3121"/>
      <c r="D70" s="3033"/>
      <c r="E70" s="1351" t="s">
        <v>1329</v>
      </c>
      <c r="F70" s="3070">
        <f ca="1" t="shared" si="1"/>
        <v>9999.1</v>
      </c>
      <c r="I70" s="3030" t="s">
        <v>1477</v>
      </c>
      <c r="J70" s="3222">
        <v>40</v>
      </c>
      <c r="K70" s="3222">
        <v>30</v>
      </c>
      <c r="L70" s="3222">
        <v>50</v>
      </c>
      <c r="M70" s="3034">
        <v>0.02</v>
      </c>
      <c r="O70" s="2952" t="s">
        <v>1136</v>
      </c>
      <c r="P70" s="2953" t="s">
        <v>1413</v>
      </c>
      <c r="Q70" s="3247">
        <f ca="1">C25+J28</f>
        <v>12952</v>
      </c>
      <c r="R70" s="2954" t="s">
        <v>1414</v>
      </c>
    </row>
    <row r="71" s="892" customFormat="1" ht="16.75" spans="1:18">
      <c r="A71" s="738" t="s">
        <v>1006</v>
      </c>
      <c r="B71" s="1351" t="s">
        <v>1330</v>
      </c>
      <c r="C71" s="3102">
        <f ca="1">ROUND(C62*F71,2)</f>
        <v>15.32</v>
      </c>
      <c r="D71" s="3024" t="s">
        <v>1331</v>
      </c>
      <c r="E71" s="1351" t="s">
        <v>1325</v>
      </c>
      <c r="F71" s="3122">
        <f ca="1" t="shared" si="1"/>
        <v>0.003</v>
      </c>
      <c r="O71" s="2952" t="s">
        <v>1139</v>
      </c>
      <c r="P71" s="2953" t="s">
        <v>1457</v>
      </c>
      <c r="Q71" s="3251">
        <f ca="1">L65</f>
        <v>0</v>
      </c>
      <c r="R71" s="2954" t="s">
        <v>1458</v>
      </c>
    </row>
    <row r="72" s="892" customFormat="1" ht="16.75" spans="1:18">
      <c r="A72" s="738" t="s">
        <v>1057</v>
      </c>
      <c r="B72" s="1351" t="s">
        <v>1332</v>
      </c>
      <c r="C72" s="3102">
        <f ca="1">ROUND(C61*F72,2)</f>
        <v>4.03</v>
      </c>
      <c r="D72" s="3024" t="s">
        <v>1333</v>
      </c>
      <c r="E72" s="1351" t="s">
        <v>1325</v>
      </c>
      <c r="F72" s="3124">
        <f ca="1" t="shared" si="1"/>
        <v>0.001</v>
      </c>
      <c r="O72" s="2973" t="s">
        <v>1425</v>
      </c>
      <c r="P72" s="2953" t="s">
        <v>1461</v>
      </c>
      <c r="Q72" s="3247">
        <f ca="1">L56</f>
        <v>11088</v>
      </c>
      <c r="R72" s="2954" t="s">
        <v>1478</v>
      </c>
    </row>
    <row r="73" s="892" customFormat="1" ht="16.75" spans="1:18">
      <c r="A73" s="738" t="s">
        <v>1062</v>
      </c>
      <c r="B73" s="1351" t="s">
        <v>1335</v>
      </c>
      <c r="C73" s="3102">
        <f ca="1">ROUND(C53*F73,2)</f>
        <v>0</v>
      </c>
      <c r="D73" s="3024" t="s">
        <v>1336</v>
      </c>
      <c r="E73" s="1351" t="s">
        <v>1325</v>
      </c>
      <c r="F73" s="3081">
        <f ca="1" t="shared" si="1"/>
        <v>0.005</v>
      </c>
      <c r="O73" s="2973" t="s">
        <v>1431</v>
      </c>
      <c r="P73" s="3041" t="s">
        <v>1479</v>
      </c>
      <c r="Q73" s="3247">
        <f ca="1">ROUND(Q74-Q75*Q76,0)</f>
        <v>632</v>
      </c>
      <c r="R73" s="2954" t="s">
        <v>1480</v>
      </c>
    </row>
    <row r="74" s="892" customFormat="1" ht="26.75" spans="1:18">
      <c r="A74" s="3008" t="s">
        <v>1339</v>
      </c>
      <c r="B74" s="3035" t="s">
        <v>1337</v>
      </c>
      <c r="C74" s="2500">
        <f ca="1">C53-C63</f>
        <v>-19</v>
      </c>
      <c r="D74" s="3023" t="s">
        <v>1338</v>
      </c>
      <c r="E74" s="3036"/>
      <c r="F74" s="3224"/>
      <c r="O74" s="2973" t="s">
        <v>1481</v>
      </c>
      <c r="P74" s="3041" t="s">
        <v>1482</v>
      </c>
      <c r="Q74" s="3247">
        <f ca="1">C24</f>
        <v>707</v>
      </c>
      <c r="R74" s="2954" t="s">
        <v>1414</v>
      </c>
    </row>
    <row r="75" s="892" customFormat="1" ht="13.75" spans="1:18">
      <c r="A75" s="3255" t="s">
        <v>1347</v>
      </c>
      <c r="B75" s="3040" t="s">
        <v>1340</v>
      </c>
      <c r="C75" s="3133">
        <f ca="1">ROUND(C74*(1-((1+F77)/(1+F75))^F76)/(F75-F77),0)</f>
        <v>-348</v>
      </c>
      <c r="D75" s="3226" t="s">
        <v>1341</v>
      </c>
      <c r="E75" s="1351" t="s">
        <v>1342</v>
      </c>
      <c r="F75" s="3081">
        <f ca="1">F25</f>
        <v>0.055</v>
      </c>
      <c r="O75" s="2973" t="s">
        <v>1483</v>
      </c>
      <c r="P75" s="3041" t="s">
        <v>1484</v>
      </c>
      <c r="Q75" s="3247">
        <f ca="1">C48</f>
        <v>1072</v>
      </c>
      <c r="R75" s="2954" t="s">
        <v>1414</v>
      </c>
    </row>
    <row r="76" s="892" customFormat="1" ht="13.75" spans="1:18">
      <c r="A76" s="3256"/>
      <c r="B76" s="3043"/>
      <c r="C76" s="3077"/>
      <c r="D76" s="3228" t="s">
        <v>1344</v>
      </c>
      <c r="E76" s="1351" t="s">
        <v>1345</v>
      </c>
      <c r="F76" s="3134">
        <f ca="1">F26</f>
        <v>30.38</v>
      </c>
      <c r="O76" s="2973" t="s">
        <v>1485</v>
      </c>
      <c r="P76" s="3041" t="s">
        <v>1486</v>
      </c>
      <c r="Q76" s="2982">
        <f ca="1">C83</f>
        <v>0.07</v>
      </c>
      <c r="R76" s="2954"/>
    </row>
    <row r="77" s="892" customFormat="1" ht="13.75" spans="1:18">
      <c r="A77" s="3014"/>
      <c r="B77" s="3230"/>
      <c r="C77" s="3230"/>
      <c r="D77" s="3231"/>
      <c r="E77" s="1351" t="s">
        <v>1346</v>
      </c>
      <c r="F77" s="3203">
        <v>0.02</v>
      </c>
      <c r="O77" s="2973" t="s">
        <v>1435</v>
      </c>
      <c r="P77" s="2953" t="s">
        <v>1463</v>
      </c>
      <c r="Q77" s="2982">
        <f>L57</f>
        <v>0</v>
      </c>
      <c r="R77" s="2954"/>
    </row>
    <row r="78" ht="16.75" spans="1:18">
      <c r="A78" s="3045"/>
      <c r="B78" s="3232" t="s">
        <v>1487</v>
      </c>
      <c r="C78" s="3094">
        <f ca="1">ROUND(C75*(1+F28),0)</f>
        <v>-379</v>
      </c>
      <c r="D78" s="3257" t="str">
        <f>D28</f>
        <v>其他类型公式—收益价值×（1+9%）</v>
      </c>
      <c r="E78" s="3003"/>
      <c r="F78" s="3003"/>
      <c r="O78" s="2973" t="s">
        <v>1440</v>
      </c>
      <c r="P78" s="2953" t="s">
        <v>1466</v>
      </c>
      <c r="Q78" s="3258" t="e">
        <f ca="1">L63</f>
        <v>#DIV/0!</v>
      </c>
      <c r="R78" s="2954" t="s">
        <v>1467</v>
      </c>
    </row>
    <row r="79" ht="13.75" spans="1:18">
      <c r="A79" s="3047" t="s">
        <v>1352</v>
      </c>
      <c r="B79" s="3048" t="s">
        <v>1353</v>
      </c>
      <c r="C79" s="3142">
        <f ca="1">ROUND(C78*10000/F79,0)</f>
        <v>-227</v>
      </c>
      <c r="D79" s="3049" t="s">
        <v>1354</v>
      </c>
      <c r="E79" s="3050" t="s">
        <v>1355</v>
      </c>
      <c r="F79" s="3143">
        <f ca="1">F29</f>
        <v>16724.51</v>
      </c>
      <c r="O79" s="2973" t="s">
        <v>1488</v>
      </c>
      <c r="P79" s="2953" t="str">
        <f>K64</f>
        <v>建筑物剩余耐用年限下的土地年期修正系数Kn</v>
      </c>
      <c r="Q79" s="3258" t="e">
        <f ca="1">L64</f>
        <v>#DIV/0!</v>
      </c>
      <c r="R79" s="2954" t="s">
        <v>1468</v>
      </c>
    </row>
    <row r="80" ht="13.75" spans="1:18">
      <c r="A80" s="892"/>
      <c r="B80" s="2386"/>
      <c r="C80" s="2386"/>
      <c r="D80" s="892"/>
      <c r="E80" s="892"/>
      <c r="F80" s="892"/>
      <c r="K80" s="2928"/>
      <c r="L80" s="892"/>
      <c r="O80" s="2952" t="s">
        <v>1445</v>
      </c>
      <c r="P80" s="2953" t="s">
        <v>1446</v>
      </c>
      <c r="Q80" s="3247">
        <f ca="1">Q70+Q71</f>
        <v>12952</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75</v>
      </c>
      <c r="D82" s="892"/>
      <c r="E82" s="892"/>
      <c r="F82" s="892"/>
      <c r="I82" s="892"/>
      <c r="J82" s="892"/>
      <c r="K82" s="2928"/>
      <c r="L82" s="892"/>
    </row>
    <row r="83" ht="13" spans="1:12">
      <c r="B83" s="844" t="s">
        <v>1491</v>
      </c>
      <c r="C83" s="3235">
        <f ca="1">INDIRECT("'数据-取费表'!j"&amp;$G$1)</f>
        <v>0.07</v>
      </c>
    </row>
    <row r="84" ht="13" spans="1:12">
      <c r="B84" s="3055" t="s">
        <v>1492</v>
      </c>
      <c r="C84" s="3056"/>
    </row>
    <row r="85" ht="13" spans="1:12">
      <c r="B85" s="500" t="s">
        <v>1493</v>
      </c>
      <c r="C85" s="3057"/>
    </row>
    <row r="86" ht="13" spans="1:12">
      <c r="B86" s="3052" t="s">
        <v>1494</v>
      </c>
      <c r="C86" s="3236">
        <f ca="1">1-C87</f>
        <v>0.894</v>
      </c>
    </row>
    <row r="87" ht="13" spans="1:12">
      <c r="B87" s="3052" t="s">
        <v>1495</v>
      </c>
      <c r="C87" s="3236">
        <f ca="1">ROUND(C82/C24,3)</f>
        <v>0.106</v>
      </c>
    </row>
    <row r="88" ht="13" spans="1:12">
      <c r="B88" s="500" t="s">
        <v>1496</v>
      </c>
      <c r="C88" s="467"/>
    </row>
    <row r="89" ht="13" spans="1:12">
      <c r="B89" s="502" t="s">
        <v>1211</v>
      </c>
      <c r="C89" s="3237">
        <f ca="1">1-C90</f>
        <v>0.694</v>
      </c>
    </row>
    <row r="90" ht="13" spans="1:12">
      <c r="B90" s="502" t="s">
        <v>1212</v>
      </c>
      <c r="C90" s="3236">
        <f ca="1">ROUND(C49/(C25+J28+L51),3)</f>
        <v>0.306</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5"/>
  <cols>
    <col min="1" max="1" width="9" style="413" customWidth="1"/>
    <col min="2" max="2" width="20.6272727272727" style="2365" customWidth="1"/>
    <col min="3" max="3" width="16.3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58"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c r="D1" s="2788"/>
      <c r="E1" s="2789" t="s">
        <v>1279</v>
      </c>
      <c r="F1" s="2790">
        <f ca="1">J58</f>
        <v>0</v>
      </c>
      <c r="G1" s="2791">
        <f>MATCH(C1,'数据-取费表'!A6:A16,0)+5</f>
        <v>7</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3061" t="e">
        <f ca="1">ROUND(D3/10000,4)</f>
        <v>#DIV/0!</v>
      </c>
      <c r="C2" s="2797" t="s">
        <v>1281</v>
      </c>
      <c r="D2" s="3062"/>
      <c r="E2" s="2799"/>
      <c r="F2" s="2800"/>
      <c r="G2" s="2801"/>
      <c r="H2" s="2802"/>
      <c r="I2" s="2802"/>
      <c r="J2" s="2802"/>
      <c r="K2" s="2803"/>
      <c r="L2" s="2802"/>
      <c r="M2" s="2802"/>
    </row>
    <row r="3" ht="18" customHeight="1" spans="1:37">
      <c r="A3" s="2804" t="s">
        <v>1282</v>
      </c>
      <c r="B3" s="2805">
        <f ca="1">IF(ISERROR(D3/F29),0,ROUND(D3/F29,0))</f>
        <v>0</v>
      </c>
      <c r="C3" s="2797" t="s">
        <v>1283</v>
      </c>
      <c r="D3" s="2797" t="e">
        <f ca="1">IF(D2="含税",C28+J29+L51,C25+J28+L51)</f>
        <v>#DIV/0!</v>
      </c>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3063" t="s">
        <v>1289</v>
      </c>
      <c r="M4" s="2812"/>
    </row>
    <row r="5" ht="18" customHeight="1" spans="1:37">
      <c r="A5" s="2813">
        <v>1</v>
      </c>
      <c r="B5" s="3064" t="s">
        <v>1290</v>
      </c>
      <c r="C5" s="3065">
        <f ca="1">C6+C10+C12</f>
        <v>0</v>
      </c>
      <c r="D5" s="2816" t="s">
        <v>1291</v>
      </c>
      <c r="E5" s="2817"/>
      <c r="F5" s="2818"/>
      <c r="G5" s="892"/>
      <c r="H5" s="2813">
        <v>1</v>
      </c>
      <c r="I5" s="2814" t="s">
        <v>1292</v>
      </c>
      <c r="J5" s="3065">
        <f ca="1">J6+J10+J12</f>
        <v>0</v>
      </c>
      <c r="K5" s="2816" t="s">
        <v>1291</v>
      </c>
      <c r="L5" s="3066"/>
      <c r="M5" s="2818"/>
    </row>
    <row r="6" ht="18" customHeight="1" spans="1:37">
      <c r="A6" s="2819" t="s">
        <v>1001</v>
      </c>
      <c r="B6" s="3067" t="s">
        <v>1293</v>
      </c>
      <c r="C6" s="3068">
        <f ca="1">C7-C9</f>
        <v>0</v>
      </c>
      <c r="D6" s="1291" t="s">
        <v>1294</v>
      </c>
      <c r="E6" s="3069" t="s">
        <v>1295</v>
      </c>
      <c r="F6" s="3070">
        <f ca="1">INDIRECT("'数据-取费表'!u"&amp;$G$1)</f>
        <v>0</v>
      </c>
      <c r="G6" s="892"/>
      <c r="H6" s="2819" t="s">
        <v>1001</v>
      </c>
      <c r="I6" s="2820" t="s">
        <v>1296</v>
      </c>
      <c r="J6" s="2500">
        <f ca="1">J7-J9</f>
        <v>0</v>
      </c>
      <c r="K6" s="1291" t="s">
        <v>1294</v>
      </c>
      <c r="L6" s="3071" t="s">
        <v>1295</v>
      </c>
      <c r="M6" s="3072">
        <f ca="1">INDIRECT("'数据-取费表'!z"&amp;$G$1)</f>
        <v>0</v>
      </c>
    </row>
    <row r="7" ht="18" customHeight="1" spans="1:37">
      <c r="A7" s="3073" t="s">
        <v>1030</v>
      </c>
      <c r="B7" s="3074" t="s">
        <v>1297</v>
      </c>
      <c r="C7" s="2500">
        <f ca="1">ROUND(F6*F7*F8,0)</f>
        <v>0</v>
      </c>
      <c r="D7" s="3075" t="s">
        <v>1298</v>
      </c>
      <c r="E7" s="2830" t="s">
        <v>1299</v>
      </c>
      <c r="F7" s="3076">
        <f ca="1">IF(INDIRECT("'数据-取费表'!ah"&amp;$G$1)="",INDIRECT("'数据-取费表'!k"&amp;$G$1),INDIRECT("'数据-取费表'!ah"&amp;$G$1))</f>
        <v>0</v>
      </c>
      <c r="G7" s="892"/>
      <c r="H7" s="3073" t="s">
        <v>1030</v>
      </c>
      <c r="I7" s="3074" t="s">
        <v>1297</v>
      </c>
      <c r="J7" s="3077">
        <f ca="1">ROUND(M6*M8*M7/10000,0)</f>
        <v>0</v>
      </c>
      <c r="K7" s="1292" t="s">
        <v>1300</v>
      </c>
      <c r="L7" s="1314" t="s">
        <v>1299</v>
      </c>
      <c r="M7" s="3078">
        <f ca="1">F7</f>
        <v>0</v>
      </c>
    </row>
    <row r="8" ht="18" customHeight="1" spans="1:37">
      <c r="A8" s="3079"/>
      <c r="B8" s="3080"/>
      <c r="C8" s="2500"/>
      <c r="D8" s="3075"/>
      <c r="E8" s="1313" t="s">
        <v>1301</v>
      </c>
      <c r="F8" s="3076">
        <f ca="1">INDIRECT("'数据-取费表'!ai"&amp;$G$1)</f>
        <v>0</v>
      </c>
      <c r="G8" s="892"/>
      <c r="H8" s="3079"/>
      <c r="I8" s="3080"/>
      <c r="J8" s="3077"/>
      <c r="K8" s="1292"/>
      <c r="L8" s="1314" t="s">
        <v>1301</v>
      </c>
      <c r="M8" s="3078">
        <f ca="1">INDIRECT("'数据-取费表'!ai"&amp;$G$1)</f>
        <v>0</v>
      </c>
    </row>
    <row r="9" ht="18" customHeight="1" spans="1:37">
      <c r="A9" s="1327" t="s">
        <v>1034</v>
      </c>
      <c r="B9" s="3080" t="s">
        <v>1302</v>
      </c>
      <c r="C9" s="3077">
        <f ca="1">ROUND(C7*F9,0)</f>
        <v>0</v>
      </c>
      <c r="D9" s="1291" t="s">
        <v>1303</v>
      </c>
      <c r="E9" s="1313" t="s">
        <v>1304</v>
      </c>
      <c r="F9" s="3081">
        <f ca="1">INDIRECT("'数据-取费表'!w"&amp;$G$1)</f>
        <v>0</v>
      </c>
      <c r="G9" s="892"/>
      <c r="H9" s="1327" t="s">
        <v>1034</v>
      </c>
      <c r="I9" s="3080" t="s">
        <v>1302</v>
      </c>
      <c r="J9" s="2500">
        <f ca="1">ROUND(J7*M9,0)</f>
        <v>0</v>
      </c>
      <c r="K9" s="1292"/>
      <c r="L9" s="3082" t="s">
        <v>1304</v>
      </c>
      <c r="M9" s="3083">
        <f ca="1">INDIRECT("'数据-取费表'!ab"&amp;$G$1)</f>
        <v>0</v>
      </c>
    </row>
    <row r="10" ht="18" customHeight="1" spans="1:37">
      <c r="A10" s="2819" t="s">
        <v>1006</v>
      </c>
      <c r="B10" s="2837" t="s">
        <v>1305</v>
      </c>
      <c r="C10" s="3084">
        <f ca="1">ROUND(IF(F10="押一",C6/12*F11,IF(F10="押二",C6/12*2*F11,IF(F10="押三",C6/12*3*F11,C11*F11))),0)</f>
        <v>0</v>
      </c>
      <c r="D10" s="2838" t="s">
        <v>1306</v>
      </c>
      <c r="E10" s="2835" t="s">
        <v>1307</v>
      </c>
      <c r="F10" s="2839"/>
      <c r="G10" s="892"/>
      <c r="H10" s="2819" t="s">
        <v>1006</v>
      </c>
      <c r="I10" s="2837" t="s">
        <v>1305</v>
      </c>
      <c r="J10" s="3085">
        <f ca="1">ROUND(IF(M10="押一",J6/12*M11,IF(M10="押二",J6/12*2*M11,IF(M10="押三",J6/12*3*M11,J11*M11))),0)</f>
        <v>0</v>
      </c>
      <c r="K10" s="2838" t="s">
        <v>1306</v>
      </c>
      <c r="L10" s="3082" t="s">
        <v>1307</v>
      </c>
      <c r="M10" s="3086"/>
    </row>
    <row r="11" ht="18" customHeight="1" spans="1:37">
      <c r="A11" s="2841"/>
      <c r="B11" s="2842" t="s">
        <v>1311</v>
      </c>
      <c r="C11" s="3087"/>
      <c r="D11" s="3088"/>
      <c r="E11" s="2835" t="s">
        <v>1310</v>
      </c>
      <c r="F11" s="3089">
        <f ca="1">'数据-取费表'!B40</f>
        <v>0.015</v>
      </c>
      <c r="G11" s="892"/>
      <c r="H11" s="2844"/>
      <c r="I11" s="2842" t="s">
        <v>1311</v>
      </c>
      <c r="J11" s="3090"/>
      <c r="K11" s="2845"/>
      <c r="L11" s="3082" t="s">
        <v>1310</v>
      </c>
      <c r="M11" s="3083">
        <f ca="1">'数据-取费表'!B40</f>
        <v>0.015</v>
      </c>
    </row>
    <row r="12" ht="18" customHeight="1" spans="1:37">
      <c r="A12" s="2847" t="s">
        <v>1057</v>
      </c>
      <c r="B12" s="2848" t="s">
        <v>1312</v>
      </c>
      <c r="C12" s="3091"/>
      <c r="D12" s="2850"/>
      <c r="E12" s="2851"/>
      <c r="F12" s="2852"/>
      <c r="G12" s="892"/>
      <c r="H12" s="2847" t="s">
        <v>1057</v>
      </c>
      <c r="I12" s="2848" t="s">
        <v>1312</v>
      </c>
      <c r="J12" s="3091"/>
      <c r="K12" s="2853"/>
      <c r="L12" s="3092"/>
      <c r="M12" s="3093"/>
    </row>
    <row r="13" ht="18" customHeight="1" spans="1:37">
      <c r="A13" s="2855" t="s">
        <v>1313</v>
      </c>
      <c r="B13" s="2856" t="s">
        <v>1314</v>
      </c>
      <c r="C13" s="3094">
        <f ca="1">ROUND(C14+C21+C22+C23,0)</f>
        <v>0</v>
      </c>
      <c r="D13" s="2861" t="s">
        <v>1315</v>
      </c>
      <c r="E13" s="2876"/>
      <c r="F13" s="2818"/>
      <c r="G13" s="892"/>
      <c r="H13" s="2855" t="s">
        <v>1313</v>
      </c>
      <c r="I13" s="2856" t="s">
        <v>1314</v>
      </c>
      <c r="J13" s="3094">
        <f ca="1">ROUND(J14+J21+J22+J23,0)</f>
        <v>0</v>
      </c>
      <c r="K13" s="2865" t="s">
        <v>1316</v>
      </c>
      <c r="L13" s="2818"/>
      <c r="M13" s="3095"/>
    </row>
    <row r="14" ht="18" customHeight="1" spans="1:37">
      <c r="A14" s="738" t="s">
        <v>1001</v>
      </c>
      <c r="B14" s="1313" t="s">
        <v>1317</v>
      </c>
      <c r="C14" s="3096">
        <f ca="1">ROUND(IF(AND(项目基本情况!B11="自然人",项目基本情况!B10="北京市",M52="住宅"),C6*F14,C15+C18+C19),2)</f>
        <v>0</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0</v>
      </c>
      <c r="K14" s="3099" t="s">
        <v>1319</v>
      </c>
      <c r="L14" s="3100" t="s">
        <v>1318</v>
      </c>
      <c r="M14" s="3097" t="str">
        <f ca="1">IF(项目基本情况!B11="企业","",IF('数据-取费表'!B10="住宅",IF(M6*M7*M8/12/(1+'数据-取费表'!F30)&gt;100000,4%,2.5%),IF(M6*M7*M8/12/(1+'数据-取费表'!F30)&gt;100000,12%,7%)))</f>
        <v/>
      </c>
    </row>
    <row r="15" s="2784" customFormat="1" ht="18" customHeight="1" spans="1:37">
      <c r="A15" s="1327" t="s">
        <v>1030</v>
      </c>
      <c r="B15" s="3069" t="s">
        <v>771</v>
      </c>
      <c r="C15" s="1299">
        <f ca="1">ROUND((C16-C17)*(1+F15),0)</f>
        <v>0</v>
      </c>
      <c r="D15" s="3099" t="s">
        <v>1319</v>
      </c>
      <c r="E15" s="1313" t="s">
        <v>1320</v>
      </c>
      <c r="F15" s="3101">
        <f>'数据-取费表'!B44</f>
        <v>0.1</v>
      </c>
      <c r="G15" s="2870"/>
      <c r="H15" s="738" t="s">
        <v>1030</v>
      </c>
      <c r="I15" s="3069" t="s">
        <v>771</v>
      </c>
      <c r="J15" s="3102">
        <f ca="1">ROUND((J16-J17)*(1+M15),2)</f>
        <v>0</v>
      </c>
      <c r="K15" s="642"/>
      <c r="L15" s="1314" t="s">
        <v>1320</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0">
        <f ca="1">ROUND(C6*F16,0)</f>
        <v>0</v>
      </c>
      <c r="D16" s="642"/>
      <c r="E16" s="3106" t="s">
        <v>1321</v>
      </c>
      <c r="F16" s="3101">
        <v>0.09</v>
      </c>
      <c r="G16" s="892"/>
      <c r="H16" s="671" t="s">
        <v>1133</v>
      </c>
      <c r="I16" s="3105" t="s">
        <v>965</v>
      </c>
      <c r="J16" s="815">
        <f ca="1">ROUND(J6*M16,2)</f>
        <v>0</v>
      </c>
      <c r="K16" s="3107" t="s">
        <v>1322</v>
      </c>
      <c r="L16" s="3108" t="s">
        <v>1321</v>
      </c>
      <c r="M16" s="3109">
        <v>0.09</v>
      </c>
    </row>
    <row r="17" s="2784" customFormat="1" ht="18" customHeight="1" spans="1:37">
      <c r="A17" s="671" t="s">
        <v>1141</v>
      </c>
      <c r="B17" s="3105" t="s">
        <v>969</v>
      </c>
      <c r="C17" s="3110">
        <f ca="1">ROUND(C21*F16+((C22+C23)*F17),0)</f>
        <v>0</v>
      </c>
      <c r="D17" s="3107" t="s">
        <v>1322</v>
      </c>
      <c r="E17" s="3107"/>
      <c r="F17" s="3101">
        <v>0.06</v>
      </c>
      <c r="G17" s="2870"/>
      <c r="H17" s="671" t="s">
        <v>1141</v>
      </c>
      <c r="I17" s="3105" t="s">
        <v>969</v>
      </c>
      <c r="J17" s="3111">
        <f ca="1">ROUND(J21*M16+((J22+J23)*M17),2)</f>
        <v>0</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1299">
        <f ca="1">IF(AND(项目基本情况!B11="自然人",M52="住宅"),"——",IF(D18="按不含税租金收入计税",ROUND(C6*F18,0),IF(D18="按房产原值计税",ROUND(C47*F18*0.7,0),INDIRECT("'数据-取费表'!Aj"&amp;$G$1))))</f>
        <v>0</v>
      </c>
      <c r="D18" s="3114"/>
      <c r="E18" s="1313" t="s">
        <v>1325</v>
      </c>
      <c r="F18" s="3115">
        <f>IF(D18="按票据","——",IF(D18="按不含税租金收入计税",'数据-取费表'!B52,'数据-取费表'!B51))</f>
        <v>0.012</v>
      </c>
      <c r="G18" s="2870"/>
      <c r="H18" s="738" t="s">
        <v>1034</v>
      </c>
      <c r="I18" s="1313" t="s">
        <v>1323</v>
      </c>
      <c r="J18" s="3102">
        <f ca="1">IF(K18="按不含税租金收入计税",ROUND(J6*M18,2),ROUND(C47*M18*0.7,2))</f>
        <v>0</v>
      </c>
      <c r="K18" s="2881"/>
      <c r="L18" s="1314" t="s">
        <v>1325</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6">
        <f ca="1">IF(AND(项目基本情况!B11="自然人",M52="住宅"),"——",ROUND(F19*F20,0))</f>
        <v>0</v>
      </c>
      <c r="D19" s="2884" t="s">
        <v>1327</v>
      </c>
      <c r="E19" s="1313" t="s">
        <v>1328</v>
      </c>
      <c r="F19" s="3117">
        <f>'数据-取费表'!B53</f>
        <v>1.5</v>
      </c>
      <c r="G19" s="892"/>
      <c r="H19" s="738" t="s">
        <v>1037</v>
      </c>
      <c r="I19" s="2822" t="s">
        <v>1326</v>
      </c>
      <c r="J19" s="3118">
        <f ca="1">ROUND(M19*M20/10000,2)</f>
        <v>0</v>
      </c>
      <c r="K19" s="2884" t="s">
        <v>1327</v>
      </c>
      <c r="L19" s="1314" t="s">
        <v>1328</v>
      </c>
      <c r="M19" s="3119">
        <f>'数据-取费表'!B53</f>
        <v>1.5</v>
      </c>
    </row>
    <row r="20" s="2784" customFormat="1" ht="18" customHeight="1" spans="1:37">
      <c r="A20" s="2886"/>
      <c r="B20" s="2922"/>
      <c r="C20" s="3120"/>
      <c r="D20" s="2889"/>
      <c r="E20" s="1313" t="s">
        <v>1329</v>
      </c>
      <c r="F20" s="3070">
        <f ca="1">INDIRECT("'数据-取费表'!r"&amp;$G$1)</f>
        <v>0</v>
      </c>
      <c r="G20" s="2870"/>
      <c r="H20" s="2886"/>
      <c r="I20" s="2887"/>
      <c r="J20" s="3121"/>
      <c r="K20" s="2889"/>
      <c r="L20" s="1314" t="s">
        <v>1329</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1299">
        <f ca="1">ROUND(C47*F21,0)</f>
        <v>0</v>
      </c>
      <c r="D21" s="2486" t="s">
        <v>1331</v>
      </c>
      <c r="E21" s="1313" t="s">
        <v>1325</v>
      </c>
      <c r="F21" s="3122">
        <f ca="1">INDIRECT("'数据-取费表'!Ak"&amp;$G$1)</f>
        <v>0</v>
      </c>
      <c r="G21" s="2870"/>
      <c r="H21" s="738" t="s">
        <v>1006</v>
      </c>
      <c r="I21" s="1313" t="s">
        <v>1330</v>
      </c>
      <c r="J21" s="3102">
        <f ca="1">ROUND(J31*M21,2)</f>
        <v>0</v>
      </c>
      <c r="K21" s="2486" t="s">
        <v>1331</v>
      </c>
      <c r="L21" s="1314" t="s">
        <v>1325</v>
      </c>
      <c r="M21" s="3123">
        <f ca="1">INDIRECT("'数据-取费表'!Ak"&amp;$G$1)</f>
        <v>0</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1299">
        <f ca="1">ROUND(C49*F22,0)</f>
        <v>0</v>
      </c>
      <c r="D22" s="2486" t="s">
        <v>1333</v>
      </c>
      <c r="E22" s="1313" t="s">
        <v>1325</v>
      </c>
      <c r="F22" s="3124">
        <f ca="1">INDIRECT("'数据-取费表'!Al"&amp;$G$1)</f>
        <v>0</v>
      </c>
      <c r="G22" s="892"/>
      <c r="H22" s="738" t="s">
        <v>1057</v>
      </c>
      <c r="I22" s="1313" t="s">
        <v>1332</v>
      </c>
      <c r="J22" s="3102">
        <f ca="1">ROUND(J33*M22,2)</f>
        <v>0</v>
      </c>
      <c r="K22" s="2486" t="s">
        <v>1334</v>
      </c>
      <c r="L22" s="1314" t="s">
        <v>1325</v>
      </c>
      <c r="M22" s="3125">
        <f ca="1">INDIRECT("'数据-取费表'!Al"&amp;$G$1)</f>
        <v>0</v>
      </c>
    </row>
    <row r="23" s="2784" customFormat="1" ht="18" customHeight="1" spans="1:37">
      <c r="A23" s="2871" t="s">
        <v>1062</v>
      </c>
      <c r="B23" s="2851" t="s">
        <v>1335</v>
      </c>
      <c r="C23" s="3126">
        <f ca="1">ROUND(C5*F23,0)</f>
        <v>0</v>
      </c>
      <c r="D23" s="2894" t="s">
        <v>1336</v>
      </c>
      <c r="E23" s="2851" t="s">
        <v>1325</v>
      </c>
      <c r="F23" s="3127">
        <f ca="1">INDIRECT("'数据-取费表'!Am"&amp;$G$1)</f>
        <v>0</v>
      </c>
      <c r="G23" s="2870"/>
      <c r="H23" s="2871" t="s">
        <v>1062</v>
      </c>
      <c r="I23" s="2851" t="s">
        <v>1335</v>
      </c>
      <c r="J23" s="3128">
        <f ca="1">ROUND(J5*M23,2)</f>
        <v>0</v>
      </c>
      <c r="K23" s="2894" t="s">
        <v>1336</v>
      </c>
      <c r="L23" s="3092" t="s">
        <v>1325</v>
      </c>
      <c r="M23" s="3129">
        <f ca="1">INDIRECT("'数据-取费表'!Am"&amp;$G$1)</f>
        <v>0</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094">
        <f ca="1">C5-C13</f>
        <v>0</v>
      </c>
      <c r="D24" s="2896" t="s">
        <v>1338</v>
      </c>
      <c r="E24" s="2897"/>
      <c r="F24" s="2898"/>
      <c r="G24" s="2870"/>
      <c r="H24" s="2855" t="s">
        <v>1177</v>
      </c>
      <c r="I24" s="2895" t="s">
        <v>1337</v>
      </c>
      <c r="J24" s="3094">
        <f ca="1">J5-J13</f>
        <v>0</v>
      </c>
      <c r="K24" s="2896" t="s">
        <v>1338</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2500" t="e">
        <f ca="1">ROUND(C24*(1-((1+F27)/(1+F25))^F26)/(F25-F27),0)</f>
        <v>#DIV/0!</v>
      </c>
      <c r="D25" s="2884" t="s">
        <v>1341</v>
      </c>
      <c r="E25" s="1313" t="s">
        <v>1342</v>
      </c>
      <c r="F25" s="3081">
        <f ca="1">INDIRECT("'数据-取费表'!I"&amp;$G$1)</f>
        <v>0</v>
      </c>
      <c r="G25" s="892"/>
      <c r="H25" s="2813" t="s">
        <v>1339</v>
      </c>
      <c r="I25" s="2814" t="s">
        <v>1343</v>
      </c>
      <c r="J25" s="3133">
        <f ca="1">IF(J5&lt;&gt;0,ROUND(J24*(1-((1+M27)/(1+M25))^M26)/(M25-M27),0),0)</f>
        <v>0</v>
      </c>
      <c r="K25" s="2884" t="s">
        <v>1341</v>
      </c>
      <c r="L25" s="3082" t="s">
        <v>1342</v>
      </c>
      <c r="M25" s="3083">
        <f ca="1">INDIRECT("'数据-取费表'!I"&amp;$G$1)</f>
        <v>0</v>
      </c>
    </row>
    <row r="26" ht="13" spans="1:37">
      <c r="A26" s="3131"/>
      <c r="B26" s="3132"/>
      <c r="C26" s="2500"/>
      <c r="D26" s="2900" t="s">
        <v>1344</v>
      </c>
      <c r="E26" s="1313" t="s">
        <v>1345</v>
      </c>
      <c r="F26" s="3134">
        <f ca="1">IF(INDIRECT("'数据-取费表'!af"&amp;$G$1)=0,INDIRECT("'数据-取费表'!ae"&amp;$G$1),INDIRECT("'数据-取费表'!af"&amp;$G$1))</f>
        <v>0</v>
      </c>
      <c r="G26" s="892"/>
      <c r="H26" s="2831"/>
      <c r="I26" s="2899"/>
      <c r="J26" s="3077"/>
      <c r="K26" s="2486" t="s">
        <v>1344</v>
      </c>
      <c r="L26" s="1314" t="s">
        <v>1345</v>
      </c>
      <c r="M26" s="3135">
        <f ca="1">INDIRECT("'数据-取费表'!ag"&amp;$G$1)</f>
        <v>0</v>
      </c>
    </row>
    <row r="27" ht="18" customHeight="1" spans="1:37">
      <c r="A27" s="2987"/>
      <c r="B27" s="3132"/>
      <c r="C27" s="2500"/>
      <c r="D27" s="2889"/>
      <c r="E27" s="1313" t="s">
        <v>1346</v>
      </c>
      <c r="F27" s="3081">
        <f ca="1">INDIRECT("'数据-取费表'!v"&amp;$G$1)</f>
        <v>0</v>
      </c>
      <c r="G27" s="892"/>
      <c r="H27" s="2841"/>
      <c r="I27" s="2902"/>
      <c r="J27" s="3094"/>
      <c r="K27" s="2486"/>
      <c r="L27" s="1314" t="s">
        <v>1346</v>
      </c>
      <c r="M27" s="3136">
        <f ca="1">INDIRECT("'数据-取费表'!aa"&amp;$G$1)</f>
        <v>0</v>
      </c>
    </row>
    <row r="28" s="2784" customFormat="1" ht="18" customHeight="1" spans="1:37">
      <c r="A28" s="3131" t="s">
        <v>1347</v>
      </c>
      <c r="B28" s="3137" t="s">
        <v>1348</v>
      </c>
      <c r="C28" s="2500" t="e">
        <f ca="1">ROUND(C25*(1+F28),0)</f>
        <v>#DIV/0!</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4"/>
      <c r="M28" s="3135">
        <f ca="1">INDIRECT("'数据-取费表'!k"&amp;$G$1)</f>
        <v>0</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3142" t="e">
        <f ca="1">ROUND(C28/F29,0)</f>
        <v>#DIV/0!</v>
      </c>
      <c r="D29" s="2907" t="s">
        <v>1354</v>
      </c>
      <c r="E29" s="2908" t="s">
        <v>1355</v>
      </c>
      <c r="F29" s="3143">
        <f ca="1">INDIRECT("'数据-取费表'!k"&amp;$G$1)</f>
        <v>0</v>
      </c>
      <c r="G29" s="2870"/>
      <c r="H29" s="2904" t="s">
        <v>1352</v>
      </c>
      <c r="I29" s="3144" t="s">
        <v>1356</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0</v>
      </c>
      <c r="D31" s="3152" t="s">
        <v>1359</v>
      </c>
      <c r="E31" s="3153"/>
      <c r="F31" s="3154"/>
      <c r="G31" s="892"/>
      <c r="H31" s="3155" t="s">
        <v>1357</v>
      </c>
      <c r="I31" s="3156" t="s">
        <v>1360</v>
      </c>
      <c r="J31" s="3157">
        <f ca="1">C47</f>
        <v>0</v>
      </c>
      <c r="K31" s="3158" t="s">
        <v>1361</v>
      </c>
      <c r="L31" s="3159"/>
      <c r="M31" s="3160"/>
    </row>
    <row r="32" ht="18" customHeight="1" spans="1:37">
      <c r="A32" s="1327" t="s">
        <v>1030</v>
      </c>
      <c r="B32" s="3161" t="s">
        <v>1362</v>
      </c>
      <c r="C32" s="3162">
        <f ca="1">ROUND(INDIRECT("'数据-取费表'!l"&amp;$G$1)*F29+'数据-取费表'!L14*INDIRECT("'数据-取费表'!S"&amp;$G$1),0)</f>
        <v>0</v>
      </c>
      <c r="D32" s="2486" t="s">
        <v>1363</v>
      </c>
      <c r="E32" s="2486"/>
      <c r="F32" s="2901"/>
      <c r="G32" s="892"/>
      <c r="H32" s="3163" t="s">
        <v>1006</v>
      </c>
      <c r="I32" s="3164" t="s">
        <v>1175</v>
      </c>
      <c r="J32" s="810">
        <f ca="1">ROUND(J31*(1-M32),0)</f>
        <v>0</v>
      </c>
      <c r="K32" s="1313" t="s">
        <v>1364</v>
      </c>
      <c r="L32" s="1291" t="s">
        <v>1365</v>
      </c>
      <c r="M32" s="2834">
        <f ca="1">INDIRECT("'数据-取费表'!ad"&amp;$G$1)</f>
        <v>0</v>
      </c>
    </row>
    <row r="33" ht="18" customHeight="1" spans="1:17">
      <c r="A33" s="1327" t="s">
        <v>1034</v>
      </c>
      <c r="B33" s="3161" t="s">
        <v>1366</v>
      </c>
      <c r="C33" s="1299">
        <f ca="1">ROUND(C32*F33,0)</f>
        <v>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7">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7">
      <c r="A35" s="1327" t="s">
        <v>1372</v>
      </c>
      <c r="B35" s="3161" t="s">
        <v>1373</v>
      </c>
      <c r="C35" s="1299">
        <f ca="1">ROUND(F35*(F29+INDIRECT("'数据-取费表'!S"&amp;$G$1)),0)</f>
        <v>0</v>
      </c>
      <c r="D35" s="1313" t="s">
        <v>1374</v>
      </c>
      <c r="E35" s="1313" t="s">
        <v>1375</v>
      </c>
      <c r="F35" s="3169">
        <f>'数据-取费表'!B35</f>
        <v>185</v>
      </c>
      <c r="G35" s="892"/>
    </row>
    <row r="36" ht="18" customHeight="1" spans="1:17">
      <c r="A36" s="1327" t="s">
        <v>1376</v>
      </c>
      <c r="B36" s="3105" t="s">
        <v>763</v>
      </c>
      <c r="C36" s="1299">
        <f ca="1">ROUND(C32*F36,0)</f>
        <v>0</v>
      </c>
      <c r="D36" s="1313" t="s">
        <v>1367</v>
      </c>
      <c r="E36" s="1313" t="s">
        <v>1325</v>
      </c>
      <c r="F36" s="3115">
        <f>'数据-取费表'!B36</f>
        <v>0.01</v>
      </c>
      <c r="G36" s="892"/>
      <c r="H36" s="720"/>
      <c r="I36" s="720"/>
      <c r="J36" s="720"/>
      <c r="K36" s="1349"/>
      <c r="L36" s="720"/>
      <c r="M36" s="720"/>
    </row>
    <row r="37" ht="18" customHeight="1" spans="1:17">
      <c r="A37" s="1327" t="s">
        <v>1376</v>
      </c>
      <c r="B37" s="3105" t="s">
        <v>764</v>
      </c>
      <c r="C37" s="1299">
        <f ca="1">ROUND(C32*F37,0)</f>
        <v>0</v>
      </c>
      <c r="D37" s="1313" t="s">
        <v>1367</v>
      </c>
      <c r="E37" s="1313" t="s">
        <v>1325</v>
      </c>
      <c r="F37" s="3115">
        <f>'数据-取费表'!B37</f>
        <v>0.01</v>
      </c>
      <c r="G37" s="892"/>
      <c r="H37" s="720"/>
      <c r="I37" s="720"/>
      <c r="J37" s="720"/>
      <c r="K37" s="1349"/>
      <c r="L37" s="720"/>
      <c r="M37" s="720"/>
    </row>
    <row r="38" ht="18" customHeight="1" spans="1:17">
      <c r="A38" s="3019" t="s">
        <v>1377</v>
      </c>
      <c r="B38" s="3141" t="s">
        <v>1378</v>
      </c>
      <c r="C38" s="2500">
        <f ca="1">ROUND(C31*F38,0)</f>
        <v>0</v>
      </c>
      <c r="D38" s="3132" t="s">
        <v>1379</v>
      </c>
      <c r="E38" s="3141" t="s">
        <v>1380</v>
      </c>
      <c r="F38" s="3081">
        <f>'数据-取费表'!B38</f>
        <v>0.03</v>
      </c>
      <c r="G38" s="892"/>
      <c r="H38" s="720"/>
      <c r="I38" s="720"/>
      <c r="J38" s="720"/>
      <c r="K38" s="1349"/>
      <c r="L38" s="720"/>
      <c r="M38" s="720"/>
    </row>
    <row r="39" ht="18" customHeight="1" spans="1:17">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7">
      <c r="A40" s="3019" t="s">
        <v>1384</v>
      </c>
      <c r="B40" s="3171" t="s">
        <v>1159</v>
      </c>
      <c r="C40" s="3170" t="str">
        <f ca="1">C41&amp;"+"&amp;C42&amp;"V建"</f>
        <v>0+0.0007V建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1030</v>
      </c>
      <c r="B41" s="1313" t="s">
        <v>1385</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1386</v>
      </c>
      <c r="F41" s="3117">
        <f>'数据-取费表'!B20</f>
        <v>1.5</v>
      </c>
      <c r="G41" s="892"/>
      <c r="H41" s="720"/>
      <c r="I41" s="720"/>
      <c r="J41" s="720"/>
      <c r="K41" s="1349"/>
      <c r="L41" s="720"/>
      <c r="M41" s="720"/>
    </row>
    <row r="42" ht="18" customHeight="1" spans="1:17">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7">
      <c r="A43" s="3019" t="s">
        <v>1389</v>
      </c>
      <c r="B43" s="3171" t="s">
        <v>1167</v>
      </c>
      <c r="C43" s="3170" t="str">
        <f ca="1">C44&amp;"+"&amp;C45&amp;"V建"</f>
        <v>0+0V建</v>
      </c>
      <c r="D43" s="1307" t="s">
        <v>1390</v>
      </c>
      <c r="E43" s="2480"/>
      <c r="F43" s="3174"/>
      <c r="G43" s="892"/>
      <c r="H43" s="720"/>
      <c r="I43" s="720"/>
      <c r="J43" s="720"/>
      <c r="K43" s="1349"/>
      <c r="L43" s="720"/>
      <c r="M43" s="720"/>
    </row>
    <row r="44" ht="18" customHeight="1" spans="1:17">
      <c r="A44" s="1327" t="s">
        <v>1030</v>
      </c>
      <c r="B44" s="1313" t="s">
        <v>1391</v>
      </c>
      <c r="C44" s="1299">
        <f ca="1">ROUND((C31+C38)*F44,0)</f>
        <v>0</v>
      </c>
      <c r="D44" s="2882" t="s">
        <v>1392</v>
      </c>
      <c r="E44" s="1313" t="s">
        <v>1393</v>
      </c>
      <c r="F44" s="3081">
        <f ca="1">INDIRECT("'数据-取费表'!q"&amp;$G$1)</f>
        <v>0</v>
      </c>
      <c r="G44" s="892"/>
      <c r="H44" s="720"/>
      <c r="I44" s="720"/>
      <c r="J44" s="720"/>
      <c r="K44" s="1349"/>
      <c r="L44" s="720"/>
      <c r="M44" s="720"/>
    </row>
    <row r="45" ht="18" customHeight="1" spans="1:17">
      <c r="A45" s="1327" t="s">
        <v>1034</v>
      </c>
      <c r="B45" s="1313" t="s">
        <v>1394</v>
      </c>
      <c r="C45" s="3173">
        <f ca="1">ROUND(F39*F44,4)</f>
        <v>0</v>
      </c>
      <c r="D45" s="2882" t="s">
        <v>1395</v>
      </c>
      <c r="E45" s="1313"/>
      <c r="F45" s="3115"/>
      <c r="G45" s="892"/>
      <c r="H45" s="720"/>
      <c r="I45" s="720"/>
      <c r="J45" s="720"/>
      <c r="K45" s="1349"/>
      <c r="L45" s="720"/>
      <c r="M45" s="720"/>
    </row>
    <row r="46" ht="18" customHeight="1" spans="1:17">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7">
      <c r="A47" s="3019" t="s">
        <v>1398</v>
      </c>
      <c r="B47" s="3141" t="s">
        <v>1399</v>
      </c>
      <c r="C47" s="2500">
        <f ca="1">ROUND((C31+C38+C41+C44)/(1-F39-C42-C45-C46),0)</f>
        <v>0</v>
      </c>
      <c r="D47" s="3175" t="s">
        <v>1361</v>
      </c>
      <c r="E47" s="3141"/>
      <c r="F47" s="3081"/>
      <c r="K47" s="2928"/>
      <c r="Q47" s="3058"/>
    </row>
    <row r="48" s="892" customFormat="1" ht="18" customHeight="1" spans="1:17">
      <c r="A48" s="3176" t="s">
        <v>1202</v>
      </c>
      <c r="B48" s="3171" t="s">
        <v>1175</v>
      </c>
      <c r="C48" s="2500">
        <f ca="1">ROUND(C47*(1-F48),0)</f>
        <v>0</v>
      </c>
      <c r="D48" s="1313" t="s">
        <v>1364</v>
      </c>
      <c r="E48" s="1313" t="s">
        <v>1400</v>
      </c>
      <c r="F48" s="3115">
        <f ca="1">INDIRECT("'数据-取费表'!y"&amp;$G$1)</f>
        <v>0</v>
      </c>
      <c r="K48" s="2928"/>
      <c r="Q48" s="3058"/>
    </row>
    <row r="49" s="892" customFormat="1" ht="18" customHeight="1" spans="1:18">
      <c r="A49" s="3177" t="s">
        <v>1401</v>
      </c>
      <c r="B49" s="3178" t="s">
        <v>1402</v>
      </c>
      <c r="C49" s="3142">
        <f ca="1">C47-C48</f>
        <v>0</v>
      </c>
      <c r="D49" s="3167" t="s">
        <v>1370</v>
      </c>
      <c r="E49" s="2905"/>
      <c r="F49" s="3179"/>
      <c r="K49" s="2928"/>
      <c r="Q49" s="3058"/>
    </row>
    <row r="50" s="892" customFormat="1" ht="18" customHeight="1" spans="1:18">
      <c r="A50" s="2926"/>
      <c r="B50" s="2926"/>
      <c r="C50" s="2927"/>
      <c r="D50" s="2926"/>
      <c r="E50" s="2926"/>
      <c r="F50" s="2926"/>
      <c r="I50" s="3180" t="s">
        <v>1403</v>
      </c>
      <c r="J50" s="2386"/>
      <c r="O50" s="3181" t="s">
        <v>1404</v>
      </c>
      <c r="P50" s="2925"/>
      <c r="Q50" s="3182"/>
      <c r="R50" s="2925"/>
    </row>
    <row r="51" s="892" customFormat="1" ht="13.75" spans="1:18">
      <c r="A51" s="2933" t="s">
        <v>1405</v>
      </c>
      <c r="C51" s="3183" t="e">
        <f ca="1">IF(D2="含税",C78-C28,C75-C25)</f>
        <v>#DIV/0!</v>
      </c>
      <c r="D51" s="2935" t="str">
        <f>C2</f>
        <v>万元</v>
      </c>
      <c r="E51" s="2926"/>
      <c r="F51" s="2926"/>
      <c r="I51" s="2936" t="s">
        <v>1406</v>
      </c>
      <c r="J51" s="2937"/>
      <c r="K51" s="2938"/>
      <c r="L51" s="3184" t="e">
        <f ca="1">IF(M52="住宅",0,IF(L53&gt;J56,L65,J65))</f>
        <v>#DIV/0!</v>
      </c>
      <c r="O51" s="2940" t="s">
        <v>1407</v>
      </c>
      <c r="P51" s="2941" t="s">
        <v>1408</v>
      </c>
      <c r="Q51" s="3185" t="s">
        <v>1409</v>
      </c>
      <c r="R51" s="2942" t="s">
        <v>1410</v>
      </c>
    </row>
    <row r="52" s="892" customFormat="1" ht="13.75" spans="1:18">
      <c r="A52" s="2943" t="s">
        <v>1285</v>
      </c>
      <c r="B52" s="2944" t="s">
        <v>1286</v>
      </c>
      <c r="C52" s="3186" t="s">
        <v>1287</v>
      </c>
      <c r="D52" s="2944" t="s">
        <v>1288</v>
      </c>
      <c r="E52" s="2945" t="s">
        <v>1289</v>
      </c>
      <c r="F52" s="2472"/>
      <c r="G52" s="2946"/>
      <c r="I52" s="2947" t="s">
        <v>1411</v>
      </c>
      <c r="J52" s="2948"/>
      <c r="K52" s="2949" t="s">
        <v>1412</v>
      </c>
      <c r="L52" s="3187">
        <f ca="1">INDIRECT("'数据-取费表'!d"&amp;$G$1)</f>
        <v>0</v>
      </c>
      <c r="M52" s="2951" t="str">
        <f>IF(ISNUMBER(FIND("住宅",C1)),"住宅","非住宅")</f>
        <v>非住宅</v>
      </c>
      <c r="O52" s="2952" t="s">
        <v>1136</v>
      </c>
      <c r="P52" s="2953" t="s">
        <v>1413</v>
      </c>
      <c r="Q52" s="3188" t="e">
        <f ca="1">C25+J28</f>
        <v>#DIV/0!</v>
      </c>
      <c r="R52" s="2954" t="s">
        <v>1414</v>
      </c>
    </row>
    <row r="53" s="892" customFormat="1" ht="42.75" spans="1:18">
      <c r="A53" s="2955" t="s">
        <v>1113</v>
      </c>
      <c r="B53" s="2814" t="s">
        <v>1292</v>
      </c>
      <c r="C53" s="3189">
        <f ca="1">C54+C58+C60</f>
        <v>0</v>
      </c>
      <c r="D53" s="2956"/>
      <c r="E53" s="2957"/>
      <c r="F53" s="2958"/>
      <c r="G53" s="2946"/>
      <c r="H53" s="2959"/>
      <c r="I53" s="2960" t="s">
        <v>1415</v>
      </c>
      <c r="J53" s="2961"/>
      <c r="K53" s="2962" t="s">
        <v>1417</v>
      </c>
      <c r="L53" s="3190">
        <f ca="1">INDIRECT("'数据-取费表'!f"&amp;$G$1)</f>
        <v>0</v>
      </c>
      <c r="O53" s="2952" t="s">
        <v>1139</v>
      </c>
      <c r="P53" s="2953" t="s">
        <v>1418</v>
      </c>
      <c r="Q53" s="3188" t="e">
        <f ca="1">J65</f>
        <v>#DIV/0!</v>
      </c>
      <c r="R53" s="2954" t="s">
        <v>1419</v>
      </c>
    </row>
    <row r="54" s="892" customFormat="1" ht="15.75" spans="1:18">
      <c r="A54" s="2964" t="s">
        <v>1357</v>
      </c>
      <c r="B54" s="2965" t="s">
        <v>1420</v>
      </c>
      <c r="C54" s="3191">
        <f ca="1">C55-C57</f>
        <v>0</v>
      </c>
      <c r="D54" s="2967" t="s">
        <v>1421</v>
      </c>
      <c r="E54" s="3192" t="s">
        <v>1422</v>
      </c>
      <c r="F54" s="3193"/>
      <c r="G54" s="2970"/>
      <c r="H54" s="2959"/>
      <c r="I54" s="2960" t="s">
        <v>1423</v>
      </c>
      <c r="J54" s="3194"/>
      <c r="K54" s="2962" t="s">
        <v>1424</v>
      </c>
      <c r="L54" s="3195"/>
      <c r="O54" s="2973" t="s">
        <v>1425</v>
      </c>
      <c r="P54" s="2953" t="s">
        <v>1426</v>
      </c>
      <c r="Q54" s="3188">
        <f ca="1">C47</f>
        <v>0</v>
      </c>
      <c r="R54" s="2954" t="s">
        <v>1414</v>
      </c>
    </row>
    <row r="55" s="892" customFormat="1" ht="13.75" spans="1:18">
      <c r="A55" s="2974" t="s">
        <v>1427</v>
      </c>
      <c r="B55" s="3196" t="s">
        <v>1428</v>
      </c>
      <c r="C55" s="3197">
        <f ca="1">ROUND(F54*F56*F55,0)</f>
        <v>0</v>
      </c>
      <c r="D55" s="2977"/>
      <c r="E55" s="2978" t="s">
        <v>1299</v>
      </c>
      <c r="F55" s="3198">
        <f ca="1">F7</f>
        <v>0</v>
      </c>
      <c r="H55" s="2959"/>
      <c r="I55" s="2960" t="s">
        <v>1429</v>
      </c>
      <c r="J55" s="3199">
        <f>SUMPRODUCT((I68:I70=J52)*(J67:L67=J53)*(J68:L70))</f>
        <v>0</v>
      </c>
      <c r="K55" s="2962" t="s">
        <v>1430</v>
      </c>
      <c r="L55" s="3195"/>
      <c r="M55" s="2981"/>
      <c r="O55" s="2973" t="s">
        <v>1431</v>
      </c>
      <c r="P55" s="2953" t="s">
        <v>1432</v>
      </c>
      <c r="Q55" s="3200" t="e">
        <f ca="1">J63</f>
        <v>#DIV/0!</v>
      </c>
      <c r="R55" s="2954"/>
    </row>
    <row r="56" s="892" customFormat="1" ht="13.75" spans="1:18">
      <c r="A56" s="2983"/>
      <c r="B56" s="2975"/>
      <c r="C56" s="3201"/>
      <c r="D56" s="2977"/>
      <c r="E56" s="2984" t="s">
        <v>1301</v>
      </c>
      <c r="F56" s="3172">
        <f ca="1">F8</f>
        <v>0</v>
      </c>
      <c r="I56" s="2985" t="s">
        <v>1433</v>
      </c>
      <c r="J56" s="3190">
        <f>IF(J54="",J55,J54+J55-YEAR('数据-取费表'!B2))</f>
        <v>0</v>
      </c>
      <c r="K56" s="2987" t="s">
        <v>1434</v>
      </c>
      <c r="L56" s="3202">
        <f ca="1">ROUND(-PV(INDIRECT("'数据-取费表'!h"&amp;$G$1),J56,(C24-C48*C83),0),0)</f>
        <v>0</v>
      </c>
      <c r="M56" s="2989"/>
      <c r="O56" s="2973" t="s">
        <v>1435</v>
      </c>
      <c r="P56" s="2953" t="s">
        <v>1436</v>
      </c>
      <c r="Q56" s="3200">
        <f>J57</f>
        <v>0</v>
      </c>
      <c r="R56" s="2954"/>
    </row>
    <row r="57" s="892" customFormat="1" ht="13.75" spans="1:18">
      <c r="A57" s="2983" t="s">
        <v>1437</v>
      </c>
      <c r="B57" s="3196" t="s">
        <v>1302</v>
      </c>
      <c r="C57" s="3201">
        <f ca="1">ROUND(C55*F57,0)</f>
        <v>0</v>
      </c>
      <c r="D57" s="2977"/>
      <c r="E57" s="2984" t="s">
        <v>1304</v>
      </c>
      <c r="F57" s="3203"/>
      <c r="I57" s="2991" t="s">
        <v>1438</v>
      </c>
      <c r="J57" s="2992"/>
      <c r="K57" s="2991" t="s">
        <v>1439</v>
      </c>
      <c r="L57" s="3204"/>
      <c r="O57" s="2973" t="s">
        <v>1440</v>
      </c>
      <c r="P57" s="2953" t="s">
        <v>1441</v>
      </c>
      <c r="Q57" s="3188">
        <f ca="1">J58</f>
        <v>0</v>
      </c>
      <c r="R57" s="2954" t="s">
        <v>1442</v>
      </c>
    </row>
    <row r="58" s="892" customFormat="1" ht="26.75" spans="1:18">
      <c r="A58" s="3205" t="s">
        <v>1377</v>
      </c>
      <c r="B58" s="3206" t="s">
        <v>1305</v>
      </c>
      <c r="C58" s="2500">
        <f ca="1">ROUND(IF(F58="押一",C54/12*F11,IF(F58="押二",C54/12*2*F11,IF(F58="押三",C54/12*3*F11,C59*F11))),0)</f>
        <v>0</v>
      </c>
      <c r="D58" s="2838" t="s">
        <v>1306</v>
      </c>
      <c r="E58" s="2835" t="s">
        <v>1307</v>
      </c>
      <c r="F58" s="3207"/>
      <c r="I58" s="2994" t="s">
        <v>1443</v>
      </c>
      <c r="J58" s="3208">
        <f ca="1">IF(M52="住宅",IF(D1="——",MAX(J56,L53),MAX(J56,L53-'数据-取费表'!B24)),IF(D1="——",MIN(J56,L53),MIN(J56,L53-'数据-取费表'!B24)))</f>
        <v>0</v>
      </c>
      <c r="K58" s="2996" t="s">
        <v>1444</v>
      </c>
      <c r="L58" s="2997"/>
      <c r="O58" s="2952" t="s">
        <v>1445</v>
      </c>
      <c r="P58" s="2953" t="s">
        <v>1446</v>
      </c>
      <c r="Q58" s="3188" t="e">
        <f ca="1">Q52+Q53</f>
        <v>#DIV/0!</v>
      </c>
      <c r="R58" s="2954" t="s">
        <v>1447</v>
      </c>
    </row>
    <row r="59" s="892" customFormat="1" ht="26.75" spans="1:18">
      <c r="A59" s="3209"/>
      <c r="B59" s="2842" t="s">
        <v>1311</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1448</v>
      </c>
      <c r="P59" s="3003"/>
      <c r="Q59" s="3210"/>
      <c r="R59" s="3003"/>
    </row>
    <row r="60" s="892" customFormat="1" ht="13.75" spans="1:18">
      <c r="A60" s="2847" t="s">
        <v>1057</v>
      </c>
      <c r="B60" s="2848" t="s">
        <v>1312</v>
      </c>
      <c r="C60" s="3211"/>
      <c r="D60" s="2838"/>
      <c r="E60" s="2999"/>
      <c r="F60" s="3000"/>
      <c r="I60" s="3004" t="s">
        <v>1449</v>
      </c>
      <c r="J60" s="3005" t="e">
        <f ca="1">ROUND(IF(J52="钢混",J62/J55,1-(1-2%)*(J55-J62)/J55),3)</f>
        <v>#DIV/0!</v>
      </c>
      <c r="K60" s="3006" t="s">
        <v>1450</v>
      </c>
      <c r="L60" s="3007"/>
      <c r="O60" s="2940" t="s">
        <v>1407</v>
      </c>
      <c r="P60" s="2941" t="s">
        <v>1408</v>
      </c>
      <c r="Q60" s="3185" t="s">
        <v>1409</v>
      </c>
      <c r="R60" s="2942" t="s">
        <v>1410</v>
      </c>
    </row>
    <row r="61" s="892" customFormat="1" ht="40.5" spans="1:18">
      <c r="A61" s="3008">
        <v>2</v>
      </c>
      <c r="B61" s="3212" t="s">
        <v>1402</v>
      </c>
      <c r="C61" s="3213">
        <f ca="1">C49</f>
        <v>0</v>
      </c>
      <c r="D61" s="642"/>
      <c r="E61" s="3010"/>
      <c r="F61" s="3000"/>
      <c r="I61" s="3011" t="s">
        <v>1451</v>
      </c>
      <c r="J61" s="3012"/>
      <c r="K61" s="2960" t="s">
        <v>1453</v>
      </c>
      <c r="L61" s="3190">
        <f ca="1">IF(L53&lt;J56,"——",L53-J58)</f>
        <v>0</v>
      </c>
      <c r="O61" s="2952" t="s">
        <v>1136</v>
      </c>
      <c r="P61" s="2953" t="s">
        <v>1413</v>
      </c>
      <c r="Q61" s="3188" t="e">
        <f ca="1">C25+J28</f>
        <v>#DIV/0!</v>
      </c>
      <c r="R61" s="2954" t="s">
        <v>1414</v>
      </c>
    </row>
    <row r="62" s="892" customFormat="1" ht="26.75" spans="1:18">
      <c r="A62" s="3013"/>
      <c r="B62" s="1351" t="s">
        <v>1454</v>
      </c>
      <c r="C62" s="3214">
        <f ca="1">C47</f>
        <v>0</v>
      </c>
      <c r="D62" s="3215" t="s">
        <v>1361</v>
      </c>
      <c r="E62" s="3015"/>
      <c r="F62" s="3016"/>
      <c r="I62" s="3017" t="s">
        <v>1455</v>
      </c>
      <c r="J62" s="3216">
        <f ca="1">IF(OR(M52="住宅",J56&lt;L53,J61="是"),"——",J56-L53)</f>
        <v>0</v>
      </c>
      <c r="K62" s="2960" t="s">
        <v>1456</v>
      </c>
      <c r="L62" s="3217">
        <f ca="1">IF(L53&lt;J56,"——",IF(L60="比较法",L54,IF(L60="基准地价",L55,L56)))</f>
        <v>0</v>
      </c>
      <c r="O62" s="2952" t="s">
        <v>1139</v>
      </c>
      <c r="P62" s="2953" t="s">
        <v>1457</v>
      </c>
      <c r="Q62" s="3188" t="e">
        <f ca="1">L65</f>
        <v>#DIV/0!</v>
      </c>
      <c r="R62" s="2954" t="s">
        <v>1458</v>
      </c>
    </row>
    <row r="63" s="892" customFormat="1" ht="26.75" spans="1:18">
      <c r="A63" s="3019" t="s">
        <v>1177</v>
      </c>
      <c r="B63" s="3009" t="s">
        <v>1314</v>
      </c>
      <c r="C63" s="2500">
        <f ca="1">ROUND(C64+C71+C72+C73,0)</f>
        <v>0</v>
      </c>
      <c r="D63" s="3020" t="s">
        <v>1315</v>
      </c>
      <c r="E63" s="3021"/>
      <c r="F63" s="2958"/>
      <c r="I63" s="3017" t="s">
        <v>1459</v>
      </c>
      <c r="J63" s="3022" t="e">
        <f ca="1">IF(J60&lt;0.4,0.4,J60)</f>
        <v>#DIV/0!</v>
      </c>
      <c r="K63" s="2987" t="s">
        <v>1460</v>
      </c>
      <c r="L63" s="3217" t="e">
        <f ca="1">ROUND(POWER(1+L57,L52-L53)*(POWER(1+L57,L53)-1)/(POWER(1+L57,L52)-1),4)</f>
        <v>#DIV/0!</v>
      </c>
      <c r="O63" s="2973" t="s">
        <v>1425</v>
      </c>
      <c r="P63" s="2953" t="s">
        <v>1461</v>
      </c>
      <c r="Q63" s="3188">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v>
      </c>
      <c r="D64" s="3023" t="s">
        <v>1316</v>
      </c>
      <c r="E64" s="3024" t="s">
        <v>1318</v>
      </c>
      <c r="F64" s="3097" t="str">
        <f ca="1">IF(项目基本情况!B11="企业","——",IF('数据-取费表'!B10="住宅",IF(F54*F55*F56/12/(1+'数据-取费表'!F30)&gt;100000,4%,2.5%),IF(F54*F55*F56/12/(1+'数据-取费表'!F30)&gt;100000,12%,7%)))</f>
        <v>——</v>
      </c>
      <c r="I64" s="3017" t="s">
        <v>1462</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3200">
        <f>L57</f>
        <v>0</v>
      </c>
      <c r="R64" s="2954"/>
    </row>
    <row r="65" s="892" customFormat="1" ht="16.75" spans="1:18">
      <c r="A65" s="738" t="s">
        <v>1030</v>
      </c>
      <c r="B65" s="3069" t="s">
        <v>771</v>
      </c>
      <c r="C65" s="3102">
        <f ca="1">ROUND((C66-C67)*(1+F65),0)</f>
        <v>0</v>
      </c>
      <c r="D65" s="3099" t="s">
        <v>1319</v>
      </c>
      <c r="E65" s="1313" t="s">
        <v>1320</v>
      </c>
      <c r="F65" s="3101">
        <f>F15</f>
        <v>0.1</v>
      </c>
      <c r="I65" s="3025" t="s">
        <v>1464</v>
      </c>
      <c r="J65" s="3219" t="e">
        <f ca="1">IF(OR(M52="住宅",J56&lt;L53,J61="是"),"0",IF(D2="含税",ROUND((J64/(1+J57)^J58)*(1+M16),0),ROUND(J64/(1+J57)^J58,0)))</f>
        <v>#DIV/0!</v>
      </c>
      <c r="K65" s="3027" t="s">
        <v>1465</v>
      </c>
      <c r="L65" s="3219" t="e">
        <f ca="1">IF(OR(M52="住宅",L53&lt;J56),0,IF(D2="含税",ROUND((L62*(L63/L64-1))*(1+M16),0),ROUND(L62*(L63/L64-1),0)))</f>
        <v>#DIV/0!</v>
      </c>
      <c r="O65" s="2973" t="s">
        <v>1435</v>
      </c>
      <c r="P65" s="2953" t="s">
        <v>1466</v>
      </c>
      <c r="Q65" s="3220" t="e">
        <f ca="1">L63</f>
        <v>#DIV/0!</v>
      </c>
      <c r="R65" s="2954" t="s">
        <v>1467</v>
      </c>
    </row>
    <row r="66" s="892" customFormat="1" ht="13.75" spans="1:18">
      <c r="A66" s="738"/>
      <c r="B66" s="3105" t="s">
        <v>965</v>
      </c>
      <c r="C66" s="3102">
        <f ca="1">ROUND(C54*F66,0)</f>
        <v>0</v>
      </c>
      <c r="D66" s="642"/>
      <c r="E66" s="3106" t="s">
        <v>1321</v>
      </c>
      <c r="F66" s="3101">
        <f t="shared" ref="F66:F73" si="0">F16</f>
        <v>0.09</v>
      </c>
      <c r="I66" s="2925"/>
      <c r="J66" s="2925"/>
      <c r="K66" s="2925"/>
      <c r="L66" s="2925"/>
      <c r="O66" s="2973" t="s">
        <v>1440</v>
      </c>
      <c r="P66" s="2953" t="str">
        <f>K64</f>
        <v>建设期及建筑物耐用年限下的土地年期修正系数Kn</v>
      </c>
      <c r="Q66" s="3220" t="e">
        <f ca="1">L64</f>
        <v>#DIV/0!</v>
      </c>
      <c r="R66" s="2954" t="s">
        <v>1468</v>
      </c>
    </row>
    <row r="67" s="892" customFormat="1" ht="13.75" spans="1:18">
      <c r="A67" s="738"/>
      <c r="B67" s="3105" t="s">
        <v>969</v>
      </c>
      <c r="C67" s="3102">
        <f ca="1">ROUND(C71*F66+((C72+C73)*F67),0)</f>
        <v>0</v>
      </c>
      <c r="D67" s="3107" t="s">
        <v>1322</v>
      </c>
      <c r="E67" s="3107"/>
      <c r="F67" s="3101">
        <f t="shared" si="0"/>
        <v>0.06</v>
      </c>
      <c r="I67" s="3030" t="s">
        <v>1469</v>
      </c>
      <c r="J67" s="3031" t="s">
        <v>1470</v>
      </c>
      <c r="K67" s="3031" t="s">
        <v>1471</v>
      </c>
      <c r="L67" s="3031" t="s">
        <v>1472</v>
      </c>
      <c r="M67" s="811" t="s">
        <v>1473</v>
      </c>
      <c r="O67" s="2952" t="s">
        <v>1445</v>
      </c>
      <c r="P67" s="2953" t="s">
        <v>1446</v>
      </c>
      <c r="Q67" s="3188" t="e">
        <f ca="1">Q61+Q62</f>
        <v>#DIV/0!</v>
      </c>
      <c r="R67" s="2954" t="s">
        <v>1447</v>
      </c>
    </row>
    <row r="68" s="892" customFormat="1" ht="13.75" spans="1:18">
      <c r="A68" s="738" t="s">
        <v>1034</v>
      </c>
      <c r="B68" s="1351" t="s">
        <v>1323</v>
      </c>
      <c r="C68" s="3102">
        <f ca="1">IF(项目基本情况!B11="自然人","——",IF(D68="按不含税租金收入计税",ROUND(C54*F68/(1+'数据-取费表'!C43),0),IF(D68="按房产原值计税",ROUND(C62*F68*0.7,0),INDIRECT("'数据-取费表'!Aj"&amp;$G$1))))</f>
        <v>0</v>
      </c>
      <c r="D68" s="2881"/>
      <c r="E68" s="1351" t="s">
        <v>1325</v>
      </c>
      <c r="F68" s="3115">
        <f t="shared" si="0"/>
        <v>0.012</v>
      </c>
      <c r="I68" s="3221" t="s">
        <v>1474</v>
      </c>
      <c r="J68" s="3222">
        <v>70</v>
      </c>
      <c r="K68" s="3222">
        <v>50</v>
      </c>
      <c r="L68" s="3222">
        <v>80</v>
      </c>
      <c r="M68" s="3034">
        <v>0.02</v>
      </c>
      <c r="O68" s="2932" t="s">
        <v>1475</v>
      </c>
      <c r="P68" s="3003"/>
      <c r="Q68" s="3210"/>
      <c r="R68" s="3003"/>
    </row>
    <row r="69" s="892" customFormat="1" ht="13.75" spans="1:18">
      <c r="A69" s="738" t="s">
        <v>1037</v>
      </c>
      <c r="B69" s="3028" t="s">
        <v>1326</v>
      </c>
      <c r="C69" s="3118">
        <f ca="1">IF(项目基本情况!B11="自然人","——",ROUND(F69*F70,2))</f>
        <v>0</v>
      </c>
      <c r="D69" s="3029" t="s">
        <v>1327</v>
      </c>
      <c r="E69" s="1351" t="s">
        <v>1328</v>
      </c>
      <c r="F69" s="3117">
        <f t="shared" si="0"/>
        <v>1.5</v>
      </c>
      <c r="I69" s="3221" t="s">
        <v>1476</v>
      </c>
      <c r="J69" s="3222">
        <v>50</v>
      </c>
      <c r="K69" s="3222">
        <v>35</v>
      </c>
      <c r="L69" s="3222">
        <v>60</v>
      </c>
      <c r="M69" s="811">
        <v>0</v>
      </c>
      <c r="O69" s="2940" t="s">
        <v>1407</v>
      </c>
      <c r="P69" s="2941" t="s">
        <v>1408</v>
      </c>
      <c r="Q69" s="3185" t="s">
        <v>1409</v>
      </c>
      <c r="R69" s="2942" t="s">
        <v>1410</v>
      </c>
    </row>
    <row r="70" s="892" customFormat="1" ht="13.75" spans="1:18">
      <c r="A70" s="2886"/>
      <c r="B70" s="3032"/>
      <c r="C70" s="3121"/>
      <c r="D70" s="3033"/>
      <c r="E70" s="1351" t="s">
        <v>1329</v>
      </c>
      <c r="F70" s="3070">
        <f ca="1" t="shared" si="0"/>
        <v>0</v>
      </c>
      <c r="I70" s="3221" t="s">
        <v>1477</v>
      </c>
      <c r="J70" s="3222">
        <v>40</v>
      </c>
      <c r="K70" s="3222">
        <v>30</v>
      </c>
      <c r="L70" s="3222">
        <v>50</v>
      </c>
      <c r="M70" s="3034">
        <v>0.02</v>
      </c>
      <c r="O70" s="2952" t="s">
        <v>1136</v>
      </c>
      <c r="P70" s="2953" t="s">
        <v>1413</v>
      </c>
      <c r="Q70" s="3223" t="e">
        <f ca="1">C25+J28</f>
        <v>#DIV/0!</v>
      </c>
      <c r="R70" s="2954" t="s">
        <v>1414</v>
      </c>
    </row>
    <row r="71" s="892" customFormat="1" ht="16.75" spans="1:18">
      <c r="A71" s="738" t="s">
        <v>1006</v>
      </c>
      <c r="B71" s="1351" t="s">
        <v>1330</v>
      </c>
      <c r="C71" s="3102">
        <f ca="1">ROUND(C62*F71,0)</f>
        <v>0</v>
      </c>
      <c r="D71" s="3024" t="s">
        <v>1331</v>
      </c>
      <c r="E71" s="1351" t="s">
        <v>1325</v>
      </c>
      <c r="F71" s="3122">
        <f ca="1" t="shared" si="0"/>
        <v>0</v>
      </c>
      <c r="O71" s="2952" t="s">
        <v>1139</v>
      </c>
      <c r="P71" s="2953" t="s">
        <v>1457</v>
      </c>
      <c r="Q71" s="3220" t="e">
        <f ca="1">L65</f>
        <v>#DIV/0!</v>
      </c>
      <c r="R71" s="2954" t="s">
        <v>1458</v>
      </c>
    </row>
    <row r="72" s="892" customFormat="1" ht="16.75" spans="1:18">
      <c r="A72" s="738" t="s">
        <v>1057</v>
      </c>
      <c r="B72" s="1351" t="s">
        <v>1332</v>
      </c>
      <c r="C72" s="3102">
        <f ca="1">ROUND(C61*F72,0)</f>
        <v>0</v>
      </c>
      <c r="D72" s="3024" t="s">
        <v>1333</v>
      </c>
      <c r="E72" s="1351" t="s">
        <v>1325</v>
      </c>
      <c r="F72" s="3124">
        <f ca="1" t="shared" si="0"/>
        <v>0</v>
      </c>
      <c r="O72" s="2973" t="s">
        <v>1425</v>
      </c>
      <c r="P72" s="2953" t="s">
        <v>1461</v>
      </c>
      <c r="Q72" s="3223">
        <f ca="1">L56</f>
        <v>0</v>
      </c>
      <c r="R72" s="2954" t="s">
        <v>1478</v>
      </c>
    </row>
    <row r="73" s="892" customFormat="1" ht="16.75" spans="1:18">
      <c r="A73" s="738" t="s">
        <v>1062</v>
      </c>
      <c r="B73" s="1351" t="s">
        <v>1335</v>
      </c>
      <c r="C73" s="3102">
        <f ca="1">ROUND(C53*F73,0)</f>
        <v>0</v>
      </c>
      <c r="D73" s="3024" t="s">
        <v>1336</v>
      </c>
      <c r="E73" s="1351" t="s">
        <v>1325</v>
      </c>
      <c r="F73" s="3081">
        <f ca="1" t="shared" si="0"/>
        <v>0</v>
      </c>
      <c r="O73" s="2973" t="s">
        <v>1431</v>
      </c>
      <c r="P73" s="3041" t="s">
        <v>1479</v>
      </c>
      <c r="Q73" s="3223">
        <f ca="1">ROUND(Q74-Q75*Q76,0)</f>
        <v>0</v>
      </c>
      <c r="R73" s="2954" t="s">
        <v>1480</v>
      </c>
    </row>
    <row r="74" s="892" customFormat="1" ht="26.75" spans="1:18">
      <c r="A74" s="3008" t="s">
        <v>1339</v>
      </c>
      <c r="B74" s="3035" t="s">
        <v>1337</v>
      </c>
      <c r="C74" s="2500">
        <f ca="1">C53-C63</f>
        <v>0</v>
      </c>
      <c r="D74" s="3023" t="s">
        <v>1338</v>
      </c>
      <c r="E74" s="3036"/>
      <c r="F74" s="3224"/>
      <c r="O74" s="2973" t="s">
        <v>1481</v>
      </c>
      <c r="P74" s="3041" t="s">
        <v>1482</v>
      </c>
      <c r="Q74" s="3223">
        <f ca="1">C24</f>
        <v>0</v>
      </c>
      <c r="R74" s="2954" t="s">
        <v>1414</v>
      </c>
    </row>
    <row r="75" s="892" customFormat="1" ht="13.75" spans="1:18">
      <c r="A75" s="3225" t="s">
        <v>1347</v>
      </c>
      <c r="B75" s="3040" t="s">
        <v>1340</v>
      </c>
      <c r="C75" s="3133">
        <f ca="1">ROUND(C74*(1-((1+F77)/(1+F75))^F76)/(F75-F77),0)</f>
        <v>0</v>
      </c>
      <c r="D75" s="3226" t="s">
        <v>1341</v>
      </c>
      <c r="E75" s="1351" t="s">
        <v>1342</v>
      </c>
      <c r="F75" s="3081">
        <f ca="1">F25</f>
        <v>0</v>
      </c>
      <c r="O75" s="2973" t="s">
        <v>1483</v>
      </c>
      <c r="P75" s="3041" t="s">
        <v>1484</v>
      </c>
      <c r="Q75" s="3223">
        <f ca="1">C48</f>
        <v>0</v>
      </c>
      <c r="R75" s="2954" t="s">
        <v>1414</v>
      </c>
    </row>
    <row r="76" s="892" customFormat="1" ht="13.75" spans="1:18">
      <c r="A76" s="3227"/>
      <c r="B76" s="3043"/>
      <c r="C76" s="3077"/>
      <c r="D76" s="3228" t="s">
        <v>1344</v>
      </c>
      <c r="E76" s="1351" t="s">
        <v>1345</v>
      </c>
      <c r="F76" s="3134">
        <f ca="1">F26</f>
        <v>0</v>
      </c>
      <c r="O76" s="2973" t="s">
        <v>1485</v>
      </c>
      <c r="P76" s="3041" t="s">
        <v>1486</v>
      </c>
      <c r="Q76" s="3200">
        <f ca="1">C83</f>
        <v>0</v>
      </c>
      <c r="R76" s="2954"/>
    </row>
    <row r="77" s="892" customFormat="1" ht="13.75" spans="1:18">
      <c r="A77" s="3229"/>
      <c r="B77" s="3230"/>
      <c r="C77" s="3230"/>
      <c r="D77" s="3231"/>
      <c r="E77" s="1351" t="s">
        <v>1346</v>
      </c>
      <c r="F77" s="3203">
        <v>0.02</v>
      </c>
      <c r="O77" s="2973" t="s">
        <v>1435</v>
      </c>
      <c r="P77" s="2953" t="s">
        <v>1463</v>
      </c>
      <c r="Q77" s="3200">
        <f>L57</f>
        <v>0</v>
      </c>
      <c r="R77" s="2954"/>
    </row>
    <row r="78" ht="16.75" spans="1:18">
      <c r="A78" s="3045"/>
      <c r="B78" s="3232" t="s">
        <v>1487</v>
      </c>
      <c r="C78" s="3094">
        <f ca="1">ROUND(C75*(1+F28),0)</f>
        <v>0</v>
      </c>
      <c r="D78" s="3233" t="str">
        <f>D28</f>
        <v>其他类型公式—收益价值×（1+9%）</v>
      </c>
      <c r="E78" s="2797"/>
      <c r="F78" s="3234"/>
      <c r="O78" s="2973" t="s">
        <v>1440</v>
      </c>
      <c r="P78" s="2953" t="s">
        <v>1466</v>
      </c>
      <c r="Q78" s="3220" t="e">
        <f ca="1">L63</f>
        <v>#DIV/0!</v>
      </c>
      <c r="R78" s="2954" t="s">
        <v>1467</v>
      </c>
    </row>
    <row r="79" ht="13.75" spans="1:18">
      <c r="A79" s="3047" t="s">
        <v>1352</v>
      </c>
      <c r="B79" s="3048" t="s">
        <v>1353</v>
      </c>
      <c r="C79" s="3142" t="e">
        <f ca="1">ROUND(C78/F79,0)</f>
        <v>#DIV/0!</v>
      </c>
      <c r="D79" s="3049" t="s">
        <v>1354</v>
      </c>
      <c r="E79" s="3050" t="s">
        <v>1355</v>
      </c>
      <c r="F79" s="3143">
        <f ca="1">F29</f>
        <v>0</v>
      </c>
      <c r="O79" s="2973" t="s">
        <v>1488</v>
      </c>
      <c r="P79" s="2953" t="str">
        <f>K64</f>
        <v>建设期及建筑物耐用年限下的土地年期修正系数Kn</v>
      </c>
      <c r="Q79" s="3220" t="e">
        <f ca="1">L64</f>
        <v>#DIV/0!</v>
      </c>
      <c r="R79" s="2954" t="s">
        <v>1468</v>
      </c>
    </row>
    <row r="80" ht="13.75" spans="1:18">
      <c r="A80" s="892"/>
      <c r="B80" s="2386"/>
      <c r="C80" s="2386"/>
      <c r="D80" s="892"/>
      <c r="E80" s="892"/>
      <c r="F80" s="892"/>
      <c r="K80" s="2928"/>
      <c r="L80" s="892"/>
      <c r="O80" s="2952" t="s">
        <v>1445</v>
      </c>
      <c r="P80" s="2953" t="s">
        <v>1446</v>
      </c>
      <c r="Q80" s="3223" t="e">
        <f ca="1">Q70+Q71</f>
        <v>#DIV/0!</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0</v>
      </c>
      <c r="D82" s="892"/>
      <c r="E82" s="892"/>
      <c r="F82" s="892"/>
      <c r="I82" s="892"/>
      <c r="J82" s="892"/>
      <c r="K82" s="2928"/>
      <c r="L82" s="892"/>
    </row>
    <row r="83" ht="13" spans="1:12">
      <c r="B83" s="844" t="s">
        <v>1491</v>
      </c>
      <c r="C83" s="3235">
        <f ca="1">INDIRECT("'数据-取费表'!j"&amp;$G$1)</f>
        <v>0</v>
      </c>
    </row>
    <row r="84" ht="13" spans="1:12">
      <c r="B84" s="3055" t="s">
        <v>1492</v>
      </c>
      <c r="C84" s="3056"/>
    </row>
    <row r="85" ht="13" spans="1:12">
      <c r="B85" s="500" t="s">
        <v>1493</v>
      </c>
      <c r="C85" s="3057"/>
    </row>
    <row r="86" ht="13" spans="1:12">
      <c r="B86" s="3052" t="s">
        <v>1494</v>
      </c>
      <c r="C86" s="3236" t="e">
        <f ca="1">1-C87</f>
        <v>#DIV/0!</v>
      </c>
    </row>
    <row r="87" ht="13" spans="1:12">
      <c r="B87" s="3052" t="s">
        <v>1495</v>
      </c>
      <c r="C87" s="3236" t="e">
        <f ca="1">ROUND(C82/C24,3)</f>
        <v>#DIV/0!</v>
      </c>
    </row>
    <row r="88" ht="13" spans="1:12">
      <c r="B88" s="500" t="s">
        <v>1496</v>
      </c>
      <c r="C88" s="467"/>
    </row>
    <row r="89" ht="13" spans="1:12">
      <c r="B89" s="502" t="s">
        <v>1211</v>
      </c>
      <c r="C89" s="3237" t="e">
        <f ca="1">1-C90</f>
        <v>#DIV/0!</v>
      </c>
    </row>
    <row r="90" ht="13" spans="1:12">
      <c r="B90" s="502" t="s">
        <v>1212</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365" customWidth="1"/>
    <col min="3" max="3" width="11.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2787"/>
      <c r="D1" s="2788" t="s">
        <v>124</v>
      </c>
      <c r="E1" s="2789" t="s">
        <v>1279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796" t="e">
        <f ca="1">ROUND(D2/10000,4)</f>
        <v>#DIV/0!</v>
      </c>
      <c r="C2" s="2797" t="s">
        <v>1281</v>
      </c>
      <c r="D2" s="2798" t="e">
        <f ca="1">C40+J29+L46</f>
        <v>#DIV/0!</v>
      </c>
      <c r="E2" s="2799" t="s">
        <v>1497</v>
      </c>
      <c r="F2" s="2800"/>
      <c r="G2" s="2801"/>
      <c r="H2" s="2802"/>
      <c r="I2" s="2802"/>
      <c r="J2" s="2802"/>
      <c r="K2" s="2803"/>
      <c r="L2" s="2802"/>
      <c r="M2" s="2802"/>
    </row>
    <row r="3" ht="18" customHeight="1" spans="1:37">
      <c r="A3" s="2804" t="s">
        <v>1282</v>
      </c>
      <c r="B3" s="2805">
        <f ca="1">IF(ISERROR(D2/F43),0,ROUND(D2/F43,0))</f>
        <v>0</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2814" t="s">
        <v>1292</v>
      </c>
      <c r="C5" s="2815">
        <f ca="1">C6+C10+C12</f>
        <v>0</v>
      </c>
      <c r="D5" s="2816" t="s">
        <v>1291</v>
      </c>
      <c r="E5" s="2817"/>
      <c r="F5" s="2818"/>
      <c r="G5" s="892"/>
      <c r="H5" s="2813">
        <v>1</v>
      </c>
      <c r="I5" s="2814" t="s">
        <v>1292</v>
      </c>
      <c r="J5" s="2815">
        <f ca="1">J6+J10+J12</f>
        <v>0</v>
      </c>
      <c r="K5" s="2816" t="s">
        <v>1291</v>
      </c>
      <c r="L5" s="2817"/>
      <c r="M5" s="2818"/>
    </row>
    <row r="6" ht="18" customHeight="1" spans="1:37">
      <c r="A6" s="2819" t="s">
        <v>1001</v>
      </c>
      <c r="B6" s="2820" t="s">
        <v>1296</v>
      </c>
      <c r="C6" s="2821">
        <f ca="1">ROUND(F6*F8*F7*(1-F9),0)</f>
        <v>0</v>
      </c>
      <c r="D6" s="2822" t="s">
        <v>1498</v>
      </c>
      <c r="E6" s="1313" t="s">
        <v>1499</v>
      </c>
      <c r="F6" s="2823">
        <f ca="1">INDIRECT("'数据-取费表'!u"&amp;$G$1)</f>
        <v>0</v>
      </c>
      <c r="G6" s="892"/>
      <c r="H6" s="2819" t="s">
        <v>1001</v>
      </c>
      <c r="I6" s="2820" t="s">
        <v>1296</v>
      </c>
      <c r="J6" s="2824">
        <f ca="1">ROUND(M6*M8*M7*(1-M9),0)</f>
        <v>0</v>
      </c>
      <c r="K6" s="2825" t="s">
        <v>1500</v>
      </c>
      <c r="L6" s="1313" t="s">
        <v>1499</v>
      </c>
      <c r="M6" s="2823">
        <f ca="1">INDIRECT("'数据-取费表'!z"&amp;$G$1)</f>
        <v>0</v>
      </c>
    </row>
    <row r="7" ht="18" customHeight="1" spans="1:37">
      <c r="A7" s="2826"/>
      <c r="B7" s="2827"/>
      <c r="C7" s="2828"/>
      <c r="D7" s="2829"/>
      <c r="E7" s="2830" t="s">
        <v>1299</v>
      </c>
      <c r="F7" s="2823">
        <f ca="1">IF(INDIRECT("'数据-取费表'!ah"&amp;$G$1)="",INDIRECT("'数据-取费表'!k"&amp;$G$1),INDIRECT("'数据-取费表'!ah"&amp;$G$1))</f>
        <v>0</v>
      </c>
      <c r="G7" s="892"/>
      <c r="H7" s="2831"/>
      <c r="I7" s="2827"/>
      <c r="J7" s="2832"/>
      <c r="K7" s="2829"/>
      <c r="L7" s="1313" t="s">
        <v>1299</v>
      </c>
      <c r="M7" s="2823">
        <f ca="1">F7</f>
        <v>0</v>
      </c>
    </row>
    <row r="8" ht="18" customHeight="1" spans="1:37">
      <c r="A8" s="2831"/>
      <c r="B8" s="2827"/>
      <c r="C8" s="2832"/>
      <c r="D8" s="2829"/>
      <c r="E8" s="1313" t="s">
        <v>1301</v>
      </c>
      <c r="F8" s="2823">
        <f ca="1">INDIRECT("'数据-取费表'!ai"&amp;$G$1)</f>
        <v>0</v>
      </c>
      <c r="G8" s="892"/>
      <c r="H8" s="2831"/>
      <c r="I8" s="2827"/>
      <c r="J8" s="2832"/>
      <c r="K8" s="2829"/>
      <c r="L8" s="1313" t="s">
        <v>1301</v>
      </c>
      <c r="M8" s="2823">
        <f ca="1">INDIRECT("'数据-取费表'!ai"&amp;$G$1)</f>
        <v>0</v>
      </c>
    </row>
    <row r="9" ht="18" customHeight="1" spans="1:37">
      <c r="A9" s="2831"/>
      <c r="B9" s="2833"/>
      <c r="C9" s="2832"/>
      <c r="D9" s="2829"/>
      <c r="E9" s="1313" t="s">
        <v>1304</v>
      </c>
      <c r="F9" s="2834">
        <f ca="1">INDIRECT("'数据-取费表'!w"&amp;$G$1)</f>
        <v>0</v>
      </c>
      <c r="G9" s="892"/>
      <c r="H9" s="2831"/>
      <c r="I9" s="2833"/>
      <c r="J9" s="2832"/>
      <c r="K9" s="2829"/>
      <c r="L9" s="2835" t="s">
        <v>1304</v>
      </c>
      <c r="M9" s="2836">
        <f ca="1">INDIRECT("'数据-取费表'!ab"&amp;$G$1)</f>
        <v>0</v>
      </c>
    </row>
    <row r="10" ht="18" customHeight="1" spans="1:37">
      <c r="A10" s="2819" t="s">
        <v>1006</v>
      </c>
      <c r="B10" s="2837" t="s">
        <v>1305</v>
      </c>
      <c r="C10" s="2480">
        <f ca="1">ROUND(IF(F10="押一",C6/12*F11,IF(F10="押二",C6/12*2*F11,IF(F10="押三",C6/12*3*F11,C11*F11))),0)</f>
        <v>0</v>
      </c>
      <c r="D10" s="2838" t="s">
        <v>1306</v>
      </c>
      <c r="E10" s="2835" t="s">
        <v>1307</v>
      </c>
      <c r="F10" s="2839"/>
      <c r="G10" s="892"/>
      <c r="H10" s="2819" t="s">
        <v>1006</v>
      </c>
      <c r="I10" s="2837" t="s">
        <v>1305</v>
      </c>
      <c r="J10" s="2824">
        <f ca="1">ROUND(IF(M10="押一",J6/12*M11,IF(M10="押二",J6/12*2*M11,IF(M10="押三",J6/12*3*M11,J11*M11))),0)</f>
        <v>0</v>
      </c>
      <c r="K10" s="2840" t="s">
        <v>1501</v>
      </c>
      <c r="L10" s="2835" t="s">
        <v>1307</v>
      </c>
      <c r="M10" s="2839"/>
    </row>
    <row r="11" ht="18" customHeight="1" spans="1:37">
      <c r="A11" s="2841"/>
      <c r="B11" s="2842" t="s">
        <v>1502</v>
      </c>
      <c r="C11" s="2843"/>
      <c r="D11" s="2829"/>
      <c r="E11" s="2835" t="s">
        <v>1310</v>
      </c>
      <c r="F11" s="2836">
        <f ca="1">'数据-取费表'!B40</f>
        <v>0.015</v>
      </c>
      <c r="G11" s="892"/>
      <c r="H11" s="2844"/>
      <c r="I11" s="2842" t="s">
        <v>1503</v>
      </c>
      <c r="J11" s="2843"/>
      <c r="K11" s="2845"/>
      <c r="L11" s="2835" t="s">
        <v>1310</v>
      </c>
      <c r="M11" s="2846">
        <f ca="1">'数据-取费表'!B40</f>
        <v>0.015</v>
      </c>
    </row>
    <row r="12" ht="18" customHeight="1" spans="1:37">
      <c r="A12" s="2847" t="s">
        <v>1057</v>
      </c>
      <c r="B12" s="2848" t="s">
        <v>1312</v>
      </c>
      <c r="C12" s="2849"/>
      <c r="D12" s="2850"/>
      <c r="E12" s="2851"/>
      <c r="F12" s="2852"/>
      <c r="G12" s="892"/>
      <c r="H12" s="2847" t="s">
        <v>1057</v>
      </c>
      <c r="I12" s="2848" t="s">
        <v>1312</v>
      </c>
      <c r="J12" s="2849"/>
      <c r="K12" s="2853"/>
      <c r="L12" s="2851"/>
      <c r="M12" s="2854"/>
    </row>
    <row r="13" ht="18" customHeight="1" spans="1:37">
      <c r="A13" s="2855">
        <v>2</v>
      </c>
      <c r="B13" s="2856" t="s">
        <v>1369</v>
      </c>
      <c r="C13" s="2857">
        <f ca="1">ROUND(C29*F13,0)</f>
        <v>0</v>
      </c>
      <c r="D13" s="2858" t="s">
        <v>1504</v>
      </c>
      <c r="E13" s="2858" t="s">
        <v>1400</v>
      </c>
      <c r="F13" s="2859">
        <f ca="1">INDIRECT("'数据-取费表'!y"&amp;$G$1)</f>
        <v>0</v>
      </c>
      <c r="G13" s="892"/>
      <c r="H13" s="2855">
        <v>2</v>
      </c>
      <c r="I13" s="2856" t="s">
        <v>1369</v>
      </c>
      <c r="J13" s="2860">
        <f ca="1">ROUND(J14*J15,0)</f>
        <v>0</v>
      </c>
      <c r="K13" s="2861" t="s">
        <v>1504</v>
      </c>
      <c r="L13" s="2862"/>
      <c r="M13" s="2863"/>
    </row>
    <row r="14" ht="18" customHeight="1" spans="1:37">
      <c r="A14" s="738" t="s">
        <v>1030</v>
      </c>
      <c r="B14" s="1313" t="s">
        <v>1362</v>
      </c>
      <c r="C14" s="2864">
        <f ca="1">ROUND(INDIRECT("'数据-取费表'!l"&amp;$G$1)*F43+'数据-取费表'!L14*INDIRECT("'数据-取费表'!S"&amp;$G$1),0)</f>
        <v>0</v>
      </c>
      <c r="D14" s="2865" t="s">
        <v>1363</v>
      </c>
      <c r="E14" s="2866"/>
      <c r="F14" s="2867"/>
      <c r="G14" s="892"/>
      <c r="H14" s="738" t="s">
        <v>1001</v>
      </c>
      <c r="I14" s="1313" t="s">
        <v>1505</v>
      </c>
      <c r="J14" s="1303">
        <f ca="1">C29</f>
        <v>0</v>
      </c>
      <c r="K14" s="739"/>
      <c r="L14" s="774"/>
      <c r="M14" s="775"/>
    </row>
    <row r="15" s="2784" customFormat="1" ht="18" customHeight="1" spans="1:37">
      <c r="A15" s="738" t="s">
        <v>1034</v>
      </c>
      <c r="B15" s="1313" t="s">
        <v>1366</v>
      </c>
      <c r="C15" s="1303">
        <f ca="1">ROUND(C14*F15,0)</f>
        <v>0</v>
      </c>
      <c r="D15" s="2868" t="s">
        <v>1367</v>
      </c>
      <c r="E15" s="2868" t="s">
        <v>1325</v>
      </c>
      <c r="F15" s="2869">
        <f>'数据-取费表'!B33</f>
        <v>0.03</v>
      </c>
      <c r="G15" s="2870"/>
      <c r="H15" s="2871" t="s">
        <v>1006</v>
      </c>
      <c r="I15" s="2851" t="s">
        <v>1400</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1037</v>
      </c>
      <c r="B16" s="1313" t="s">
        <v>1371</v>
      </c>
      <c r="C16" s="1303">
        <f ca="1">ROUND(INDIRECT("'数据-取费表'!l"&amp;$G$1)*F43*F16,0)</f>
        <v>0</v>
      </c>
      <c r="D16" s="1313" t="s">
        <v>1367</v>
      </c>
      <c r="E16" s="1313" t="s">
        <v>1325</v>
      </c>
      <c r="F16" s="2875">
        <f ca="1">IF(INDIRECT("'数据-取费表'!c"&amp;$G$1)="住宅",'数据-取费表'!B34,0)</f>
        <v>0</v>
      </c>
      <c r="G16" s="892"/>
      <c r="H16" s="2855" t="s">
        <v>1177</v>
      </c>
      <c r="I16" s="2856" t="s">
        <v>1314</v>
      </c>
      <c r="J16" s="2857">
        <f ca="1">ROUND(J17+J22+J23+J24,0)</f>
        <v>0</v>
      </c>
      <c r="K16" s="2861" t="s">
        <v>1315</v>
      </c>
      <c r="L16" s="2876"/>
      <c r="M16" s="2818"/>
    </row>
    <row r="17" s="2784" customFormat="1" ht="18" customHeight="1" spans="1:37">
      <c r="A17" s="738" t="s">
        <v>1372</v>
      </c>
      <c r="B17" s="1313" t="s">
        <v>1373</v>
      </c>
      <c r="C17" s="1303">
        <f ca="1">ROUND(F17*(F43+INDIRECT("'数据-取费表'!S"&amp;$G$1)),0)</f>
        <v>0</v>
      </c>
      <c r="D17" s="1313" t="s">
        <v>1374</v>
      </c>
      <c r="E17" s="1313" t="s">
        <v>1375</v>
      </c>
      <c r="F17" s="2877">
        <f>'数据-取费表'!B35</f>
        <v>185</v>
      </c>
      <c r="G17" s="2870"/>
      <c r="H17" s="738" t="s">
        <v>1001</v>
      </c>
      <c r="I17" s="1313" t="s">
        <v>1317</v>
      </c>
      <c r="J17" s="2878">
        <f ca="1">ROUND(IF(AND(项目基本情况!B11="自然人",项目基本情况!B10="北京市"),J6*M17/(1+'数据-取费表'!C43),J18+J19+J20),0)</f>
        <v>0</v>
      </c>
      <c r="K17" s="2865" t="s">
        <v>1506</v>
      </c>
      <c r="L17" s="2486" t="s">
        <v>1318</v>
      </c>
      <c r="M17" s="2879" t="str">
        <f ca="1">IF(项目基本情况!B11="企业","",IF('数据-取费表'!B10="住宅",IF(M6*M7*M8/12/(1+'数据-取费表'!F30)&gt;100000,4%,2.5%),IF(M6*M7*M8/12/(1+'数据-取费表'!F30)&gt;100000,12%,7%)))</f>
        <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1376</v>
      </c>
      <c r="B18" s="1313" t="s">
        <v>1507</v>
      </c>
      <c r="C18" s="1303">
        <f ca="1">ROUND(C14*F18,0)</f>
        <v>0</v>
      </c>
      <c r="D18" s="1313" t="s">
        <v>1367</v>
      </c>
      <c r="E18" s="1313" t="s">
        <v>1325</v>
      </c>
      <c r="F18" s="2875">
        <f>'数据-取费表'!B36</f>
        <v>0.01</v>
      </c>
      <c r="G18" s="2870"/>
      <c r="H18" s="738" t="s">
        <v>1030</v>
      </c>
      <c r="I18" s="1313" t="s">
        <v>1508</v>
      </c>
      <c r="J18" s="1303">
        <f ca="1">ROUND(J6*M18/(1+'数据-取费表'!C43),0)</f>
        <v>0</v>
      </c>
      <c r="K18" s="2486" t="s">
        <v>1509</v>
      </c>
      <c r="L18" s="1313" t="s">
        <v>1325</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1001</v>
      </c>
      <c r="B19" s="1313" t="s">
        <v>1510</v>
      </c>
      <c r="C19" s="1303">
        <f ca="1">SUM(C14:C18)</f>
        <v>0</v>
      </c>
      <c r="D19" s="2880" t="s">
        <v>1511</v>
      </c>
      <c r="E19" s="2482"/>
      <c r="F19" s="2877"/>
      <c r="G19" s="892"/>
      <c r="H19" s="738" t="s">
        <v>1034</v>
      </c>
      <c r="I19" s="1313" t="s">
        <v>1323</v>
      </c>
      <c r="J19" s="1303">
        <f ca="1">IF(K19="按租金收入计税",ROUND(J6*M19/(1+'数据-取费表'!C43),0),ROUND(C29*M19*0.7,0))</f>
        <v>0</v>
      </c>
      <c r="K19" s="2881" t="s">
        <v>1512</v>
      </c>
      <c r="L19" s="1313" t="s">
        <v>1325</v>
      </c>
      <c r="M19" s="2875">
        <f>IF(K19="按租金收入计税",'数据-取费表'!B52,'数据-取费表'!B51)</f>
        <v>0.12</v>
      </c>
    </row>
    <row r="20" s="2784" customFormat="1" ht="18" customHeight="1" spans="1:37">
      <c r="A20" s="738" t="s">
        <v>1006</v>
      </c>
      <c r="B20" s="1313" t="s">
        <v>1335</v>
      </c>
      <c r="C20" s="1303">
        <f ca="1">ROUND(C19*F20,0)</f>
        <v>0</v>
      </c>
      <c r="D20" s="2882" t="s">
        <v>1513</v>
      </c>
      <c r="E20" s="1313" t="s">
        <v>1325</v>
      </c>
      <c r="F20" s="2875">
        <f>'数据-取费表'!B38</f>
        <v>0.03</v>
      </c>
      <c r="G20" s="2870"/>
      <c r="H20" s="738" t="s">
        <v>1037</v>
      </c>
      <c r="I20" s="2822" t="s">
        <v>1326</v>
      </c>
      <c r="J20" s="2883">
        <f ca="1">ROUND(M20*M21,0)</f>
        <v>0</v>
      </c>
      <c r="K20" s="2884" t="s">
        <v>1327</v>
      </c>
      <c r="L20" s="1313" t="s">
        <v>1328</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1057</v>
      </c>
      <c r="B21" s="1313" t="s">
        <v>1514</v>
      </c>
      <c r="C21" s="1303" t="s">
        <v>124</v>
      </c>
      <c r="D21" s="2882" t="s">
        <v>1515</v>
      </c>
      <c r="E21" s="1313" t="s">
        <v>1516</v>
      </c>
      <c r="F21" s="2875">
        <f>'数据-取费表'!B39</f>
        <v>0.03</v>
      </c>
      <c r="G21" s="2870"/>
      <c r="H21" s="2886"/>
      <c r="I21" s="2887"/>
      <c r="J21" s="2888"/>
      <c r="K21" s="2889"/>
      <c r="L21" s="1313" t="s">
        <v>1329</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1062</v>
      </c>
      <c r="B22" s="1313" t="s">
        <v>1517</v>
      </c>
      <c r="C22" s="1303"/>
      <c r="D22" s="2880" t="str">
        <f>IF(F23&lt;=1,"单利计息。","复利计息。")&amp;"建造成本、管理费用、销售费用产生的利息。"</f>
        <v>复利计息。建造成本、管理费用、销售费用产生的利息。</v>
      </c>
      <c r="E22" s="2482"/>
      <c r="F22" s="2877"/>
      <c r="G22" s="892"/>
      <c r="H22" s="738" t="s">
        <v>1006</v>
      </c>
      <c r="I22" s="1313" t="s">
        <v>1330</v>
      </c>
      <c r="J22" s="1303">
        <f ca="1">ROUND(J14*M22,0)</f>
        <v>0</v>
      </c>
      <c r="K22" s="2486" t="s">
        <v>1331</v>
      </c>
      <c r="L22" s="1313" t="s">
        <v>1325</v>
      </c>
      <c r="M22" s="2890">
        <f ca="1">INDIRECT("'数据-取费表'!Ak"&amp;$G$1)</f>
        <v>0</v>
      </c>
    </row>
    <row r="23" s="2784" customFormat="1" ht="18" customHeight="1" spans="1:37">
      <c r="A23" s="738" t="s">
        <v>1030</v>
      </c>
      <c r="B23" s="1313" t="s">
        <v>1385</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1386</v>
      </c>
      <c r="F23" s="2885">
        <f>'数据-取费表'!B20</f>
        <v>1.5</v>
      </c>
      <c r="G23" s="2870"/>
      <c r="H23" s="738" t="s">
        <v>1057</v>
      </c>
      <c r="I23" s="1313" t="s">
        <v>1332</v>
      </c>
      <c r="J23" s="1303">
        <f ca="1">ROUND(J13*M23,0)</f>
        <v>0</v>
      </c>
      <c r="K23" s="2486" t="s">
        <v>1334</v>
      </c>
      <c r="L23" s="1313" t="s">
        <v>1325</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1034</v>
      </c>
      <c r="B24" s="1313" t="s">
        <v>1387</v>
      </c>
      <c r="C24" s="1303">
        <f ca="1">ROUND(IF('数据-取费表'!B22&lt;=1,F21*F24*F23/2,F21*(POWER((1+F24),F23/2)-1)),4)</f>
        <v>0.0007</v>
      </c>
      <c r="D24" s="1292" t="str">
        <f>IF(F23&lt;=1,"销售费用×利率×(建设周期÷2)","销售费用×((1+利率)^(建设周期÷2)-1)")</f>
        <v>销售费用×((1+利率)^(建设周期÷2)-1)</v>
      </c>
      <c r="E24" s="1313" t="s">
        <v>1388</v>
      </c>
      <c r="F24" s="2892">
        <f ca="1">'数据-取费表'!B41</f>
        <v>0.0306</v>
      </c>
      <c r="G24" s="2870"/>
      <c r="H24" s="2871" t="s">
        <v>1062</v>
      </c>
      <c r="I24" s="2851" t="s">
        <v>1335</v>
      </c>
      <c r="J24" s="2893">
        <f ca="1">ROUND(J5*M24,0)</f>
        <v>0</v>
      </c>
      <c r="K24" s="2894" t="s">
        <v>1336</v>
      </c>
      <c r="L24" s="2851" t="s">
        <v>1325</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1066</v>
      </c>
      <c r="B25" s="1313" t="s">
        <v>1518</v>
      </c>
      <c r="C25" s="1303"/>
      <c r="D25" s="2880" t="s">
        <v>1519</v>
      </c>
      <c r="E25" s="2482"/>
      <c r="F25" s="2877"/>
      <c r="G25" s="892"/>
      <c r="H25" s="2855" t="s">
        <v>1339</v>
      </c>
      <c r="I25" s="2895" t="s">
        <v>1337</v>
      </c>
      <c r="J25" s="2857">
        <f ca="1">J5-J16</f>
        <v>0</v>
      </c>
      <c r="K25" s="2896" t="s">
        <v>1338</v>
      </c>
      <c r="L25" s="2897"/>
      <c r="M25" s="2898"/>
    </row>
    <row r="26" ht="18" customHeight="1" spans="1:37">
      <c r="A26" s="738" t="s">
        <v>1030</v>
      </c>
      <c r="B26" s="1313" t="s">
        <v>1391</v>
      </c>
      <c r="C26" s="1303">
        <f ca="1">ROUND((C19+C20)*F26,0)</f>
        <v>0</v>
      </c>
      <c r="D26" s="2882" t="s">
        <v>1392</v>
      </c>
      <c r="E26" s="2835" t="s">
        <v>1393</v>
      </c>
      <c r="F26" s="2834">
        <f ca="1">INDIRECT("'数据-取费表'!q"&amp;$G$1)</f>
        <v>0</v>
      </c>
      <c r="G26" s="892"/>
      <c r="H26" s="2813" t="s">
        <v>1347</v>
      </c>
      <c r="I26" s="2814" t="s">
        <v>1343</v>
      </c>
      <c r="J26" s="2824">
        <f ca="1">IF(J5&lt;&gt;0,ROUND(J25*(1-((1+M28)/(1+M26))^M27)/(M26-M28),0),0)</f>
        <v>0</v>
      </c>
      <c r="K26" s="2884" t="s">
        <v>1341</v>
      </c>
      <c r="L26" s="1313" t="s">
        <v>1342</v>
      </c>
      <c r="M26" s="2834">
        <f ca="1">INDIRECT("'数据-取费表'!I"&amp;$G$1)</f>
        <v>0</v>
      </c>
    </row>
    <row r="27" ht="18" customHeight="1" spans="1:37">
      <c r="A27" s="738" t="s">
        <v>1034</v>
      </c>
      <c r="B27" s="1313" t="s">
        <v>1394</v>
      </c>
      <c r="C27" s="1303">
        <f ca="1">ROUND(F21*F26,4)</f>
        <v>0</v>
      </c>
      <c r="D27" s="2882" t="s">
        <v>1395</v>
      </c>
      <c r="E27" s="2868"/>
      <c r="F27" s="2869"/>
      <c r="G27" s="892"/>
      <c r="H27" s="2831"/>
      <c r="I27" s="2899"/>
      <c r="J27" s="2832"/>
      <c r="K27" s="2900" t="s">
        <v>1344</v>
      </c>
      <c r="L27" s="1313" t="s">
        <v>1345</v>
      </c>
      <c r="M27" s="2901">
        <f ca="1">INDIRECT("'数据-取费表'!ag"&amp;$G$1)</f>
        <v>0</v>
      </c>
    </row>
    <row r="28" s="2784" customFormat="1" ht="18" customHeight="1" spans="1:37">
      <c r="A28" s="738" t="s">
        <v>1068</v>
      </c>
      <c r="B28" s="1313" t="s">
        <v>1520</v>
      </c>
      <c r="C28" s="1303">
        <f>ROUND(F28/(1+'数据-取费表'!C43),4)</f>
        <v>0</v>
      </c>
      <c r="D28" s="2882" t="s">
        <v>1521</v>
      </c>
      <c r="E28" s="1313" t="s">
        <v>1325</v>
      </c>
      <c r="F28" s="2875">
        <f>'数据-取费表'!B42</f>
        <v>0</v>
      </c>
      <c r="G28" s="2870"/>
      <c r="H28" s="2841"/>
      <c r="I28" s="2902"/>
      <c r="J28" s="2857"/>
      <c r="K28" s="2889"/>
      <c r="L28" s="1313" t="s">
        <v>1346</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1522</v>
      </c>
      <c r="B29" s="2851" t="s">
        <v>1454</v>
      </c>
      <c r="C29" s="2893">
        <f ca="1">ROUND((C19+C20+C23+C26)/(1-F21-C24-C27-C28),0)</f>
        <v>0</v>
      </c>
      <c r="D29" s="2894"/>
      <c r="E29" s="2851"/>
      <c r="F29" s="2903"/>
      <c r="G29" s="2870"/>
      <c r="H29" s="2904" t="s">
        <v>1352</v>
      </c>
      <c r="I29" s="2905" t="s">
        <v>1350</v>
      </c>
      <c r="J29" s="2906">
        <f ca="1">ROUND(J26/(1+F40)^F41,0)</f>
        <v>0</v>
      </c>
      <c r="K29" s="2907" t="s">
        <v>1351</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1177</v>
      </c>
      <c r="B30" s="2856" t="s">
        <v>1314</v>
      </c>
      <c r="C30" s="2857">
        <f ca="1">ROUND(C31+C36+C37+C38,0)</f>
        <v>0</v>
      </c>
      <c r="D30" s="2861" t="s">
        <v>1315</v>
      </c>
      <c r="E30" s="2876"/>
      <c r="F30" s="2818"/>
      <c r="G30" s="892"/>
      <c r="H30" s="2910"/>
      <c r="I30" s="2911"/>
      <c r="J30" s="2912"/>
      <c r="K30" s="2913"/>
      <c r="L30" s="2914"/>
      <c r="M30" s="2915"/>
    </row>
    <row r="31" ht="18" customHeight="1" spans="1:37">
      <c r="A31" s="738" t="s">
        <v>1001</v>
      </c>
      <c r="B31" s="1313" t="s">
        <v>1317</v>
      </c>
      <c r="C31" s="2878">
        <f ca="1">ROUND(IF(AND(项目基本情况!B11="自然人",项目基本情况!B10="北京市"),C6*F31/(1+'数据-取费表'!C43),C32+C33+C34),0)</f>
        <v>0</v>
      </c>
      <c r="D31" s="2865" t="s">
        <v>1506</v>
      </c>
      <c r="E31" s="2486" t="s">
        <v>1318</v>
      </c>
      <c r="F31" s="2879" t="str">
        <f ca="1">IF(项目基本情况!B11="企业","——",IF(M47="住宅",IF(F6*F7*F8/12/(1+'数据-取费表'!F30)&gt;100000,4%,2.5%),IF(F6*F7*F8/12/(1+'数据-取费表'!F30)&gt;100000,12%,7%)))</f>
        <v>——</v>
      </c>
      <c r="G31" s="892"/>
      <c r="H31" s="2916" t="s">
        <v>1523</v>
      </c>
      <c r="I31" s="2911"/>
      <c r="J31" s="2912"/>
      <c r="K31" s="2913"/>
      <c r="L31" s="2914"/>
      <c r="M31" s="2915"/>
    </row>
    <row r="32" ht="18" customHeight="1" spans="1:37">
      <c r="A32" s="738" t="s">
        <v>1030</v>
      </c>
      <c r="B32" s="1313" t="s">
        <v>1508</v>
      </c>
      <c r="C32" s="1303">
        <f ca="1">IF(项目基本情况!B11="自然人","——",ROUND(C6*F32/(1+'数据-取费表'!C43),0))</f>
        <v>0</v>
      </c>
      <c r="D32" s="2486" t="s">
        <v>1509</v>
      </c>
      <c r="E32" s="1313" t="s">
        <v>1325</v>
      </c>
      <c r="F32" s="2892">
        <f>'数据-取费表'!B42</f>
        <v>0</v>
      </c>
      <c r="G32" s="892"/>
      <c r="H32" s="2910"/>
      <c r="I32" s="2911"/>
      <c r="J32" s="2912"/>
      <c r="K32" s="2913"/>
      <c r="L32" s="2914"/>
      <c r="M32" s="2915"/>
    </row>
    <row r="33" ht="18" customHeight="1" spans="1:18">
      <c r="A33" s="738" t="s">
        <v>1034</v>
      </c>
      <c r="B33" s="1313" t="s">
        <v>1323</v>
      </c>
      <c r="C33" s="1303">
        <f ca="1">IF(项目基本情况!B11="自然人","——",IF(D33="按租金收入计税",ROUND(C6*F33/(1+'数据-取费表'!C43),0),IF(D33="按房产原值计税",ROUND(C29*F33*0.7,0),INDIRECT("'数据-取费表'!Aj"&amp;$G$1))))</f>
        <v>0</v>
      </c>
      <c r="D33" s="2881" t="s">
        <v>1512</v>
      </c>
      <c r="E33" s="1313" t="s">
        <v>1325</v>
      </c>
      <c r="F33" s="2875">
        <f>IF(D33="按票据","——",IF(D33="按租金收入计税",'数据-取费表'!B52,'数据-取费表'!B51))</f>
        <v>0.12</v>
      </c>
      <c r="G33" s="892"/>
      <c r="H33" s="2917"/>
      <c r="I33" s="2911"/>
      <c r="J33" s="2912"/>
      <c r="K33" s="2918"/>
      <c r="L33" s="2917"/>
      <c r="M33" s="2917"/>
    </row>
    <row r="34" ht="18" customHeight="1" spans="1:18">
      <c r="A34" s="2819" t="s">
        <v>1037</v>
      </c>
      <c r="B34" s="2822" t="s">
        <v>1326</v>
      </c>
      <c r="C34" s="2883">
        <f ca="1">IF(项目基本情况!B11="自然人","——",ROUND(F34*F35,0))</f>
        <v>0</v>
      </c>
      <c r="D34" s="2884" t="s">
        <v>1327</v>
      </c>
      <c r="E34" s="1313" t="s">
        <v>1328</v>
      </c>
      <c r="F34" s="2885">
        <f>'数据-取费表'!B53</f>
        <v>1.5</v>
      </c>
      <c r="G34" s="892"/>
      <c r="H34" s="2910"/>
      <c r="I34" s="2911"/>
      <c r="J34" s="2912"/>
      <c r="K34" s="2919"/>
      <c r="L34" s="2920"/>
      <c r="M34" s="2920"/>
    </row>
    <row r="35" ht="18" customHeight="1" spans="1:18">
      <c r="A35" s="2921"/>
      <c r="B35" s="2922"/>
      <c r="C35" s="2888"/>
      <c r="D35" s="2889"/>
      <c r="E35" s="1313" t="s">
        <v>1329</v>
      </c>
      <c r="F35" s="2823">
        <f ca="1">INDIRECT("'数据-取费表'!r"&amp;$G$1)</f>
        <v>0</v>
      </c>
      <c r="G35" s="892"/>
      <c r="H35" s="2910"/>
      <c r="I35" s="2911"/>
      <c r="J35" s="2912"/>
      <c r="K35" s="2918"/>
      <c r="L35" s="2917"/>
      <c r="M35" s="2917"/>
    </row>
    <row r="36" ht="18" customHeight="1" spans="1:18">
      <c r="A36" s="2923" t="s">
        <v>1006</v>
      </c>
      <c r="B36" s="1313" t="s">
        <v>1330</v>
      </c>
      <c r="C36" s="1303">
        <f ca="1">ROUND(C29*F36,0)</f>
        <v>0</v>
      </c>
      <c r="D36" s="2486" t="s">
        <v>1524</v>
      </c>
      <c r="E36" s="1313" t="s">
        <v>1325</v>
      </c>
      <c r="F36" s="2890">
        <f ca="1">INDIRECT("'数据-取费表'!Ak"&amp;$G$1)</f>
        <v>0</v>
      </c>
      <c r="G36" s="892"/>
      <c r="H36" s="2917"/>
      <c r="I36" s="2911"/>
      <c r="J36" s="2912"/>
      <c r="K36" s="1349"/>
      <c r="L36" s="2917"/>
      <c r="M36" s="2917"/>
    </row>
    <row r="37" ht="18" customHeight="1" spans="1:18">
      <c r="A37" s="738" t="s">
        <v>1057</v>
      </c>
      <c r="B37" s="1313" t="s">
        <v>1332</v>
      </c>
      <c r="C37" s="1303">
        <f ca="1">ROUND(C13*F37,0)</f>
        <v>0</v>
      </c>
      <c r="D37" s="2486" t="s">
        <v>1334</v>
      </c>
      <c r="E37" s="1313" t="s">
        <v>1325</v>
      </c>
      <c r="F37" s="2891">
        <f ca="1">INDIRECT("'数据-取费表'!Al"&amp;$G$1)</f>
        <v>0</v>
      </c>
      <c r="G37" s="892"/>
      <c r="H37" s="2917"/>
      <c r="I37" s="2911"/>
      <c r="J37" s="2912"/>
      <c r="K37" s="1349"/>
      <c r="L37" s="2917"/>
      <c r="M37" s="2917"/>
    </row>
    <row r="38" ht="18" customHeight="1" spans="1:18">
      <c r="A38" s="2871" t="s">
        <v>1062</v>
      </c>
      <c r="B38" s="2851" t="s">
        <v>1335</v>
      </c>
      <c r="C38" s="2893">
        <f ca="1">ROUND(C5*F38,0)</f>
        <v>0</v>
      </c>
      <c r="D38" s="2894" t="s">
        <v>1336</v>
      </c>
      <c r="E38" s="2851" t="s">
        <v>1325</v>
      </c>
      <c r="F38" s="2852">
        <f ca="1">INDIRECT("'数据-取费表'!Am"&amp;$G$1)</f>
        <v>0</v>
      </c>
      <c r="G38" s="892"/>
      <c r="H38" s="2917"/>
      <c r="I38" s="2911"/>
      <c r="J38" s="2912"/>
      <c r="K38" s="2924"/>
      <c r="L38" s="2917"/>
      <c r="M38" s="2917"/>
    </row>
    <row r="39" ht="24.6" customHeight="1" spans="1:18">
      <c r="A39" s="2855" t="s">
        <v>1339</v>
      </c>
      <c r="B39" s="2895" t="s">
        <v>1337</v>
      </c>
      <c r="C39" s="2857">
        <f ca="1">C5-C30</f>
        <v>0</v>
      </c>
      <c r="D39" s="2896" t="s">
        <v>1338</v>
      </c>
      <c r="E39" s="2897"/>
      <c r="F39" s="2898"/>
      <c r="G39" s="892"/>
      <c r="H39" s="2917"/>
      <c r="I39" s="2911"/>
      <c r="J39" s="2912"/>
      <c r="K39" s="2924"/>
      <c r="L39" s="2917"/>
      <c r="M39" s="2917"/>
    </row>
    <row r="40" ht="18" customHeight="1" spans="1:18">
      <c r="A40" s="2813" t="s">
        <v>1347</v>
      </c>
      <c r="B40" s="2814" t="s">
        <v>1340</v>
      </c>
      <c r="C40" s="2824" t="e">
        <f ca="1">ROUND(C39*(1-((1+F42)/(1+F40))^F41)/(F40-F42),0)</f>
        <v>#DIV/0!</v>
      </c>
      <c r="D40" s="2884" t="s">
        <v>1341</v>
      </c>
      <c r="E40" s="1313" t="s">
        <v>1342</v>
      </c>
      <c r="F40" s="2834">
        <f ca="1">INDIRECT("'数据-取费表'!I"&amp;$G$1)</f>
        <v>0</v>
      </c>
      <c r="G40" s="892"/>
      <c r="H40" s="2925"/>
      <c r="I40" s="2911"/>
      <c r="J40" s="2912"/>
      <c r="K40" s="2924"/>
      <c r="L40" s="2925"/>
      <c r="M40" s="2925"/>
    </row>
    <row r="41" ht="18" customHeight="1" spans="1:18">
      <c r="A41" s="2831"/>
      <c r="B41" s="2899"/>
      <c r="C41" s="2832"/>
      <c r="D41" s="2900" t="s">
        <v>1344</v>
      </c>
      <c r="E41" s="1313" t="s">
        <v>1345</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1346</v>
      </c>
      <c r="F42" s="2834">
        <f ca="1">INDIRECT("'数据-取费表'!v"&amp;$G$1)</f>
        <v>0</v>
      </c>
      <c r="G42" s="892"/>
      <c r="H42" s="720"/>
      <c r="I42" s="2911"/>
      <c r="J42" s="2912"/>
      <c r="K42" s="1349"/>
      <c r="L42" s="720"/>
      <c r="M42" s="720"/>
    </row>
    <row r="43" ht="18" customHeight="1" spans="1:18">
      <c r="A43" s="2904" t="s">
        <v>1352</v>
      </c>
      <c r="B43" s="2905" t="s">
        <v>1353</v>
      </c>
      <c r="C43" s="2906" t="e">
        <f ca="1">ROUND(C40/F43,0)</f>
        <v>#DIV/0!</v>
      </c>
      <c r="D43" s="2907" t="s">
        <v>1525</v>
      </c>
      <c r="E43" s="2908" t="s">
        <v>1355</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1526</v>
      </c>
      <c r="B45" s="2926"/>
      <c r="C45" s="2930" t="e">
        <f ca="1">ROUND((C68-C40)/10000,4)</f>
        <v>#DIV/0!</v>
      </c>
      <c r="D45" s="2931" t="s">
        <v>1527</v>
      </c>
      <c r="E45" s="2926"/>
      <c r="F45" s="2926"/>
      <c r="O45" s="2932" t="s">
        <v>1404</v>
      </c>
      <c r="P45" s="2925"/>
      <c r="Q45" s="2925"/>
      <c r="R45" s="2925"/>
    </row>
    <row r="46" s="892" customFormat="1" ht="13.75" spans="1:18">
      <c r="A46" s="2933" t="s">
        <v>1405</v>
      </c>
      <c r="C46" s="2934" t="e">
        <f ca="1">ROUND(C45,0)</f>
        <v>#DIV/0!</v>
      </c>
      <c r="D46" s="2935" t="str">
        <f>C2</f>
        <v>万元</v>
      </c>
      <c r="I46" s="2936" t="s">
        <v>1406</v>
      </c>
      <c r="J46" s="2937"/>
      <c r="K46" s="2938"/>
      <c r="L46" s="2939" t="e">
        <f ca="1">IF(M47="住宅",0,IF(L48&gt;J51,L60,J60))</f>
        <v>#DIV/0!</v>
      </c>
      <c r="O46" s="2940" t="s">
        <v>1407</v>
      </c>
      <c r="P46" s="2941" t="s">
        <v>1408</v>
      </c>
      <c r="Q46" s="2942" t="s">
        <v>1409</v>
      </c>
      <c r="R46" s="2942" t="s">
        <v>1410</v>
      </c>
    </row>
    <row r="47" s="892" customFormat="1" ht="13.75" spans="1:18">
      <c r="A47" s="2943" t="s">
        <v>1285</v>
      </c>
      <c r="B47" s="2944" t="s">
        <v>1286</v>
      </c>
      <c r="C47" s="2944" t="s">
        <v>1287</v>
      </c>
      <c r="D47" s="2944" t="s">
        <v>1288</v>
      </c>
      <c r="E47" s="2945" t="s">
        <v>1289</v>
      </c>
      <c r="F47" s="2472"/>
      <c r="G47" s="2946"/>
      <c r="I47" s="2947" t="s">
        <v>1411</v>
      </c>
      <c r="J47" s="2948"/>
      <c r="K47" s="2949" t="s">
        <v>1412</v>
      </c>
      <c r="L47" s="2950">
        <f ca="1">INDIRECT("'数据-取费表'!d"&amp;$G$1)</f>
        <v>0</v>
      </c>
      <c r="M47" s="2951" t="str">
        <f>IF(ISNUMBER(FIND("住宅",C1)),"住宅","非住宅")</f>
        <v>非住宅</v>
      </c>
      <c r="O47" s="2952" t="s">
        <v>1136</v>
      </c>
      <c r="P47" s="2953" t="s">
        <v>1413</v>
      </c>
      <c r="Q47" s="2954" t="e">
        <f ca="1">C40+J29</f>
        <v>#DIV/0!</v>
      </c>
      <c r="R47" s="2954" t="s">
        <v>1414</v>
      </c>
    </row>
    <row r="48" s="892" customFormat="1" ht="42.75" spans="1:18">
      <c r="A48" s="2955" t="s">
        <v>1113</v>
      </c>
      <c r="B48" s="2814" t="s">
        <v>1292</v>
      </c>
      <c r="C48" s="2481">
        <f ca="1">C49+C53+C55</f>
        <v>0</v>
      </c>
      <c r="D48" s="2956"/>
      <c r="E48" s="2957"/>
      <c r="F48" s="2958"/>
      <c r="G48" s="2946"/>
      <c r="H48" s="2959"/>
      <c r="I48" s="2960" t="s">
        <v>1415</v>
      </c>
      <c r="J48" s="2961"/>
      <c r="K48" s="2962" t="s">
        <v>1417</v>
      </c>
      <c r="L48" s="2963">
        <f ca="1">INDIRECT("'数据-取费表'!f"&amp;$G$1)</f>
        <v>0</v>
      </c>
      <c r="O48" s="2952" t="s">
        <v>1139</v>
      </c>
      <c r="P48" s="2953" t="s">
        <v>1418</v>
      </c>
      <c r="Q48" s="2954" t="e">
        <f ca="1">J60</f>
        <v>#DIV/0!</v>
      </c>
      <c r="R48" s="2954" t="s">
        <v>1419</v>
      </c>
    </row>
    <row r="49" s="892" customFormat="1" ht="13.75" spans="1:18">
      <c r="A49" s="2964" t="s">
        <v>1357</v>
      </c>
      <c r="B49" s="2965" t="s">
        <v>1420</v>
      </c>
      <c r="C49" s="2966">
        <f ca="1">ROUND(F49*F51*F50*(1-F52),0)</f>
        <v>0</v>
      </c>
      <c r="D49" s="2967" t="s">
        <v>1528</v>
      </c>
      <c r="E49" s="2968" t="s">
        <v>1529</v>
      </c>
      <c r="F49" s="2969"/>
      <c r="G49" s="2970"/>
      <c r="H49" s="2959"/>
      <c r="I49" s="2960" t="s">
        <v>1423</v>
      </c>
      <c r="J49" s="2971"/>
      <c r="K49" s="2962" t="s">
        <v>1424</v>
      </c>
      <c r="L49" s="2972"/>
      <c r="O49" s="2973" t="s">
        <v>1425</v>
      </c>
      <c r="P49" s="2953" t="s">
        <v>1426</v>
      </c>
      <c r="Q49" s="2954">
        <f ca="1">C29</f>
        <v>0</v>
      </c>
      <c r="R49" s="2954" t="s">
        <v>1414</v>
      </c>
    </row>
    <row r="50" s="892" customFormat="1" ht="13.75" spans="1:18">
      <c r="A50" s="2974"/>
      <c r="B50" s="2975"/>
      <c r="C50" s="2976"/>
      <c r="D50" s="2977"/>
      <c r="E50" s="2978" t="s">
        <v>1299</v>
      </c>
      <c r="F50" s="2979">
        <f ca="1">F7</f>
        <v>0</v>
      </c>
      <c r="H50" s="2959"/>
      <c r="I50" s="2960" t="s">
        <v>1429</v>
      </c>
      <c r="J50" s="2980">
        <f>SUMPRODUCT((I63:I65=J47)*(J62:L62=J48)*(J63:L65))</f>
        <v>0</v>
      </c>
      <c r="K50" s="2962" t="s">
        <v>1430</v>
      </c>
      <c r="L50" s="2972"/>
      <c r="M50" s="2981"/>
      <c r="O50" s="2973" t="s">
        <v>1431</v>
      </c>
      <c r="P50" s="2953" t="s">
        <v>1432</v>
      </c>
      <c r="Q50" s="2982" t="e">
        <f ca="1">J58</f>
        <v>#DIV/0!</v>
      </c>
      <c r="R50" s="2954"/>
    </row>
    <row r="51" s="892" customFormat="1" ht="13.75" spans="1:18">
      <c r="A51" s="2983"/>
      <c r="B51" s="2975"/>
      <c r="C51" s="2976"/>
      <c r="D51" s="2977"/>
      <c r="E51" s="2984" t="s">
        <v>1301</v>
      </c>
      <c r="F51" s="2823">
        <f ca="1">F8</f>
        <v>0</v>
      </c>
      <c r="I51" s="2985" t="s">
        <v>1433</v>
      </c>
      <c r="J51" s="2986">
        <f>IF(J49="",J50,J49+J50-YEAR('数据-取费表'!B2))</f>
        <v>0</v>
      </c>
      <c r="K51" s="2987" t="s">
        <v>1434</v>
      </c>
      <c r="L51" s="2988">
        <f ca="1">ROUND(-PV(INDIRECT("'数据-取费表'!h"&amp;$G$1),J51,(C39-C13*C76),0),0)</f>
        <v>0</v>
      </c>
      <c r="M51" s="2989"/>
      <c r="O51" s="2973" t="s">
        <v>1435</v>
      </c>
      <c r="P51" s="2953" t="s">
        <v>1436</v>
      </c>
      <c r="Q51" s="2982">
        <f>J52</f>
        <v>0</v>
      </c>
      <c r="R51" s="2954"/>
    </row>
    <row r="52" s="892" customFormat="1" ht="13.75" spans="1:18">
      <c r="A52" s="2983"/>
      <c r="B52" s="2975"/>
      <c r="C52" s="2976"/>
      <c r="D52" s="2977"/>
      <c r="E52" s="2984" t="s">
        <v>1304</v>
      </c>
      <c r="F52" s="2990"/>
      <c r="I52" s="2991" t="s">
        <v>1438</v>
      </c>
      <c r="J52" s="2992"/>
      <c r="K52" s="2991" t="s">
        <v>1439</v>
      </c>
      <c r="L52" s="2992"/>
      <c r="O52" s="2973" t="s">
        <v>1440</v>
      </c>
      <c r="P52" s="2953" t="s">
        <v>1441</v>
      </c>
      <c r="Q52" s="2954">
        <f ca="1">J53</f>
        <v>0</v>
      </c>
      <c r="R52" s="2954" t="s">
        <v>1442</v>
      </c>
    </row>
    <row r="53" s="892" customFormat="1" ht="30.75" customHeight="1" spans="1:18">
      <c r="A53" s="2993" t="s">
        <v>1377</v>
      </c>
      <c r="B53" s="2882" t="s">
        <v>1305</v>
      </c>
      <c r="C53" s="2480">
        <f ca="1">ROUND(IF(F53="押一",C49/12*F11,IF(F53="押二",C49/12*2*F11,IF(F53="押三",C49/12*3*F11,C54*F11))),0)</f>
        <v>0</v>
      </c>
      <c r="D53" s="2838" t="s">
        <v>1530</v>
      </c>
      <c r="E53" s="2835" t="s">
        <v>1307</v>
      </c>
      <c r="F53" s="2839"/>
      <c r="I53" s="2994" t="s">
        <v>1443</v>
      </c>
      <c r="J53" s="2995">
        <f ca="1">IF(M47="住宅",IF(D1="——",MAX(J51,L48),MAX(J51,L48-'数据-取费表'!B24)),IF(D1="——",MIN(J51,L48),MIN(J51,L48-'数据-取费表'!B24)))</f>
        <v>0</v>
      </c>
      <c r="K53" s="2996" t="s">
        <v>1444</v>
      </c>
      <c r="L53" s="2997"/>
      <c r="O53" s="2952" t="s">
        <v>1445</v>
      </c>
      <c r="P53" s="2953" t="s">
        <v>1446</v>
      </c>
      <c r="Q53" s="2954" t="e">
        <f ca="1">Q47+Q48</f>
        <v>#DIV/0!</v>
      </c>
      <c r="R53" s="2954" t="s">
        <v>1447</v>
      </c>
    </row>
    <row r="54" s="892" customFormat="1" ht="13.75" spans="1:18">
      <c r="A54" s="2964"/>
      <c r="B54" s="2998" t="s">
        <v>1503</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1448</v>
      </c>
      <c r="P54" s="3003"/>
      <c r="Q54" s="3003"/>
      <c r="R54" s="3003"/>
    </row>
    <row r="55" s="892" customFormat="1" ht="13.75" spans="1:18">
      <c r="A55" s="2847" t="s">
        <v>1057</v>
      </c>
      <c r="B55" s="2848" t="s">
        <v>1312</v>
      </c>
      <c r="C55" s="2849"/>
      <c r="D55" s="2838"/>
      <c r="E55" s="2999"/>
      <c r="F55" s="3000"/>
      <c r="I55" s="3004" t="s">
        <v>1449</v>
      </c>
      <c r="J55" s="3005" t="e">
        <f ca="1">ROUND(IF(J47="钢混",J57/J50,1-(1-2%)*(J50-J57)/J50),3)</f>
        <v>#DIV/0!</v>
      </c>
      <c r="K55" s="3006" t="s">
        <v>1450</v>
      </c>
      <c r="L55" s="3007"/>
      <c r="O55" s="2940" t="s">
        <v>1407</v>
      </c>
      <c r="P55" s="2941" t="s">
        <v>1408</v>
      </c>
      <c r="Q55" s="2942" t="s">
        <v>1409</v>
      </c>
      <c r="R55" s="2942" t="s">
        <v>1410</v>
      </c>
    </row>
    <row r="56" s="892" customFormat="1" ht="36" customHeight="1" spans="1:18">
      <c r="A56" s="3008">
        <v>2</v>
      </c>
      <c r="B56" s="3009" t="s">
        <v>1369</v>
      </c>
      <c r="C56" s="457">
        <f ca="1">C13</f>
        <v>0</v>
      </c>
      <c r="D56" s="642"/>
      <c r="E56" s="3010"/>
      <c r="F56" s="3000"/>
      <c r="I56" s="3011" t="s">
        <v>1451</v>
      </c>
      <c r="J56" s="3012"/>
      <c r="K56" s="2960" t="s">
        <v>1453</v>
      </c>
      <c r="L56" s="2963">
        <f ca="1">IF(L48&lt;J51,"——",L48-J51)</f>
        <v>0</v>
      </c>
      <c r="O56" s="2952" t="s">
        <v>1136</v>
      </c>
      <c r="P56" s="2953" t="s">
        <v>1413</v>
      </c>
      <c r="Q56" s="2954" t="e">
        <f ca="1">C40+J29</f>
        <v>#DIV/0!</v>
      </c>
      <c r="R56" s="2954" t="s">
        <v>1414</v>
      </c>
    </row>
    <row r="57" s="892" customFormat="1" ht="26.75" spans="1:18">
      <c r="A57" s="3013"/>
      <c r="B57" s="1351" t="s">
        <v>1454</v>
      </c>
      <c r="C57" s="467">
        <f ca="1">C29</f>
        <v>0</v>
      </c>
      <c r="D57" s="3014"/>
      <c r="E57" s="3015"/>
      <c r="F57" s="3016"/>
      <c r="I57" s="3017" t="s">
        <v>1455</v>
      </c>
      <c r="J57" s="3018">
        <f ca="1">IF(OR(M47="住宅",J51&lt;L48,J56="是"),"——",J51-L48)</f>
        <v>0</v>
      </c>
      <c r="K57" s="2960" t="s">
        <v>1531</v>
      </c>
      <c r="L57" s="2963">
        <f ca="1">IF(L48&lt;J51,"——",IF(L55="比较法",L49,IF(L55="基准地价",L50,L51)))</f>
        <v>0</v>
      </c>
      <c r="O57" s="2952" t="s">
        <v>1139</v>
      </c>
      <c r="P57" s="2953" t="s">
        <v>1457</v>
      </c>
      <c r="Q57" s="2954" t="e">
        <f ca="1">L60</f>
        <v>#DIV/0!</v>
      </c>
      <c r="R57" s="2954" t="s">
        <v>1458</v>
      </c>
    </row>
    <row r="58" s="892" customFormat="1" ht="26.75" spans="1:18">
      <c r="A58" s="3019" t="s">
        <v>1177</v>
      </c>
      <c r="B58" s="3009" t="s">
        <v>1314</v>
      </c>
      <c r="C58" s="2480">
        <f ca="1">ROUND(C59+C64+C65+C66,0)</f>
        <v>0</v>
      </c>
      <c r="D58" s="3020" t="s">
        <v>1315</v>
      </c>
      <c r="E58" s="3021"/>
      <c r="F58" s="2958"/>
      <c r="I58" s="3017" t="s">
        <v>1459</v>
      </c>
      <c r="J58" s="3022" t="e">
        <f ca="1">IF(J55&lt;0.4,0.4,J55)</f>
        <v>#DIV/0!</v>
      </c>
      <c r="K58" s="2987" t="s">
        <v>1532</v>
      </c>
      <c r="L58" s="2963" t="e">
        <f ca="1">ROUND(POWER(1+L52,L47-L48)*(POWER(1+L52,L48)-1)/(POWER(1+L52,L47)-1),4)</f>
        <v>#DIV/0!</v>
      </c>
      <c r="O58" s="2973" t="s">
        <v>1425</v>
      </c>
      <c r="P58" s="2953" t="s">
        <v>1461</v>
      </c>
      <c r="Q58" s="2954">
        <f>IF(L55="比较法",L49,IF(L55="基准地价",L50,0))</f>
        <v>0</v>
      </c>
      <c r="R58" s="2954" t="s">
        <v>1414</v>
      </c>
    </row>
    <row r="59" s="892" customFormat="1" ht="26.75" spans="1:18">
      <c r="A59" s="738" t="s">
        <v>1001</v>
      </c>
      <c r="B59" s="1351" t="s">
        <v>1317</v>
      </c>
      <c r="C59" s="2878">
        <f ca="1">ROUND(IF(AND(项目基本情况!B11="自然人",项目基本情况!B10="北京市"),C49*F59/(1+'数据-取费表'!C43),C60+C61+C62),0)</f>
        <v>0</v>
      </c>
      <c r="D59" s="3023" t="s">
        <v>1506</v>
      </c>
      <c r="E59" s="3024" t="s">
        <v>1318</v>
      </c>
      <c r="F59" s="2879" t="str">
        <f ca="1">IF(项目基本情况!B11="企业","——",IF('数据-取费表'!B10="住宅",IF(F49*F50*F51/12/(1+'数据-取费表'!F30)&gt;100000,4%,2.5%),IF(F49*F50*F51/12/(1+'数据-取费表'!F30)&gt;100000,12%,7%)))</f>
        <v>——</v>
      </c>
      <c r="I59" s="3017" t="s">
        <v>1462</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1431</v>
      </c>
      <c r="P59" s="2953" t="s">
        <v>1463</v>
      </c>
      <c r="Q59" s="2982">
        <f>L52</f>
        <v>0</v>
      </c>
      <c r="R59" s="2954"/>
    </row>
    <row r="60" s="892" customFormat="1" ht="16.75" spans="1:18">
      <c r="A60" s="738" t="s">
        <v>1030</v>
      </c>
      <c r="B60" s="1351" t="s">
        <v>1508</v>
      </c>
      <c r="C60" s="1303">
        <f ca="1">IF(项目基本情况!B11="自然人","——",ROUND(C48*F60/(1+'数据-取费表'!C43),0))</f>
        <v>0</v>
      </c>
      <c r="D60" s="3024" t="s">
        <v>1509</v>
      </c>
      <c r="E60" s="1351" t="s">
        <v>1325</v>
      </c>
      <c r="F60" s="2892">
        <f t="shared" ref="F60:F66" si="0">F32</f>
        <v>0</v>
      </c>
      <c r="I60" s="3025" t="s">
        <v>1464</v>
      </c>
      <c r="J60" s="3026" t="e">
        <f ca="1">IF(OR(M47="住宅",J51&lt;L48,J56="是"),"0",ROUND(J59/(1+J52)^J53,0))</f>
        <v>#DIV/0!</v>
      </c>
      <c r="K60" s="3027" t="s">
        <v>1465</v>
      </c>
      <c r="L60" s="3026" t="e">
        <f ca="1">IF(OR(M47="住宅",L48&lt;J51),0,ROUND(L57*(L58/L59-1),0))</f>
        <v>#DIV/0!</v>
      </c>
      <c r="O60" s="2973" t="s">
        <v>1435</v>
      </c>
      <c r="P60" s="2953" t="s">
        <v>1466</v>
      </c>
      <c r="Q60" s="2954" t="e">
        <f ca="1">L58</f>
        <v>#DIV/0!</v>
      </c>
      <c r="R60" s="2954" t="s">
        <v>1467</v>
      </c>
    </row>
    <row r="61" s="892" customFormat="1" ht="13.75" spans="1:18">
      <c r="A61" s="738" t="s">
        <v>1034</v>
      </c>
      <c r="B61" s="1351" t="s">
        <v>1323</v>
      </c>
      <c r="C61" s="1303">
        <f ca="1">IF(项目基本情况!B11="自然人","——",IF(D61="按租金收入计税",ROUND(C49*F61/(1+'数据-取费表'!C43),0),IF(D61="按房产原值计税",ROUND(C57*F61*0.7,0),INDIRECT("'数据-取费表'!Aj"&amp;$G$1))))</f>
        <v>0</v>
      </c>
      <c r="D61" s="2881" t="s">
        <v>1512</v>
      </c>
      <c r="E61" s="1351" t="s">
        <v>1325</v>
      </c>
      <c r="F61" s="2875">
        <f t="shared" si="0"/>
        <v>0.12</v>
      </c>
      <c r="I61" s="2925"/>
      <c r="J61" s="2925"/>
      <c r="K61" s="2925"/>
      <c r="L61" s="2925"/>
      <c r="O61" s="2973" t="s">
        <v>1440</v>
      </c>
      <c r="P61" s="2953" t="str">
        <f>K59</f>
        <v>建筑物剩余耐用年限下的土地年期修正系数Kn</v>
      </c>
      <c r="Q61" s="2954" t="e">
        <f ca="1">L59</f>
        <v>#DIV/0!</v>
      </c>
      <c r="R61" s="2954" t="s">
        <v>1468</v>
      </c>
    </row>
    <row r="62" s="892" customFormat="1" ht="13.75" spans="1:18">
      <c r="A62" s="738" t="s">
        <v>1037</v>
      </c>
      <c r="B62" s="3028" t="s">
        <v>1326</v>
      </c>
      <c r="C62" s="2883">
        <f ca="1">IF(项目基本情况!B11="自然人","——",ROUND(F62*F63,0))</f>
        <v>0</v>
      </c>
      <c r="D62" s="3029" t="s">
        <v>1327</v>
      </c>
      <c r="E62" s="1351" t="s">
        <v>1328</v>
      </c>
      <c r="F62" s="2885">
        <f t="shared" si="0"/>
        <v>1.5</v>
      </c>
      <c r="I62" s="3030" t="s">
        <v>1469</v>
      </c>
      <c r="J62" s="3031" t="s">
        <v>1470</v>
      </c>
      <c r="K62" s="3031" t="s">
        <v>1471</v>
      </c>
      <c r="L62" s="3031" t="s">
        <v>1472</v>
      </c>
      <c r="M62" s="811" t="s">
        <v>1473</v>
      </c>
      <c r="O62" s="2952" t="s">
        <v>1445</v>
      </c>
      <c r="P62" s="2953" t="s">
        <v>1446</v>
      </c>
      <c r="Q62" s="2954" t="e">
        <f ca="1">Q56+Q57</f>
        <v>#DIV/0!</v>
      </c>
      <c r="R62" s="2954" t="s">
        <v>1447</v>
      </c>
    </row>
    <row r="63" s="892" customFormat="1" ht="13.75" spans="1:18">
      <c r="A63" s="2886"/>
      <c r="B63" s="3032"/>
      <c r="C63" s="2888"/>
      <c r="D63" s="3033"/>
      <c r="E63" s="1351" t="s">
        <v>1329</v>
      </c>
      <c r="F63" s="2823">
        <f ca="1" t="shared" si="0"/>
        <v>0</v>
      </c>
      <c r="I63" s="3030" t="s">
        <v>1474</v>
      </c>
      <c r="J63" s="3031">
        <v>70</v>
      </c>
      <c r="K63" s="3031">
        <v>50</v>
      </c>
      <c r="L63" s="3031">
        <v>80</v>
      </c>
      <c r="M63" s="3034">
        <v>0.02</v>
      </c>
      <c r="O63" s="2932" t="s">
        <v>1475</v>
      </c>
      <c r="P63" s="3003"/>
      <c r="Q63" s="3003"/>
      <c r="R63" s="3003"/>
    </row>
    <row r="64" s="892" customFormat="1" ht="13.75" spans="1:18">
      <c r="A64" s="738" t="s">
        <v>1006</v>
      </c>
      <c r="B64" s="1351" t="s">
        <v>1330</v>
      </c>
      <c r="C64" s="1303">
        <f ca="1">ROUND(C57*F64,0)</f>
        <v>0</v>
      </c>
      <c r="D64" s="3024" t="s">
        <v>1524</v>
      </c>
      <c r="E64" s="1351" t="s">
        <v>1325</v>
      </c>
      <c r="F64" s="2890">
        <f ca="1" t="shared" si="0"/>
        <v>0</v>
      </c>
      <c r="I64" s="3030" t="s">
        <v>1476</v>
      </c>
      <c r="J64" s="3031">
        <v>50</v>
      </c>
      <c r="K64" s="3031">
        <v>35</v>
      </c>
      <c r="L64" s="3031">
        <v>60</v>
      </c>
      <c r="M64" s="811">
        <v>0</v>
      </c>
      <c r="O64" s="2940" t="s">
        <v>1407</v>
      </c>
      <c r="P64" s="2941" t="s">
        <v>1408</v>
      </c>
      <c r="Q64" s="2942" t="s">
        <v>1409</v>
      </c>
      <c r="R64" s="2942" t="s">
        <v>1410</v>
      </c>
    </row>
    <row r="65" s="892" customFormat="1" ht="13.75" spans="1:18">
      <c r="A65" s="738" t="s">
        <v>1057</v>
      </c>
      <c r="B65" s="1351" t="s">
        <v>1332</v>
      </c>
      <c r="C65" s="1303">
        <f ca="1">ROUND(C56*F65,0)</f>
        <v>0</v>
      </c>
      <c r="D65" s="3024" t="s">
        <v>1334</v>
      </c>
      <c r="E65" s="1351" t="s">
        <v>1325</v>
      </c>
      <c r="F65" s="2891">
        <f ca="1" t="shared" si="0"/>
        <v>0</v>
      </c>
      <c r="I65" s="3030" t="s">
        <v>1477</v>
      </c>
      <c r="J65" s="3031">
        <v>40</v>
      </c>
      <c r="K65" s="3031">
        <v>30</v>
      </c>
      <c r="L65" s="3031">
        <v>50</v>
      </c>
      <c r="M65" s="3034">
        <v>0.02</v>
      </c>
      <c r="O65" s="2952" t="s">
        <v>1136</v>
      </c>
      <c r="P65" s="2953" t="s">
        <v>1413</v>
      </c>
      <c r="Q65" s="2954" t="e">
        <f ca="1">C40+J29</f>
        <v>#DIV/0!</v>
      </c>
      <c r="R65" s="2954" t="s">
        <v>1414</v>
      </c>
    </row>
    <row r="66" s="892" customFormat="1" ht="16.75" spans="1:18">
      <c r="A66" s="738" t="s">
        <v>1062</v>
      </c>
      <c r="B66" s="1351" t="s">
        <v>1335</v>
      </c>
      <c r="C66" s="1303">
        <f ca="1">ROUND(C48*F66,0)</f>
        <v>0</v>
      </c>
      <c r="D66" s="3024" t="s">
        <v>1336</v>
      </c>
      <c r="E66" s="1351" t="s">
        <v>1325</v>
      </c>
      <c r="F66" s="2834">
        <f ca="1" t="shared" si="0"/>
        <v>0</v>
      </c>
      <c r="O66" s="2952" t="s">
        <v>1139</v>
      </c>
      <c r="P66" s="2953" t="s">
        <v>1457</v>
      </c>
      <c r="Q66" s="2954" t="e">
        <f ca="1">L60</f>
        <v>#DIV/0!</v>
      </c>
      <c r="R66" s="2954" t="s">
        <v>1458</v>
      </c>
    </row>
    <row r="67" s="892" customFormat="1" ht="26.75" spans="1:18">
      <c r="A67" s="3008" t="s">
        <v>1339</v>
      </c>
      <c r="B67" s="3035" t="s">
        <v>1337</v>
      </c>
      <c r="C67" s="2480">
        <f ca="1">C48-C58</f>
        <v>0</v>
      </c>
      <c r="D67" s="3023" t="s">
        <v>1338</v>
      </c>
      <c r="E67" s="3036"/>
      <c r="F67" s="3037"/>
      <c r="O67" s="2973" t="s">
        <v>1425</v>
      </c>
      <c r="P67" s="2953" t="s">
        <v>1461</v>
      </c>
      <c r="Q67" s="3038">
        <f ca="1">L51</f>
        <v>0</v>
      </c>
      <c r="R67" s="2954" t="s">
        <v>1478</v>
      </c>
    </row>
    <row r="68" s="892" customFormat="1" ht="16.75" spans="1:18">
      <c r="A68" s="3039" t="s">
        <v>1347</v>
      </c>
      <c r="B68" s="3040" t="s">
        <v>1340</v>
      </c>
      <c r="C68" s="2824" t="e">
        <f ca="1">ROUND(C67*(1-((1+F70)/(1+F68))^F69)/(F68-F70),0)</f>
        <v>#DIV/0!</v>
      </c>
      <c r="D68" s="3029" t="s">
        <v>1341</v>
      </c>
      <c r="E68" s="1351" t="s">
        <v>1342</v>
      </c>
      <c r="F68" s="2834">
        <f ca="1">F40</f>
        <v>0</v>
      </c>
      <c r="O68" s="2973" t="s">
        <v>1431</v>
      </c>
      <c r="P68" s="3041" t="s">
        <v>1479</v>
      </c>
      <c r="Q68" s="2954">
        <f ca="1">ROUND(Q69-Q70*Q71,0)</f>
        <v>0</v>
      </c>
      <c r="R68" s="2954" t="s">
        <v>1480</v>
      </c>
    </row>
    <row r="69" s="892" customFormat="1" ht="13.75" spans="1:18">
      <c r="A69" s="3042"/>
      <c r="B69" s="3043"/>
      <c r="C69" s="2832"/>
      <c r="D69" s="3044" t="s">
        <v>1344</v>
      </c>
      <c r="E69" s="1351" t="s">
        <v>1345</v>
      </c>
      <c r="F69" s="2901">
        <f ca="1">F41</f>
        <v>0</v>
      </c>
      <c r="O69" s="2973" t="s">
        <v>1481</v>
      </c>
      <c r="P69" s="3041" t="s">
        <v>1482</v>
      </c>
      <c r="Q69" s="2954">
        <f ca="1">C39</f>
        <v>0</v>
      </c>
      <c r="R69" s="2954" t="s">
        <v>1414</v>
      </c>
    </row>
    <row r="70" s="892" customFormat="1" ht="13.75" spans="1:18">
      <c r="A70" s="3045"/>
      <c r="B70" s="3046"/>
      <c r="C70" s="2857"/>
      <c r="D70" s="3033"/>
      <c r="E70" s="1351" t="s">
        <v>1346</v>
      </c>
      <c r="F70" s="2990"/>
      <c r="O70" s="2973" t="s">
        <v>1483</v>
      </c>
      <c r="P70" s="3041" t="s">
        <v>1484</v>
      </c>
      <c r="Q70" s="2954">
        <f ca="1">C13</f>
        <v>0</v>
      </c>
      <c r="R70" s="2954" t="s">
        <v>1414</v>
      </c>
    </row>
    <row r="71" s="892" customFormat="1" ht="13.75" spans="1:18">
      <c r="A71" s="3047" t="s">
        <v>1352</v>
      </c>
      <c r="B71" s="3048" t="s">
        <v>1353</v>
      </c>
      <c r="C71" s="2906" t="e">
        <f ca="1">ROUND(C68/F71,0)</f>
        <v>#DIV/0!</v>
      </c>
      <c r="D71" s="3049" t="s">
        <v>1525</v>
      </c>
      <c r="E71" s="3050" t="s">
        <v>1355</v>
      </c>
      <c r="F71" s="2909">
        <f ca="1">F43</f>
        <v>0</v>
      </c>
      <c r="O71" s="2973" t="s">
        <v>1485</v>
      </c>
      <c r="P71" s="3041" t="s">
        <v>1486</v>
      </c>
      <c r="Q71" s="2982">
        <f ca="1">C76</f>
        <v>0</v>
      </c>
      <c r="R71" s="2954"/>
    </row>
    <row r="72" s="892" customFormat="1" ht="13.75" spans="1:18">
      <c r="B72" s="2386"/>
      <c r="C72" s="2386"/>
      <c r="O72" s="2973" t="s">
        <v>1435</v>
      </c>
      <c r="P72" s="2953" t="s">
        <v>1463</v>
      </c>
      <c r="Q72" s="2982">
        <f>L52</f>
        <v>0</v>
      </c>
      <c r="R72" s="2954"/>
    </row>
    <row r="73" ht="16.75" spans="1:18">
      <c r="A73" s="892"/>
      <c r="B73" s="2386"/>
      <c r="C73" s="2386"/>
      <c r="D73" s="892"/>
      <c r="E73" s="892"/>
      <c r="F73" s="892"/>
      <c r="O73" s="2973" t="s">
        <v>1440</v>
      </c>
      <c r="P73" s="2953" t="s">
        <v>1466</v>
      </c>
      <c r="Q73" s="2954" t="e">
        <f ca="1">L58</f>
        <v>#DIV/0!</v>
      </c>
      <c r="R73" s="2954" t="s">
        <v>1467</v>
      </c>
    </row>
    <row r="74" ht="13.75" spans="1:18">
      <c r="A74" s="892"/>
      <c r="B74" s="502" t="s">
        <v>1489</v>
      </c>
      <c r="C74" s="3051"/>
      <c r="D74" s="892"/>
      <c r="E74" s="892"/>
      <c r="F74" s="892"/>
      <c r="O74" s="2973" t="s">
        <v>1488</v>
      </c>
      <c r="P74" s="2953" t="str">
        <f>K59</f>
        <v>建筑物剩余耐用年限下的土地年期修正系数Kn</v>
      </c>
      <c r="Q74" s="2954" t="e">
        <f ca="1">L59</f>
        <v>#DIV/0!</v>
      </c>
      <c r="R74" s="2954" t="s">
        <v>1468</v>
      </c>
    </row>
    <row r="75" ht="13.75" spans="1:18">
      <c r="A75" s="892"/>
      <c r="B75" s="3052" t="s">
        <v>1490</v>
      </c>
      <c r="C75" s="3053">
        <f ca="1">ROUND(C13*C76,0)</f>
        <v>0</v>
      </c>
      <c r="D75" s="892"/>
      <c r="E75" s="892"/>
      <c r="F75" s="892"/>
      <c r="K75" s="2928"/>
      <c r="L75" s="892"/>
      <c r="O75" s="2952" t="s">
        <v>1445</v>
      </c>
      <c r="P75" s="2953" t="s">
        <v>1446</v>
      </c>
      <c r="Q75" s="2954" t="e">
        <f ca="1">Q65+Q66</f>
        <v>#DIV/0!</v>
      </c>
      <c r="R75" s="2954" t="s">
        <v>1447</v>
      </c>
    </row>
    <row r="76" ht="13" spans="1:18">
      <c r="B76" s="844" t="s">
        <v>1491</v>
      </c>
      <c r="C76" s="3054">
        <f ca="1">INDIRECT("'数据-取费表'!j"&amp;$G$1)</f>
        <v>0</v>
      </c>
      <c r="I76" s="892"/>
      <c r="J76" s="892"/>
      <c r="K76" s="2928"/>
      <c r="L76" s="892"/>
    </row>
    <row r="77" ht="13" spans="1:18">
      <c r="B77" s="3055" t="s">
        <v>1492</v>
      </c>
      <c r="C77" s="3056"/>
      <c r="I77" s="892"/>
      <c r="J77" s="892"/>
      <c r="K77" s="2928"/>
      <c r="L77" s="892"/>
    </row>
    <row r="78" ht="13" spans="1:18">
      <c r="B78" s="500" t="s">
        <v>1493</v>
      </c>
      <c r="C78" s="3057"/>
    </row>
    <row r="79" ht="13" spans="1:18">
      <c r="B79" s="3052" t="s">
        <v>1494</v>
      </c>
      <c r="C79" s="503" t="e">
        <f ca="1">1-C80</f>
        <v>#DIV/0!</v>
      </c>
    </row>
    <row r="80" ht="13" spans="1:18">
      <c r="B80" s="3052" t="s">
        <v>1495</v>
      </c>
      <c r="C80" s="503" t="e">
        <f ca="1">ROUND(C75/C39,3)</f>
        <v>#DIV/0!</v>
      </c>
    </row>
    <row r="81" ht="13" spans="2:3">
      <c r="B81" s="500" t="s">
        <v>1496</v>
      </c>
      <c r="C81" s="467"/>
    </row>
    <row r="82" ht="13" spans="2:3">
      <c r="B82" s="502" t="s">
        <v>1211</v>
      </c>
      <c r="C82" s="504" t="e">
        <f ca="1">1-C83</f>
        <v>#DIV/0!</v>
      </c>
    </row>
    <row r="83" ht="13" spans="2:3">
      <c r="B83" s="502" t="s">
        <v>1212</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29" customWidth="1"/>
    <col min="2" max="2" width="8.87272727272727" style="2529"/>
    <col min="3" max="5" width="12.8727272727273" style="2529" customWidth="1"/>
    <col min="6" max="6" width="47.5" style="2529" customWidth="1"/>
    <col min="7" max="7" width="13" style="2530" customWidth="1"/>
    <col min="8" max="8" width="8.87272727272727" style="2531"/>
    <col min="9" max="9" width="8.87272727272727" style="2532"/>
    <col min="10" max="10" width="5.75454545454545" style="2533" customWidth="1"/>
    <col min="11" max="11" width="11.7545454545455" style="2533" customWidth="1"/>
    <col min="12" max="13" width="10.7545454545455" style="2533" customWidth="1"/>
    <col min="14" max="14" width="10" style="2533" customWidth="1"/>
    <col min="15" max="16" width="10.5" style="2533" customWidth="1"/>
    <col min="17" max="17" width="10" style="2533" customWidth="1"/>
    <col min="18" max="18" width="10.1272727272727" style="2533" customWidth="1"/>
    <col min="19" max="19" width="10" style="2533" customWidth="1"/>
    <col min="20" max="20" width="26.1272727272727" style="2533" customWidth="1"/>
    <col min="21" max="21" width="8.87272727272727" style="2533"/>
    <col min="22" max="22" width="8.87272727272727" style="2532"/>
    <col min="23" max="256" width="8.87272727272727" style="2529"/>
    <col min="257" max="257" width="9.5" style="2529" customWidth="1"/>
    <col min="258" max="258" width="8.87272727272727" style="2529"/>
    <col min="259" max="261" width="12.8727272727273" style="2529" customWidth="1"/>
    <col min="262" max="262" width="47.5" style="2529" customWidth="1"/>
    <col min="263" max="263" width="13" style="2529" customWidth="1"/>
    <col min="264" max="265" width="8.87272727272727" style="2529"/>
    <col min="266" max="266" width="5.75454545454545" style="2529" customWidth="1"/>
    <col min="267" max="267" width="11.7545454545455" style="2529" customWidth="1"/>
    <col min="268" max="269" width="10.7545454545455" style="2529" customWidth="1"/>
    <col min="270" max="270" width="10" style="2529" customWidth="1"/>
    <col min="271" max="272" width="10.5" style="2529" customWidth="1"/>
    <col min="273" max="273" width="10" style="2529" customWidth="1"/>
    <col min="274" max="274" width="10.1272727272727" style="2529" customWidth="1"/>
    <col min="275" max="275" width="10" style="2529" customWidth="1"/>
    <col min="276" max="276" width="26.1272727272727" style="2529" customWidth="1"/>
    <col min="277" max="512" width="8.87272727272727" style="2529"/>
    <col min="513" max="513" width="9.5" style="2529" customWidth="1"/>
    <col min="514" max="514" width="8.87272727272727" style="2529"/>
    <col min="515" max="517" width="12.8727272727273" style="2529" customWidth="1"/>
    <col min="518" max="518" width="47.5" style="2529" customWidth="1"/>
    <col min="519" max="519" width="13" style="2529" customWidth="1"/>
    <col min="520" max="521" width="8.87272727272727" style="2529"/>
    <col min="522" max="522" width="5.75454545454545" style="2529" customWidth="1"/>
    <col min="523" max="523" width="11.7545454545455" style="2529" customWidth="1"/>
    <col min="524" max="525" width="10.7545454545455" style="2529" customWidth="1"/>
    <col min="526" max="526" width="10" style="2529" customWidth="1"/>
    <col min="527" max="528" width="10.5" style="2529" customWidth="1"/>
    <col min="529" max="529" width="10" style="2529" customWidth="1"/>
    <col min="530" max="530" width="10.1272727272727" style="2529" customWidth="1"/>
    <col min="531" max="531" width="10" style="2529" customWidth="1"/>
    <col min="532" max="532" width="26.1272727272727" style="2529" customWidth="1"/>
    <col min="533" max="768" width="8.87272727272727" style="2529"/>
    <col min="769" max="769" width="9.5" style="2529" customWidth="1"/>
    <col min="770" max="770" width="8.87272727272727" style="2529"/>
    <col min="771" max="773" width="12.8727272727273" style="2529" customWidth="1"/>
    <col min="774" max="774" width="47.5" style="2529" customWidth="1"/>
    <col min="775" max="775" width="13" style="2529" customWidth="1"/>
    <col min="776" max="777" width="8.87272727272727" style="2529"/>
    <col min="778" max="778" width="5.75454545454545" style="2529" customWidth="1"/>
    <col min="779" max="779" width="11.7545454545455" style="2529" customWidth="1"/>
    <col min="780" max="781" width="10.7545454545455" style="2529" customWidth="1"/>
    <col min="782" max="782" width="10" style="2529" customWidth="1"/>
    <col min="783" max="784" width="10.5" style="2529" customWidth="1"/>
    <col min="785" max="785" width="10" style="2529" customWidth="1"/>
    <col min="786" max="786" width="10.1272727272727" style="2529" customWidth="1"/>
    <col min="787" max="787" width="10" style="2529" customWidth="1"/>
    <col min="788" max="788" width="26.1272727272727" style="2529" customWidth="1"/>
    <col min="789" max="1024" width="8.87272727272727" style="2529"/>
    <col min="1025" max="1025" width="9.5" style="2529" customWidth="1"/>
    <col min="1026" max="1026" width="8.87272727272727" style="2529"/>
    <col min="1027" max="1029" width="12.8727272727273" style="2529" customWidth="1"/>
    <col min="1030" max="1030" width="47.5" style="2529" customWidth="1"/>
    <col min="1031" max="1031" width="13" style="2529" customWidth="1"/>
    <col min="1032" max="1033" width="8.87272727272727" style="2529"/>
    <col min="1034" max="1034" width="5.75454545454545" style="2529" customWidth="1"/>
    <col min="1035" max="1035" width="11.7545454545455" style="2529" customWidth="1"/>
    <col min="1036" max="1037" width="10.7545454545455" style="2529" customWidth="1"/>
    <col min="1038" max="1038" width="10" style="2529" customWidth="1"/>
    <col min="1039" max="1040" width="10.5" style="2529" customWidth="1"/>
    <col min="1041" max="1041" width="10" style="2529" customWidth="1"/>
    <col min="1042" max="1042" width="10.1272727272727" style="2529" customWidth="1"/>
    <col min="1043" max="1043" width="10" style="2529" customWidth="1"/>
    <col min="1044" max="1044" width="26.1272727272727" style="2529" customWidth="1"/>
    <col min="1045" max="1280" width="8.87272727272727" style="2529"/>
    <col min="1281" max="1281" width="9.5" style="2529" customWidth="1"/>
    <col min="1282" max="1282" width="8.87272727272727" style="2529"/>
    <col min="1283" max="1285" width="12.8727272727273" style="2529" customWidth="1"/>
    <col min="1286" max="1286" width="47.5" style="2529" customWidth="1"/>
    <col min="1287" max="1287" width="13" style="2529" customWidth="1"/>
    <col min="1288" max="1289" width="8.87272727272727" style="2529"/>
    <col min="1290" max="1290" width="5.75454545454545" style="2529" customWidth="1"/>
    <col min="1291" max="1291" width="11.7545454545455" style="2529" customWidth="1"/>
    <col min="1292" max="1293" width="10.7545454545455" style="2529" customWidth="1"/>
    <col min="1294" max="1294" width="10" style="2529" customWidth="1"/>
    <col min="1295" max="1296" width="10.5" style="2529" customWidth="1"/>
    <col min="1297" max="1297" width="10" style="2529" customWidth="1"/>
    <col min="1298" max="1298" width="10.1272727272727" style="2529" customWidth="1"/>
    <col min="1299" max="1299" width="10" style="2529" customWidth="1"/>
    <col min="1300" max="1300" width="26.1272727272727" style="2529" customWidth="1"/>
    <col min="1301" max="1536" width="8.87272727272727" style="2529"/>
    <col min="1537" max="1537" width="9.5" style="2529" customWidth="1"/>
    <col min="1538" max="1538" width="8.87272727272727" style="2529"/>
    <col min="1539" max="1541" width="12.8727272727273" style="2529" customWidth="1"/>
    <col min="1542" max="1542" width="47.5" style="2529" customWidth="1"/>
    <col min="1543" max="1543" width="13" style="2529" customWidth="1"/>
    <col min="1544" max="1545" width="8.87272727272727" style="2529"/>
    <col min="1546" max="1546" width="5.75454545454545" style="2529" customWidth="1"/>
    <col min="1547" max="1547" width="11.7545454545455" style="2529" customWidth="1"/>
    <col min="1548" max="1549" width="10.7545454545455" style="2529" customWidth="1"/>
    <col min="1550" max="1550" width="10" style="2529" customWidth="1"/>
    <col min="1551" max="1552" width="10.5" style="2529" customWidth="1"/>
    <col min="1553" max="1553" width="10" style="2529" customWidth="1"/>
    <col min="1554" max="1554" width="10.1272727272727" style="2529" customWidth="1"/>
    <col min="1555" max="1555" width="10" style="2529" customWidth="1"/>
    <col min="1556" max="1556" width="26.1272727272727" style="2529" customWidth="1"/>
    <col min="1557" max="1792" width="8.87272727272727" style="2529"/>
    <col min="1793" max="1793" width="9.5" style="2529" customWidth="1"/>
    <col min="1794" max="1794" width="8.87272727272727" style="2529"/>
    <col min="1795" max="1797" width="12.8727272727273" style="2529" customWidth="1"/>
    <col min="1798" max="1798" width="47.5" style="2529" customWidth="1"/>
    <col min="1799" max="1799" width="13" style="2529" customWidth="1"/>
    <col min="1800" max="1801" width="8.87272727272727" style="2529"/>
    <col min="1802" max="1802" width="5.75454545454545" style="2529" customWidth="1"/>
    <col min="1803" max="1803" width="11.7545454545455" style="2529" customWidth="1"/>
    <col min="1804" max="1805" width="10.7545454545455" style="2529" customWidth="1"/>
    <col min="1806" max="1806" width="10" style="2529" customWidth="1"/>
    <col min="1807" max="1808" width="10.5" style="2529" customWidth="1"/>
    <col min="1809" max="1809" width="10" style="2529" customWidth="1"/>
    <col min="1810" max="1810" width="10.1272727272727" style="2529" customWidth="1"/>
    <col min="1811" max="1811" width="10" style="2529" customWidth="1"/>
    <col min="1812" max="1812" width="26.1272727272727" style="2529" customWidth="1"/>
    <col min="1813" max="2048" width="8.87272727272727" style="2529"/>
    <col min="2049" max="2049" width="9.5" style="2529" customWidth="1"/>
    <col min="2050" max="2050" width="8.87272727272727" style="2529"/>
    <col min="2051" max="2053" width="12.8727272727273" style="2529" customWidth="1"/>
    <col min="2054" max="2054" width="47.5" style="2529" customWidth="1"/>
    <col min="2055" max="2055" width="13" style="2529" customWidth="1"/>
    <col min="2056" max="2057" width="8.87272727272727" style="2529"/>
    <col min="2058" max="2058" width="5.75454545454545" style="2529" customWidth="1"/>
    <col min="2059" max="2059" width="11.7545454545455" style="2529" customWidth="1"/>
    <col min="2060" max="2061" width="10.7545454545455" style="2529" customWidth="1"/>
    <col min="2062" max="2062" width="10" style="2529" customWidth="1"/>
    <col min="2063" max="2064" width="10.5" style="2529" customWidth="1"/>
    <col min="2065" max="2065" width="10" style="2529" customWidth="1"/>
    <col min="2066" max="2066" width="10.1272727272727" style="2529" customWidth="1"/>
    <col min="2067" max="2067" width="10" style="2529" customWidth="1"/>
    <col min="2068" max="2068" width="26.1272727272727" style="2529" customWidth="1"/>
    <col min="2069" max="2304" width="8.87272727272727" style="2529"/>
    <col min="2305" max="2305" width="9.5" style="2529" customWidth="1"/>
    <col min="2306" max="2306" width="8.87272727272727" style="2529"/>
    <col min="2307" max="2309" width="12.8727272727273" style="2529" customWidth="1"/>
    <col min="2310" max="2310" width="47.5" style="2529" customWidth="1"/>
    <col min="2311" max="2311" width="13" style="2529" customWidth="1"/>
    <col min="2312" max="2313" width="8.87272727272727" style="2529"/>
    <col min="2314" max="2314" width="5.75454545454545" style="2529" customWidth="1"/>
    <col min="2315" max="2315" width="11.7545454545455" style="2529" customWidth="1"/>
    <col min="2316" max="2317" width="10.7545454545455" style="2529" customWidth="1"/>
    <col min="2318" max="2318" width="10" style="2529" customWidth="1"/>
    <col min="2319" max="2320" width="10.5" style="2529" customWidth="1"/>
    <col min="2321" max="2321" width="10" style="2529" customWidth="1"/>
    <col min="2322" max="2322" width="10.1272727272727" style="2529" customWidth="1"/>
    <col min="2323" max="2323" width="10" style="2529" customWidth="1"/>
    <col min="2324" max="2324" width="26.1272727272727" style="2529" customWidth="1"/>
    <col min="2325" max="2560" width="8.87272727272727" style="2529"/>
    <col min="2561" max="2561" width="9.5" style="2529" customWidth="1"/>
    <col min="2562" max="2562" width="8.87272727272727" style="2529"/>
    <col min="2563" max="2565" width="12.8727272727273" style="2529" customWidth="1"/>
    <col min="2566" max="2566" width="47.5" style="2529" customWidth="1"/>
    <col min="2567" max="2567" width="13" style="2529" customWidth="1"/>
    <col min="2568" max="2569" width="8.87272727272727" style="2529"/>
    <col min="2570" max="2570" width="5.75454545454545" style="2529" customWidth="1"/>
    <col min="2571" max="2571" width="11.7545454545455" style="2529" customWidth="1"/>
    <col min="2572" max="2573" width="10.7545454545455" style="2529" customWidth="1"/>
    <col min="2574" max="2574" width="10" style="2529" customWidth="1"/>
    <col min="2575" max="2576" width="10.5" style="2529" customWidth="1"/>
    <col min="2577" max="2577" width="10" style="2529" customWidth="1"/>
    <col min="2578" max="2578" width="10.1272727272727" style="2529" customWidth="1"/>
    <col min="2579" max="2579" width="10" style="2529" customWidth="1"/>
    <col min="2580" max="2580" width="26.1272727272727" style="2529" customWidth="1"/>
    <col min="2581" max="2816" width="8.87272727272727" style="2529"/>
    <col min="2817" max="2817" width="9.5" style="2529" customWidth="1"/>
    <col min="2818" max="2818" width="8.87272727272727" style="2529"/>
    <col min="2819" max="2821" width="12.8727272727273" style="2529" customWidth="1"/>
    <col min="2822" max="2822" width="47.5" style="2529" customWidth="1"/>
    <col min="2823" max="2823" width="13" style="2529" customWidth="1"/>
    <col min="2824" max="2825" width="8.87272727272727" style="2529"/>
    <col min="2826" max="2826" width="5.75454545454545" style="2529" customWidth="1"/>
    <col min="2827" max="2827" width="11.7545454545455" style="2529" customWidth="1"/>
    <col min="2828" max="2829" width="10.7545454545455" style="2529" customWidth="1"/>
    <col min="2830" max="2830" width="10" style="2529" customWidth="1"/>
    <col min="2831" max="2832" width="10.5" style="2529" customWidth="1"/>
    <col min="2833" max="2833" width="10" style="2529" customWidth="1"/>
    <col min="2834" max="2834" width="10.1272727272727" style="2529" customWidth="1"/>
    <col min="2835" max="2835" width="10" style="2529" customWidth="1"/>
    <col min="2836" max="2836" width="26.1272727272727" style="2529" customWidth="1"/>
    <col min="2837" max="3072" width="8.87272727272727" style="2529"/>
    <col min="3073" max="3073" width="9.5" style="2529" customWidth="1"/>
    <col min="3074" max="3074" width="8.87272727272727" style="2529"/>
    <col min="3075" max="3077" width="12.8727272727273" style="2529" customWidth="1"/>
    <col min="3078" max="3078" width="47.5" style="2529" customWidth="1"/>
    <col min="3079" max="3079" width="13" style="2529" customWidth="1"/>
    <col min="3080" max="3081" width="8.87272727272727" style="2529"/>
    <col min="3082" max="3082" width="5.75454545454545" style="2529" customWidth="1"/>
    <col min="3083" max="3083" width="11.7545454545455" style="2529" customWidth="1"/>
    <col min="3084" max="3085" width="10.7545454545455" style="2529" customWidth="1"/>
    <col min="3086" max="3086" width="10" style="2529" customWidth="1"/>
    <col min="3087" max="3088" width="10.5" style="2529" customWidth="1"/>
    <col min="3089" max="3089" width="10" style="2529" customWidth="1"/>
    <col min="3090" max="3090" width="10.1272727272727" style="2529" customWidth="1"/>
    <col min="3091" max="3091" width="10" style="2529" customWidth="1"/>
    <col min="3092" max="3092" width="26.1272727272727" style="2529" customWidth="1"/>
    <col min="3093" max="3328" width="8.87272727272727" style="2529"/>
    <col min="3329" max="3329" width="9.5" style="2529" customWidth="1"/>
    <col min="3330" max="3330" width="8.87272727272727" style="2529"/>
    <col min="3331" max="3333" width="12.8727272727273" style="2529" customWidth="1"/>
    <col min="3334" max="3334" width="47.5" style="2529" customWidth="1"/>
    <col min="3335" max="3335" width="13" style="2529" customWidth="1"/>
    <col min="3336" max="3337" width="8.87272727272727" style="2529"/>
    <col min="3338" max="3338" width="5.75454545454545" style="2529" customWidth="1"/>
    <col min="3339" max="3339" width="11.7545454545455" style="2529" customWidth="1"/>
    <col min="3340" max="3341" width="10.7545454545455" style="2529" customWidth="1"/>
    <col min="3342" max="3342" width="10" style="2529" customWidth="1"/>
    <col min="3343" max="3344" width="10.5" style="2529" customWidth="1"/>
    <col min="3345" max="3345" width="10" style="2529" customWidth="1"/>
    <col min="3346" max="3346" width="10.1272727272727" style="2529" customWidth="1"/>
    <col min="3347" max="3347" width="10" style="2529" customWidth="1"/>
    <col min="3348" max="3348" width="26.1272727272727" style="2529" customWidth="1"/>
    <col min="3349" max="3584" width="8.87272727272727" style="2529"/>
    <col min="3585" max="3585" width="9.5" style="2529" customWidth="1"/>
    <col min="3586" max="3586" width="8.87272727272727" style="2529"/>
    <col min="3587" max="3589" width="12.8727272727273" style="2529" customWidth="1"/>
    <col min="3590" max="3590" width="47.5" style="2529" customWidth="1"/>
    <col min="3591" max="3591" width="13" style="2529" customWidth="1"/>
    <col min="3592" max="3593" width="8.87272727272727" style="2529"/>
    <col min="3594" max="3594" width="5.75454545454545" style="2529" customWidth="1"/>
    <col min="3595" max="3595" width="11.7545454545455" style="2529" customWidth="1"/>
    <col min="3596" max="3597" width="10.7545454545455" style="2529" customWidth="1"/>
    <col min="3598" max="3598" width="10" style="2529" customWidth="1"/>
    <col min="3599" max="3600" width="10.5" style="2529" customWidth="1"/>
    <col min="3601" max="3601" width="10" style="2529" customWidth="1"/>
    <col min="3602" max="3602" width="10.1272727272727" style="2529" customWidth="1"/>
    <col min="3603" max="3603" width="10" style="2529" customWidth="1"/>
    <col min="3604" max="3604" width="26.1272727272727" style="2529" customWidth="1"/>
    <col min="3605" max="3840" width="8.87272727272727" style="2529"/>
    <col min="3841" max="3841" width="9.5" style="2529" customWidth="1"/>
    <col min="3842" max="3842" width="8.87272727272727" style="2529"/>
    <col min="3843" max="3845" width="12.8727272727273" style="2529" customWidth="1"/>
    <col min="3846" max="3846" width="47.5" style="2529" customWidth="1"/>
    <col min="3847" max="3847" width="13" style="2529" customWidth="1"/>
    <col min="3848" max="3849" width="8.87272727272727" style="2529"/>
    <col min="3850" max="3850" width="5.75454545454545" style="2529" customWidth="1"/>
    <col min="3851" max="3851" width="11.7545454545455" style="2529" customWidth="1"/>
    <col min="3852" max="3853" width="10.7545454545455" style="2529" customWidth="1"/>
    <col min="3854" max="3854" width="10" style="2529" customWidth="1"/>
    <col min="3855" max="3856" width="10.5" style="2529" customWidth="1"/>
    <col min="3857" max="3857" width="10" style="2529" customWidth="1"/>
    <col min="3858" max="3858" width="10.1272727272727" style="2529" customWidth="1"/>
    <col min="3859" max="3859" width="10" style="2529" customWidth="1"/>
    <col min="3860" max="3860" width="26.1272727272727" style="2529" customWidth="1"/>
    <col min="3861" max="4096" width="8.87272727272727" style="2529"/>
    <col min="4097" max="4097" width="9.5" style="2529" customWidth="1"/>
    <col min="4098" max="4098" width="8.87272727272727" style="2529"/>
    <col min="4099" max="4101" width="12.8727272727273" style="2529" customWidth="1"/>
    <col min="4102" max="4102" width="47.5" style="2529" customWidth="1"/>
    <col min="4103" max="4103" width="13" style="2529" customWidth="1"/>
    <col min="4104" max="4105" width="8.87272727272727" style="2529"/>
    <col min="4106" max="4106" width="5.75454545454545" style="2529" customWidth="1"/>
    <col min="4107" max="4107" width="11.7545454545455" style="2529" customWidth="1"/>
    <col min="4108" max="4109" width="10.7545454545455" style="2529" customWidth="1"/>
    <col min="4110" max="4110" width="10" style="2529" customWidth="1"/>
    <col min="4111" max="4112" width="10.5" style="2529" customWidth="1"/>
    <col min="4113" max="4113" width="10" style="2529" customWidth="1"/>
    <col min="4114" max="4114" width="10.1272727272727" style="2529" customWidth="1"/>
    <col min="4115" max="4115" width="10" style="2529" customWidth="1"/>
    <col min="4116" max="4116" width="26.1272727272727" style="2529" customWidth="1"/>
    <col min="4117" max="4352" width="8.87272727272727" style="2529"/>
    <col min="4353" max="4353" width="9.5" style="2529" customWidth="1"/>
    <col min="4354" max="4354" width="8.87272727272727" style="2529"/>
    <col min="4355" max="4357" width="12.8727272727273" style="2529" customWidth="1"/>
    <col min="4358" max="4358" width="47.5" style="2529" customWidth="1"/>
    <col min="4359" max="4359" width="13" style="2529" customWidth="1"/>
    <col min="4360" max="4361" width="8.87272727272727" style="2529"/>
    <col min="4362" max="4362" width="5.75454545454545" style="2529" customWidth="1"/>
    <col min="4363" max="4363" width="11.7545454545455" style="2529" customWidth="1"/>
    <col min="4364" max="4365" width="10.7545454545455" style="2529" customWidth="1"/>
    <col min="4366" max="4366" width="10" style="2529" customWidth="1"/>
    <col min="4367" max="4368" width="10.5" style="2529" customWidth="1"/>
    <col min="4369" max="4369" width="10" style="2529" customWidth="1"/>
    <col min="4370" max="4370" width="10.1272727272727" style="2529" customWidth="1"/>
    <col min="4371" max="4371" width="10" style="2529" customWidth="1"/>
    <col min="4372" max="4372" width="26.1272727272727" style="2529" customWidth="1"/>
    <col min="4373" max="4608" width="8.87272727272727" style="2529"/>
    <col min="4609" max="4609" width="9.5" style="2529" customWidth="1"/>
    <col min="4610" max="4610" width="8.87272727272727" style="2529"/>
    <col min="4611" max="4613" width="12.8727272727273" style="2529" customWidth="1"/>
    <col min="4614" max="4614" width="47.5" style="2529" customWidth="1"/>
    <col min="4615" max="4615" width="13" style="2529" customWidth="1"/>
    <col min="4616" max="4617" width="8.87272727272727" style="2529"/>
    <col min="4618" max="4618" width="5.75454545454545" style="2529" customWidth="1"/>
    <col min="4619" max="4619" width="11.7545454545455" style="2529" customWidth="1"/>
    <col min="4620" max="4621" width="10.7545454545455" style="2529" customWidth="1"/>
    <col min="4622" max="4622" width="10" style="2529" customWidth="1"/>
    <col min="4623" max="4624" width="10.5" style="2529" customWidth="1"/>
    <col min="4625" max="4625" width="10" style="2529" customWidth="1"/>
    <col min="4626" max="4626" width="10.1272727272727" style="2529" customWidth="1"/>
    <col min="4627" max="4627" width="10" style="2529" customWidth="1"/>
    <col min="4628" max="4628" width="26.1272727272727" style="2529" customWidth="1"/>
    <col min="4629" max="4864" width="8.87272727272727" style="2529"/>
    <col min="4865" max="4865" width="9.5" style="2529" customWidth="1"/>
    <col min="4866" max="4866" width="8.87272727272727" style="2529"/>
    <col min="4867" max="4869" width="12.8727272727273" style="2529" customWidth="1"/>
    <col min="4870" max="4870" width="47.5" style="2529" customWidth="1"/>
    <col min="4871" max="4871" width="13" style="2529" customWidth="1"/>
    <col min="4872" max="4873" width="8.87272727272727" style="2529"/>
    <col min="4874" max="4874" width="5.75454545454545" style="2529" customWidth="1"/>
    <col min="4875" max="4875" width="11.7545454545455" style="2529" customWidth="1"/>
    <col min="4876" max="4877" width="10.7545454545455" style="2529" customWidth="1"/>
    <col min="4878" max="4878" width="10" style="2529" customWidth="1"/>
    <col min="4879" max="4880" width="10.5" style="2529" customWidth="1"/>
    <col min="4881" max="4881" width="10" style="2529" customWidth="1"/>
    <col min="4882" max="4882" width="10.1272727272727" style="2529" customWidth="1"/>
    <col min="4883" max="4883" width="10" style="2529" customWidth="1"/>
    <col min="4884" max="4884" width="26.1272727272727" style="2529" customWidth="1"/>
    <col min="4885" max="5120" width="8.87272727272727" style="2529"/>
    <col min="5121" max="5121" width="9.5" style="2529" customWidth="1"/>
    <col min="5122" max="5122" width="8.87272727272727" style="2529"/>
    <col min="5123" max="5125" width="12.8727272727273" style="2529" customWidth="1"/>
    <col min="5126" max="5126" width="47.5" style="2529" customWidth="1"/>
    <col min="5127" max="5127" width="13" style="2529" customWidth="1"/>
    <col min="5128" max="5129" width="8.87272727272727" style="2529"/>
    <col min="5130" max="5130" width="5.75454545454545" style="2529" customWidth="1"/>
    <col min="5131" max="5131" width="11.7545454545455" style="2529" customWidth="1"/>
    <col min="5132" max="5133" width="10.7545454545455" style="2529" customWidth="1"/>
    <col min="5134" max="5134" width="10" style="2529" customWidth="1"/>
    <col min="5135" max="5136" width="10.5" style="2529" customWidth="1"/>
    <col min="5137" max="5137" width="10" style="2529" customWidth="1"/>
    <col min="5138" max="5138" width="10.1272727272727" style="2529" customWidth="1"/>
    <col min="5139" max="5139" width="10" style="2529" customWidth="1"/>
    <col min="5140" max="5140" width="26.1272727272727" style="2529" customWidth="1"/>
    <col min="5141" max="5376" width="8.87272727272727" style="2529"/>
    <col min="5377" max="5377" width="9.5" style="2529" customWidth="1"/>
    <col min="5378" max="5378" width="8.87272727272727" style="2529"/>
    <col min="5379" max="5381" width="12.8727272727273" style="2529" customWidth="1"/>
    <col min="5382" max="5382" width="47.5" style="2529" customWidth="1"/>
    <col min="5383" max="5383" width="13" style="2529" customWidth="1"/>
    <col min="5384" max="5385" width="8.87272727272727" style="2529"/>
    <col min="5386" max="5386" width="5.75454545454545" style="2529" customWidth="1"/>
    <col min="5387" max="5387" width="11.7545454545455" style="2529" customWidth="1"/>
    <col min="5388" max="5389" width="10.7545454545455" style="2529" customWidth="1"/>
    <col min="5390" max="5390" width="10" style="2529" customWidth="1"/>
    <col min="5391" max="5392" width="10.5" style="2529" customWidth="1"/>
    <col min="5393" max="5393" width="10" style="2529" customWidth="1"/>
    <col min="5394" max="5394" width="10.1272727272727" style="2529" customWidth="1"/>
    <col min="5395" max="5395" width="10" style="2529" customWidth="1"/>
    <col min="5396" max="5396" width="26.1272727272727" style="2529" customWidth="1"/>
    <col min="5397" max="5632" width="8.87272727272727" style="2529"/>
    <col min="5633" max="5633" width="9.5" style="2529" customWidth="1"/>
    <col min="5634" max="5634" width="8.87272727272727" style="2529"/>
    <col min="5635" max="5637" width="12.8727272727273" style="2529" customWidth="1"/>
    <col min="5638" max="5638" width="47.5" style="2529" customWidth="1"/>
    <col min="5639" max="5639" width="13" style="2529" customWidth="1"/>
    <col min="5640" max="5641" width="8.87272727272727" style="2529"/>
    <col min="5642" max="5642" width="5.75454545454545" style="2529" customWidth="1"/>
    <col min="5643" max="5643" width="11.7545454545455" style="2529" customWidth="1"/>
    <col min="5644" max="5645" width="10.7545454545455" style="2529" customWidth="1"/>
    <col min="5646" max="5646" width="10" style="2529" customWidth="1"/>
    <col min="5647" max="5648" width="10.5" style="2529" customWidth="1"/>
    <col min="5649" max="5649" width="10" style="2529" customWidth="1"/>
    <col min="5650" max="5650" width="10.1272727272727" style="2529" customWidth="1"/>
    <col min="5651" max="5651" width="10" style="2529" customWidth="1"/>
    <col min="5652" max="5652" width="26.1272727272727" style="2529" customWidth="1"/>
    <col min="5653" max="5888" width="8.87272727272727" style="2529"/>
    <col min="5889" max="5889" width="9.5" style="2529" customWidth="1"/>
    <col min="5890" max="5890" width="8.87272727272727" style="2529"/>
    <col min="5891" max="5893" width="12.8727272727273" style="2529" customWidth="1"/>
    <col min="5894" max="5894" width="47.5" style="2529" customWidth="1"/>
    <col min="5895" max="5895" width="13" style="2529" customWidth="1"/>
    <col min="5896" max="5897" width="8.87272727272727" style="2529"/>
    <col min="5898" max="5898" width="5.75454545454545" style="2529" customWidth="1"/>
    <col min="5899" max="5899" width="11.7545454545455" style="2529" customWidth="1"/>
    <col min="5900" max="5901" width="10.7545454545455" style="2529" customWidth="1"/>
    <col min="5902" max="5902" width="10" style="2529" customWidth="1"/>
    <col min="5903" max="5904" width="10.5" style="2529" customWidth="1"/>
    <col min="5905" max="5905" width="10" style="2529" customWidth="1"/>
    <col min="5906" max="5906" width="10.1272727272727" style="2529" customWidth="1"/>
    <col min="5907" max="5907" width="10" style="2529" customWidth="1"/>
    <col min="5908" max="5908" width="26.1272727272727" style="2529" customWidth="1"/>
    <col min="5909" max="6144" width="8.87272727272727" style="2529"/>
    <col min="6145" max="6145" width="9.5" style="2529" customWidth="1"/>
    <col min="6146" max="6146" width="8.87272727272727" style="2529"/>
    <col min="6147" max="6149" width="12.8727272727273" style="2529" customWidth="1"/>
    <col min="6150" max="6150" width="47.5" style="2529" customWidth="1"/>
    <col min="6151" max="6151" width="13" style="2529" customWidth="1"/>
    <col min="6152" max="6153" width="8.87272727272727" style="2529"/>
    <col min="6154" max="6154" width="5.75454545454545" style="2529" customWidth="1"/>
    <col min="6155" max="6155" width="11.7545454545455" style="2529" customWidth="1"/>
    <col min="6156" max="6157" width="10.7545454545455" style="2529" customWidth="1"/>
    <col min="6158" max="6158" width="10" style="2529" customWidth="1"/>
    <col min="6159" max="6160" width="10.5" style="2529" customWidth="1"/>
    <col min="6161" max="6161" width="10" style="2529" customWidth="1"/>
    <col min="6162" max="6162" width="10.1272727272727" style="2529" customWidth="1"/>
    <col min="6163" max="6163" width="10" style="2529" customWidth="1"/>
    <col min="6164" max="6164" width="26.1272727272727" style="2529" customWidth="1"/>
    <col min="6165" max="6400" width="8.87272727272727" style="2529"/>
    <col min="6401" max="6401" width="9.5" style="2529" customWidth="1"/>
    <col min="6402" max="6402" width="8.87272727272727" style="2529"/>
    <col min="6403" max="6405" width="12.8727272727273" style="2529" customWidth="1"/>
    <col min="6406" max="6406" width="47.5" style="2529" customWidth="1"/>
    <col min="6407" max="6407" width="13" style="2529" customWidth="1"/>
    <col min="6408" max="6409" width="8.87272727272727" style="2529"/>
    <col min="6410" max="6410" width="5.75454545454545" style="2529" customWidth="1"/>
    <col min="6411" max="6411" width="11.7545454545455" style="2529" customWidth="1"/>
    <col min="6412" max="6413" width="10.7545454545455" style="2529" customWidth="1"/>
    <col min="6414" max="6414" width="10" style="2529" customWidth="1"/>
    <col min="6415" max="6416" width="10.5" style="2529" customWidth="1"/>
    <col min="6417" max="6417" width="10" style="2529" customWidth="1"/>
    <col min="6418" max="6418" width="10.1272727272727" style="2529" customWidth="1"/>
    <col min="6419" max="6419" width="10" style="2529" customWidth="1"/>
    <col min="6420" max="6420" width="26.1272727272727" style="2529" customWidth="1"/>
    <col min="6421" max="6656" width="8.87272727272727" style="2529"/>
    <col min="6657" max="6657" width="9.5" style="2529" customWidth="1"/>
    <col min="6658" max="6658" width="8.87272727272727" style="2529"/>
    <col min="6659" max="6661" width="12.8727272727273" style="2529" customWidth="1"/>
    <col min="6662" max="6662" width="47.5" style="2529" customWidth="1"/>
    <col min="6663" max="6663" width="13" style="2529" customWidth="1"/>
    <col min="6664" max="6665" width="8.87272727272727" style="2529"/>
    <col min="6666" max="6666" width="5.75454545454545" style="2529" customWidth="1"/>
    <col min="6667" max="6667" width="11.7545454545455" style="2529" customWidth="1"/>
    <col min="6668" max="6669" width="10.7545454545455" style="2529" customWidth="1"/>
    <col min="6670" max="6670" width="10" style="2529" customWidth="1"/>
    <col min="6671" max="6672" width="10.5" style="2529" customWidth="1"/>
    <col min="6673" max="6673" width="10" style="2529" customWidth="1"/>
    <col min="6674" max="6674" width="10.1272727272727" style="2529" customWidth="1"/>
    <col min="6675" max="6675" width="10" style="2529" customWidth="1"/>
    <col min="6676" max="6676" width="26.1272727272727" style="2529" customWidth="1"/>
    <col min="6677" max="6912" width="8.87272727272727" style="2529"/>
    <col min="6913" max="6913" width="9.5" style="2529" customWidth="1"/>
    <col min="6914" max="6914" width="8.87272727272727" style="2529"/>
    <col min="6915" max="6917" width="12.8727272727273" style="2529" customWidth="1"/>
    <col min="6918" max="6918" width="47.5" style="2529" customWidth="1"/>
    <col min="6919" max="6919" width="13" style="2529" customWidth="1"/>
    <col min="6920" max="6921" width="8.87272727272727" style="2529"/>
    <col min="6922" max="6922" width="5.75454545454545" style="2529" customWidth="1"/>
    <col min="6923" max="6923" width="11.7545454545455" style="2529" customWidth="1"/>
    <col min="6924" max="6925" width="10.7545454545455" style="2529" customWidth="1"/>
    <col min="6926" max="6926" width="10" style="2529" customWidth="1"/>
    <col min="6927" max="6928" width="10.5" style="2529" customWidth="1"/>
    <col min="6929" max="6929" width="10" style="2529" customWidth="1"/>
    <col min="6930" max="6930" width="10.1272727272727" style="2529" customWidth="1"/>
    <col min="6931" max="6931" width="10" style="2529" customWidth="1"/>
    <col min="6932" max="6932" width="26.1272727272727" style="2529" customWidth="1"/>
    <col min="6933" max="7168" width="8.87272727272727" style="2529"/>
    <col min="7169" max="7169" width="9.5" style="2529" customWidth="1"/>
    <col min="7170" max="7170" width="8.87272727272727" style="2529"/>
    <col min="7171" max="7173" width="12.8727272727273" style="2529" customWidth="1"/>
    <col min="7174" max="7174" width="47.5" style="2529" customWidth="1"/>
    <col min="7175" max="7175" width="13" style="2529" customWidth="1"/>
    <col min="7176" max="7177" width="8.87272727272727" style="2529"/>
    <col min="7178" max="7178" width="5.75454545454545" style="2529" customWidth="1"/>
    <col min="7179" max="7179" width="11.7545454545455" style="2529" customWidth="1"/>
    <col min="7180" max="7181" width="10.7545454545455" style="2529" customWidth="1"/>
    <col min="7182" max="7182" width="10" style="2529" customWidth="1"/>
    <col min="7183" max="7184" width="10.5" style="2529" customWidth="1"/>
    <col min="7185" max="7185" width="10" style="2529" customWidth="1"/>
    <col min="7186" max="7186" width="10.1272727272727" style="2529" customWidth="1"/>
    <col min="7187" max="7187" width="10" style="2529" customWidth="1"/>
    <col min="7188" max="7188" width="26.1272727272727" style="2529" customWidth="1"/>
    <col min="7189" max="7424" width="8.87272727272727" style="2529"/>
    <col min="7425" max="7425" width="9.5" style="2529" customWidth="1"/>
    <col min="7426" max="7426" width="8.87272727272727" style="2529"/>
    <col min="7427" max="7429" width="12.8727272727273" style="2529" customWidth="1"/>
    <col min="7430" max="7430" width="47.5" style="2529" customWidth="1"/>
    <col min="7431" max="7431" width="13" style="2529" customWidth="1"/>
    <col min="7432" max="7433" width="8.87272727272727" style="2529"/>
    <col min="7434" max="7434" width="5.75454545454545" style="2529" customWidth="1"/>
    <col min="7435" max="7435" width="11.7545454545455" style="2529" customWidth="1"/>
    <col min="7436" max="7437" width="10.7545454545455" style="2529" customWidth="1"/>
    <col min="7438" max="7438" width="10" style="2529" customWidth="1"/>
    <col min="7439" max="7440" width="10.5" style="2529" customWidth="1"/>
    <col min="7441" max="7441" width="10" style="2529" customWidth="1"/>
    <col min="7442" max="7442" width="10.1272727272727" style="2529" customWidth="1"/>
    <col min="7443" max="7443" width="10" style="2529" customWidth="1"/>
    <col min="7444" max="7444" width="26.1272727272727" style="2529" customWidth="1"/>
    <col min="7445" max="7680" width="8.87272727272727" style="2529"/>
    <col min="7681" max="7681" width="9.5" style="2529" customWidth="1"/>
    <col min="7682" max="7682" width="8.87272727272727" style="2529"/>
    <col min="7683" max="7685" width="12.8727272727273" style="2529" customWidth="1"/>
    <col min="7686" max="7686" width="47.5" style="2529" customWidth="1"/>
    <col min="7687" max="7687" width="13" style="2529" customWidth="1"/>
    <col min="7688" max="7689" width="8.87272727272727" style="2529"/>
    <col min="7690" max="7690" width="5.75454545454545" style="2529" customWidth="1"/>
    <col min="7691" max="7691" width="11.7545454545455" style="2529" customWidth="1"/>
    <col min="7692" max="7693" width="10.7545454545455" style="2529" customWidth="1"/>
    <col min="7694" max="7694" width="10" style="2529" customWidth="1"/>
    <col min="7695" max="7696" width="10.5" style="2529" customWidth="1"/>
    <col min="7697" max="7697" width="10" style="2529" customWidth="1"/>
    <col min="7698" max="7698" width="10.1272727272727" style="2529" customWidth="1"/>
    <col min="7699" max="7699" width="10" style="2529" customWidth="1"/>
    <col min="7700" max="7700" width="26.1272727272727" style="2529" customWidth="1"/>
    <col min="7701" max="7936" width="8.87272727272727" style="2529"/>
    <col min="7937" max="7937" width="9.5" style="2529" customWidth="1"/>
    <col min="7938" max="7938" width="8.87272727272727" style="2529"/>
    <col min="7939" max="7941" width="12.8727272727273" style="2529" customWidth="1"/>
    <col min="7942" max="7942" width="47.5" style="2529" customWidth="1"/>
    <col min="7943" max="7943" width="13" style="2529" customWidth="1"/>
    <col min="7944" max="7945" width="8.87272727272727" style="2529"/>
    <col min="7946" max="7946" width="5.75454545454545" style="2529" customWidth="1"/>
    <col min="7947" max="7947" width="11.7545454545455" style="2529" customWidth="1"/>
    <col min="7948" max="7949" width="10.7545454545455" style="2529" customWidth="1"/>
    <col min="7950" max="7950" width="10" style="2529" customWidth="1"/>
    <col min="7951" max="7952" width="10.5" style="2529" customWidth="1"/>
    <col min="7953" max="7953" width="10" style="2529" customWidth="1"/>
    <col min="7954" max="7954" width="10.1272727272727" style="2529" customWidth="1"/>
    <col min="7955" max="7955" width="10" style="2529" customWidth="1"/>
    <col min="7956" max="7956" width="26.1272727272727" style="2529" customWidth="1"/>
    <col min="7957" max="8192" width="8.87272727272727" style="2529"/>
    <col min="8193" max="8193" width="9.5" style="2529" customWidth="1"/>
    <col min="8194" max="8194" width="8.87272727272727" style="2529"/>
    <col min="8195" max="8197" width="12.8727272727273" style="2529" customWidth="1"/>
    <col min="8198" max="8198" width="47.5" style="2529" customWidth="1"/>
    <col min="8199" max="8199" width="13" style="2529" customWidth="1"/>
    <col min="8200" max="8201" width="8.87272727272727" style="2529"/>
    <col min="8202" max="8202" width="5.75454545454545" style="2529" customWidth="1"/>
    <col min="8203" max="8203" width="11.7545454545455" style="2529" customWidth="1"/>
    <col min="8204" max="8205" width="10.7545454545455" style="2529" customWidth="1"/>
    <col min="8206" max="8206" width="10" style="2529" customWidth="1"/>
    <col min="8207" max="8208" width="10.5" style="2529" customWidth="1"/>
    <col min="8209" max="8209" width="10" style="2529" customWidth="1"/>
    <col min="8210" max="8210" width="10.1272727272727" style="2529" customWidth="1"/>
    <col min="8211" max="8211" width="10" style="2529" customWidth="1"/>
    <col min="8212" max="8212" width="26.1272727272727" style="2529" customWidth="1"/>
    <col min="8213" max="8448" width="8.87272727272727" style="2529"/>
    <col min="8449" max="8449" width="9.5" style="2529" customWidth="1"/>
    <col min="8450" max="8450" width="8.87272727272727" style="2529"/>
    <col min="8451" max="8453" width="12.8727272727273" style="2529" customWidth="1"/>
    <col min="8454" max="8454" width="47.5" style="2529" customWidth="1"/>
    <col min="8455" max="8455" width="13" style="2529" customWidth="1"/>
    <col min="8456" max="8457" width="8.87272727272727" style="2529"/>
    <col min="8458" max="8458" width="5.75454545454545" style="2529" customWidth="1"/>
    <col min="8459" max="8459" width="11.7545454545455" style="2529" customWidth="1"/>
    <col min="8460" max="8461" width="10.7545454545455" style="2529" customWidth="1"/>
    <col min="8462" max="8462" width="10" style="2529" customWidth="1"/>
    <col min="8463" max="8464" width="10.5" style="2529" customWidth="1"/>
    <col min="8465" max="8465" width="10" style="2529" customWidth="1"/>
    <col min="8466" max="8466" width="10.1272727272727" style="2529" customWidth="1"/>
    <col min="8467" max="8467" width="10" style="2529" customWidth="1"/>
    <col min="8468" max="8468" width="26.1272727272727" style="2529" customWidth="1"/>
    <col min="8469" max="8704" width="8.87272727272727" style="2529"/>
    <col min="8705" max="8705" width="9.5" style="2529" customWidth="1"/>
    <col min="8706" max="8706" width="8.87272727272727" style="2529"/>
    <col min="8707" max="8709" width="12.8727272727273" style="2529" customWidth="1"/>
    <col min="8710" max="8710" width="47.5" style="2529" customWidth="1"/>
    <col min="8711" max="8711" width="13" style="2529" customWidth="1"/>
    <col min="8712" max="8713" width="8.87272727272727" style="2529"/>
    <col min="8714" max="8714" width="5.75454545454545" style="2529" customWidth="1"/>
    <col min="8715" max="8715" width="11.7545454545455" style="2529" customWidth="1"/>
    <col min="8716" max="8717" width="10.7545454545455" style="2529" customWidth="1"/>
    <col min="8718" max="8718" width="10" style="2529" customWidth="1"/>
    <col min="8719" max="8720" width="10.5" style="2529" customWidth="1"/>
    <col min="8721" max="8721" width="10" style="2529" customWidth="1"/>
    <col min="8722" max="8722" width="10.1272727272727" style="2529" customWidth="1"/>
    <col min="8723" max="8723" width="10" style="2529" customWidth="1"/>
    <col min="8724" max="8724" width="26.1272727272727" style="2529" customWidth="1"/>
    <col min="8725" max="8960" width="8.87272727272727" style="2529"/>
    <col min="8961" max="8961" width="9.5" style="2529" customWidth="1"/>
    <col min="8962" max="8962" width="8.87272727272727" style="2529"/>
    <col min="8963" max="8965" width="12.8727272727273" style="2529" customWidth="1"/>
    <col min="8966" max="8966" width="47.5" style="2529" customWidth="1"/>
    <col min="8967" max="8967" width="13" style="2529" customWidth="1"/>
    <col min="8968" max="8969" width="8.87272727272727" style="2529"/>
    <col min="8970" max="8970" width="5.75454545454545" style="2529" customWidth="1"/>
    <col min="8971" max="8971" width="11.7545454545455" style="2529" customWidth="1"/>
    <col min="8972" max="8973" width="10.7545454545455" style="2529" customWidth="1"/>
    <col min="8974" max="8974" width="10" style="2529" customWidth="1"/>
    <col min="8975" max="8976" width="10.5" style="2529" customWidth="1"/>
    <col min="8977" max="8977" width="10" style="2529" customWidth="1"/>
    <col min="8978" max="8978" width="10.1272727272727" style="2529" customWidth="1"/>
    <col min="8979" max="8979" width="10" style="2529" customWidth="1"/>
    <col min="8980" max="8980" width="26.1272727272727" style="2529" customWidth="1"/>
    <col min="8981" max="9216" width="8.87272727272727" style="2529"/>
    <col min="9217" max="9217" width="9.5" style="2529" customWidth="1"/>
    <col min="9218" max="9218" width="8.87272727272727" style="2529"/>
    <col min="9219" max="9221" width="12.8727272727273" style="2529" customWidth="1"/>
    <col min="9222" max="9222" width="47.5" style="2529" customWidth="1"/>
    <col min="9223" max="9223" width="13" style="2529" customWidth="1"/>
    <col min="9224" max="9225" width="8.87272727272727" style="2529"/>
    <col min="9226" max="9226" width="5.75454545454545" style="2529" customWidth="1"/>
    <col min="9227" max="9227" width="11.7545454545455" style="2529" customWidth="1"/>
    <col min="9228" max="9229" width="10.7545454545455" style="2529" customWidth="1"/>
    <col min="9230" max="9230" width="10" style="2529" customWidth="1"/>
    <col min="9231" max="9232" width="10.5" style="2529" customWidth="1"/>
    <col min="9233" max="9233" width="10" style="2529" customWidth="1"/>
    <col min="9234" max="9234" width="10.1272727272727" style="2529" customWidth="1"/>
    <col min="9235" max="9235" width="10" style="2529" customWidth="1"/>
    <col min="9236" max="9236" width="26.1272727272727" style="2529" customWidth="1"/>
    <col min="9237" max="9472" width="8.87272727272727" style="2529"/>
    <col min="9473" max="9473" width="9.5" style="2529" customWidth="1"/>
    <col min="9474" max="9474" width="8.87272727272727" style="2529"/>
    <col min="9475" max="9477" width="12.8727272727273" style="2529" customWidth="1"/>
    <col min="9478" max="9478" width="47.5" style="2529" customWidth="1"/>
    <col min="9479" max="9479" width="13" style="2529" customWidth="1"/>
    <col min="9480" max="9481" width="8.87272727272727" style="2529"/>
    <col min="9482" max="9482" width="5.75454545454545" style="2529" customWidth="1"/>
    <col min="9483" max="9483" width="11.7545454545455" style="2529" customWidth="1"/>
    <col min="9484" max="9485" width="10.7545454545455" style="2529" customWidth="1"/>
    <col min="9486" max="9486" width="10" style="2529" customWidth="1"/>
    <col min="9487" max="9488" width="10.5" style="2529" customWidth="1"/>
    <col min="9489" max="9489" width="10" style="2529" customWidth="1"/>
    <col min="9490" max="9490" width="10.1272727272727" style="2529" customWidth="1"/>
    <col min="9491" max="9491" width="10" style="2529" customWidth="1"/>
    <col min="9492" max="9492" width="26.1272727272727" style="2529" customWidth="1"/>
    <col min="9493" max="9728" width="8.87272727272727" style="2529"/>
    <col min="9729" max="9729" width="9.5" style="2529" customWidth="1"/>
    <col min="9730" max="9730" width="8.87272727272727" style="2529"/>
    <col min="9731" max="9733" width="12.8727272727273" style="2529" customWidth="1"/>
    <col min="9734" max="9734" width="47.5" style="2529" customWidth="1"/>
    <col min="9735" max="9735" width="13" style="2529" customWidth="1"/>
    <col min="9736" max="9737" width="8.87272727272727" style="2529"/>
    <col min="9738" max="9738" width="5.75454545454545" style="2529" customWidth="1"/>
    <col min="9739" max="9739" width="11.7545454545455" style="2529" customWidth="1"/>
    <col min="9740" max="9741" width="10.7545454545455" style="2529" customWidth="1"/>
    <col min="9742" max="9742" width="10" style="2529" customWidth="1"/>
    <col min="9743" max="9744" width="10.5" style="2529" customWidth="1"/>
    <col min="9745" max="9745" width="10" style="2529" customWidth="1"/>
    <col min="9746" max="9746" width="10.1272727272727" style="2529" customWidth="1"/>
    <col min="9747" max="9747" width="10" style="2529" customWidth="1"/>
    <col min="9748" max="9748" width="26.1272727272727" style="2529" customWidth="1"/>
    <col min="9749" max="9984" width="8.87272727272727" style="2529"/>
    <col min="9985" max="9985" width="9.5" style="2529" customWidth="1"/>
    <col min="9986" max="9986" width="8.87272727272727" style="2529"/>
    <col min="9987" max="9989" width="12.8727272727273" style="2529" customWidth="1"/>
    <col min="9990" max="9990" width="47.5" style="2529" customWidth="1"/>
    <col min="9991" max="9991" width="13" style="2529" customWidth="1"/>
    <col min="9992" max="9993" width="8.87272727272727" style="2529"/>
    <col min="9994" max="9994" width="5.75454545454545" style="2529" customWidth="1"/>
    <col min="9995" max="9995" width="11.7545454545455" style="2529" customWidth="1"/>
    <col min="9996" max="9997" width="10.7545454545455" style="2529" customWidth="1"/>
    <col min="9998" max="9998" width="10" style="2529" customWidth="1"/>
    <col min="9999" max="10000" width="10.5" style="2529" customWidth="1"/>
    <col min="10001" max="10001" width="10" style="2529" customWidth="1"/>
    <col min="10002" max="10002" width="10.1272727272727" style="2529" customWidth="1"/>
    <col min="10003" max="10003" width="10" style="2529" customWidth="1"/>
    <col min="10004" max="10004" width="26.1272727272727" style="2529" customWidth="1"/>
    <col min="10005" max="10240" width="8.87272727272727" style="2529"/>
    <col min="10241" max="10241" width="9.5" style="2529" customWidth="1"/>
    <col min="10242" max="10242" width="8.87272727272727" style="2529"/>
    <col min="10243" max="10245" width="12.8727272727273" style="2529" customWidth="1"/>
    <col min="10246" max="10246" width="47.5" style="2529" customWidth="1"/>
    <col min="10247" max="10247" width="13" style="2529" customWidth="1"/>
    <col min="10248" max="10249" width="8.87272727272727" style="2529"/>
    <col min="10250" max="10250" width="5.75454545454545" style="2529" customWidth="1"/>
    <col min="10251" max="10251" width="11.7545454545455" style="2529" customWidth="1"/>
    <col min="10252" max="10253" width="10.7545454545455" style="2529" customWidth="1"/>
    <col min="10254" max="10254" width="10" style="2529" customWidth="1"/>
    <col min="10255" max="10256" width="10.5" style="2529" customWidth="1"/>
    <col min="10257" max="10257" width="10" style="2529" customWidth="1"/>
    <col min="10258" max="10258" width="10.1272727272727" style="2529" customWidth="1"/>
    <col min="10259" max="10259" width="10" style="2529" customWidth="1"/>
    <col min="10260" max="10260" width="26.1272727272727" style="2529" customWidth="1"/>
    <col min="10261" max="10496" width="8.87272727272727" style="2529"/>
    <col min="10497" max="10497" width="9.5" style="2529" customWidth="1"/>
    <col min="10498" max="10498" width="8.87272727272727" style="2529"/>
    <col min="10499" max="10501" width="12.8727272727273" style="2529" customWidth="1"/>
    <col min="10502" max="10502" width="47.5" style="2529" customWidth="1"/>
    <col min="10503" max="10503" width="13" style="2529" customWidth="1"/>
    <col min="10504" max="10505" width="8.87272727272727" style="2529"/>
    <col min="10506" max="10506" width="5.75454545454545" style="2529" customWidth="1"/>
    <col min="10507" max="10507" width="11.7545454545455" style="2529" customWidth="1"/>
    <col min="10508" max="10509" width="10.7545454545455" style="2529" customWidth="1"/>
    <col min="10510" max="10510" width="10" style="2529" customWidth="1"/>
    <col min="10511" max="10512" width="10.5" style="2529" customWidth="1"/>
    <col min="10513" max="10513" width="10" style="2529" customWidth="1"/>
    <col min="10514" max="10514" width="10.1272727272727" style="2529" customWidth="1"/>
    <col min="10515" max="10515" width="10" style="2529" customWidth="1"/>
    <col min="10516" max="10516" width="26.1272727272727" style="2529" customWidth="1"/>
    <col min="10517" max="10752" width="8.87272727272727" style="2529"/>
    <col min="10753" max="10753" width="9.5" style="2529" customWidth="1"/>
    <col min="10754" max="10754" width="8.87272727272727" style="2529"/>
    <col min="10755" max="10757" width="12.8727272727273" style="2529" customWidth="1"/>
    <col min="10758" max="10758" width="47.5" style="2529" customWidth="1"/>
    <col min="10759" max="10759" width="13" style="2529" customWidth="1"/>
    <col min="10760" max="10761" width="8.87272727272727" style="2529"/>
    <col min="10762" max="10762" width="5.75454545454545" style="2529" customWidth="1"/>
    <col min="10763" max="10763" width="11.7545454545455" style="2529" customWidth="1"/>
    <col min="10764" max="10765" width="10.7545454545455" style="2529" customWidth="1"/>
    <col min="10766" max="10766" width="10" style="2529" customWidth="1"/>
    <col min="10767" max="10768" width="10.5" style="2529" customWidth="1"/>
    <col min="10769" max="10769" width="10" style="2529" customWidth="1"/>
    <col min="10770" max="10770" width="10.1272727272727" style="2529" customWidth="1"/>
    <col min="10771" max="10771" width="10" style="2529" customWidth="1"/>
    <col min="10772" max="10772" width="26.1272727272727" style="2529" customWidth="1"/>
    <col min="10773" max="11008" width="8.87272727272727" style="2529"/>
    <col min="11009" max="11009" width="9.5" style="2529" customWidth="1"/>
    <col min="11010" max="11010" width="8.87272727272727" style="2529"/>
    <col min="11011" max="11013" width="12.8727272727273" style="2529" customWidth="1"/>
    <col min="11014" max="11014" width="47.5" style="2529" customWidth="1"/>
    <col min="11015" max="11015" width="13" style="2529" customWidth="1"/>
    <col min="11016" max="11017" width="8.87272727272727" style="2529"/>
    <col min="11018" max="11018" width="5.75454545454545" style="2529" customWidth="1"/>
    <col min="11019" max="11019" width="11.7545454545455" style="2529" customWidth="1"/>
    <col min="11020" max="11021" width="10.7545454545455" style="2529" customWidth="1"/>
    <col min="11022" max="11022" width="10" style="2529" customWidth="1"/>
    <col min="11023" max="11024" width="10.5" style="2529" customWidth="1"/>
    <col min="11025" max="11025" width="10" style="2529" customWidth="1"/>
    <col min="11026" max="11026" width="10.1272727272727" style="2529" customWidth="1"/>
    <col min="11027" max="11027" width="10" style="2529" customWidth="1"/>
    <col min="11028" max="11028" width="26.1272727272727" style="2529" customWidth="1"/>
    <col min="11029" max="11264" width="8.87272727272727" style="2529"/>
    <col min="11265" max="11265" width="9.5" style="2529" customWidth="1"/>
    <col min="11266" max="11266" width="8.87272727272727" style="2529"/>
    <col min="11267" max="11269" width="12.8727272727273" style="2529" customWidth="1"/>
    <col min="11270" max="11270" width="47.5" style="2529" customWidth="1"/>
    <col min="11271" max="11271" width="13" style="2529" customWidth="1"/>
    <col min="11272" max="11273" width="8.87272727272727" style="2529"/>
    <col min="11274" max="11274" width="5.75454545454545" style="2529" customWidth="1"/>
    <col min="11275" max="11275" width="11.7545454545455" style="2529" customWidth="1"/>
    <col min="11276" max="11277" width="10.7545454545455" style="2529" customWidth="1"/>
    <col min="11278" max="11278" width="10" style="2529" customWidth="1"/>
    <col min="11279" max="11280" width="10.5" style="2529" customWidth="1"/>
    <col min="11281" max="11281" width="10" style="2529" customWidth="1"/>
    <col min="11282" max="11282" width="10.1272727272727" style="2529" customWidth="1"/>
    <col min="11283" max="11283" width="10" style="2529" customWidth="1"/>
    <col min="11284" max="11284" width="26.1272727272727" style="2529" customWidth="1"/>
    <col min="11285" max="11520" width="8.87272727272727" style="2529"/>
    <col min="11521" max="11521" width="9.5" style="2529" customWidth="1"/>
    <col min="11522" max="11522" width="8.87272727272727" style="2529"/>
    <col min="11523" max="11525" width="12.8727272727273" style="2529" customWidth="1"/>
    <col min="11526" max="11526" width="47.5" style="2529" customWidth="1"/>
    <col min="11527" max="11527" width="13" style="2529" customWidth="1"/>
    <col min="11528" max="11529" width="8.87272727272727" style="2529"/>
    <col min="11530" max="11530" width="5.75454545454545" style="2529" customWidth="1"/>
    <col min="11531" max="11531" width="11.7545454545455" style="2529" customWidth="1"/>
    <col min="11532" max="11533" width="10.7545454545455" style="2529" customWidth="1"/>
    <col min="11534" max="11534" width="10" style="2529" customWidth="1"/>
    <col min="11535" max="11536" width="10.5" style="2529" customWidth="1"/>
    <col min="11537" max="11537" width="10" style="2529" customWidth="1"/>
    <col min="11538" max="11538" width="10.1272727272727" style="2529" customWidth="1"/>
    <col min="11539" max="11539" width="10" style="2529" customWidth="1"/>
    <col min="11540" max="11540" width="26.1272727272727" style="2529" customWidth="1"/>
    <col min="11541" max="11776" width="8.87272727272727" style="2529"/>
    <col min="11777" max="11777" width="9.5" style="2529" customWidth="1"/>
    <col min="11778" max="11778" width="8.87272727272727" style="2529"/>
    <col min="11779" max="11781" width="12.8727272727273" style="2529" customWidth="1"/>
    <col min="11782" max="11782" width="47.5" style="2529" customWidth="1"/>
    <col min="11783" max="11783" width="13" style="2529" customWidth="1"/>
    <col min="11784" max="11785" width="8.87272727272727" style="2529"/>
    <col min="11786" max="11786" width="5.75454545454545" style="2529" customWidth="1"/>
    <col min="11787" max="11787" width="11.7545454545455" style="2529" customWidth="1"/>
    <col min="11788" max="11789" width="10.7545454545455" style="2529" customWidth="1"/>
    <col min="11790" max="11790" width="10" style="2529" customWidth="1"/>
    <col min="11791" max="11792" width="10.5" style="2529" customWidth="1"/>
    <col min="11793" max="11793" width="10" style="2529" customWidth="1"/>
    <col min="11794" max="11794" width="10.1272727272727" style="2529" customWidth="1"/>
    <col min="11795" max="11795" width="10" style="2529" customWidth="1"/>
    <col min="11796" max="11796" width="26.1272727272727" style="2529" customWidth="1"/>
    <col min="11797" max="12032" width="8.87272727272727" style="2529"/>
    <col min="12033" max="12033" width="9.5" style="2529" customWidth="1"/>
    <col min="12034" max="12034" width="8.87272727272727" style="2529"/>
    <col min="12035" max="12037" width="12.8727272727273" style="2529" customWidth="1"/>
    <col min="12038" max="12038" width="47.5" style="2529" customWidth="1"/>
    <col min="12039" max="12039" width="13" style="2529" customWidth="1"/>
    <col min="12040" max="12041" width="8.87272727272727" style="2529"/>
    <col min="12042" max="12042" width="5.75454545454545" style="2529" customWidth="1"/>
    <col min="12043" max="12043" width="11.7545454545455" style="2529" customWidth="1"/>
    <col min="12044" max="12045" width="10.7545454545455" style="2529" customWidth="1"/>
    <col min="12046" max="12046" width="10" style="2529" customWidth="1"/>
    <col min="12047" max="12048" width="10.5" style="2529" customWidth="1"/>
    <col min="12049" max="12049" width="10" style="2529" customWidth="1"/>
    <col min="12050" max="12050" width="10.1272727272727" style="2529" customWidth="1"/>
    <col min="12051" max="12051" width="10" style="2529" customWidth="1"/>
    <col min="12052" max="12052" width="26.1272727272727" style="2529" customWidth="1"/>
    <col min="12053" max="12288" width="8.87272727272727" style="2529"/>
    <col min="12289" max="12289" width="9.5" style="2529" customWidth="1"/>
    <col min="12290" max="12290" width="8.87272727272727" style="2529"/>
    <col min="12291" max="12293" width="12.8727272727273" style="2529" customWidth="1"/>
    <col min="12294" max="12294" width="47.5" style="2529" customWidth="1"/>
    <col min="12295" max="12295" width="13" style="2529" customWidth="1"/>
    <col min="12296" max="12297" width="8.87272727272727" style="2529"/>
    <col min="12298" max="12298" width="5.75454545454545" style="2529" customWidth="1"/>
    <col min="12299" max="12299" width="11.7545454545455" style="2529" customWidth="1"/>
    <col min="12300" max="12301" width="10.7545454545455" style="2529" customWidth="1"/>
    <col min="12302" max="12302" width="10" style="2529" customWidth="1"/>
    <col min="12303" max="12304" width="10.5" style="2529" customWidth="1"/>
    <col min="12305" max="12305" width="10" style="2529" customWidth="1"/>
    <col min="12306" max="12306" width="10.1272727272727" style="2529" customWidth="1"/>
    <col min="12307" max="12307" width="10" style="2529" customWidth="1"/>
    <col min="12308" max="12308" width="26.1272727272727" style="2529" customWidth="1"/>
    <col min="12309" max="12544" width="8.87272727272727" style="2529"/>
    <col min="12545" max="12545" width="9.5" style="2529" customWidth="1"/>
    <col min="12546" max="12546" width="8.87272727272727" style="2529"/>
    <col min="12547" max="12549" width="12.8727272727273" style="2529" customWidth="1"/>
    <col min="12550" max="12550" width="47.5" style="2529" customWidth="1"/>
    <col min="12551" max="12551" width="13" style="2529" customWidth="1"/>
    <col min="12552" max="12553" width="8.87272727272727" style="2529"/>
    <col min="12554" max="12554" width="5.75454545454545" style="2529" customWidth="1"/>
    <col min="12555" max="12555" width="11.7545454545455" style="2529" customWidth="1"/>
    <col min="12556" max="12557" width="10.7545454545455" style="2529" customWidth="1"/>
    <col min="12558" max="12558" width="10" style="2529" customWidth="1"/>
    <col min="12559" max="12560" width="10.5" style="2529" customWidth="1"/>
    <col min="12561" max="12561" width="10" style="2529" customWidth="1"/>
    <col min="12562" max="12562" width="10.1272727272727" style="2529" customWidth="1"/>
    <col min="12563" max="12563" width="10" style="2529" customWidth="1"/>
    <col min="12564" max="12564" width="26.1272727272727" style="2529" customWidth="1"/>
    <col min="12565" max="12800" width="8.87272727272727" style="2529"/>
    <col min="12801" max="12801" width="9.5" style="2529" customWidth="1"/>
    <col min="12802" max="12802" width="8.87272727272727" style="2529"/>
    <col min="12803" max="12805" width="12.8727272727273" style="2529" customWidth="1"/>
    <col min="12806" max="12806" width="47.5" style="2529" customWidth="1"/>
    <col min="12807" max="12807" width="13" style="2529" customWidth="1"/>
    <col min="12808" max="12809" width="8.87272727272727" style="2529"/>
    <col min="12810" max="12810" width="5.75454545454545" style="2529" customWidth="1"/>
    <col min="12811" max="12811" width="11.7545454545455" style="2529" customWidth="1"/>
    <col min="12812" max="12813" width="10.7545454545455" style="2529" customWidth="1"/>
    <col min="12814" max="12814" width="10" style="2529" customWidth="1"/>
    <col min="12815" max="12816" width="10.5" style="2529" customWidth="1"/>
    <col min="12817" max="12817" width="10" style="2529" customWidth="1"/>
    <col min="12818" max="12818" width="10.1272727272727" style="2529" customWidth="1"/>
    <col min="12819" max="12819" width="10" style="2529" customWidth="1"/>
    <col min="12820" max="12820" width="26.1272727272727" style="2529" customWidth="1"/>
    <col min="12821" max="13056" width="8.87272727272727" style="2529"/>
    <col min="13057" max="13057" width="9.5" style="2529" customWidth="1"/>
    <col min="13058" max="13058" width="8.87272727272727" style="2529"/>
    <col min="13059" max="13061" width="12.8727272727273" style="2529" customWidth="1"/>
    <col min="13062" max="13062" width="47.5" style="2529" customWidth="1"/>
    <col min="13063" max="13063" width="13" style="2529" customWidth="1"/>
    <col min="13064" max="13065" width="8.87272727272727" style="2529"/>
    <col min="13066" max="13066" width="5.75454545454545" style="2529" customWidth="1"/>
    <col min="13067" max="13067" width="11.7545454545455" style="2529" customWidth="1"/>
    <col min="13068" max="13069" width="10.7545454545455" style="2529" customWidth="1"/>
    <col min="13070" max="13070" width="10" style="2529" customWidth="1"/>
    <col min="13071" max="13072" width="10.5" style="2529" customWidth="1"/>
    <col min="13073" max="13073" width="10" style="2529" customWidth="1"/>
    <col min="13074" max="13074" width="10.1272727272727" style="2529" customWidth="1"/>
    <col min="13075" max="13075" width="10" style="2529" customWidth="1"/>
    <col min="13076" max="13076" width="26.1272727272727" style="2529" customWidth="1"/>
    <col min="13077" max="13312" width="8.87272727272727" style="2529"/>
    <col min="13313" max="13313" width="9.5" style="2529" customWidth="1"/>
    <col min="13314" max="13314" width="8.87272727272727" style="2529"/>
    <col min="13315" max="13317" width="12.8727272727273" style="2529" customWidth="1"/>
    <col min="13318" max="13318" width="47.5" style="2529" customWidth="1"/>
    <col min="13319" max="13319" width="13" style="2529" customWidth="1"/>
    <col min="13320" max="13321" width="8.87272727272727" style="2529"/>
    <col min="13322" max="13322" width="5.75454545454545" style="2529" customWidth="1"/>
    <col min="13323" max="13323" width="11.7545454545455" style="2529" customWidth="1"/>
    <col min="13324" max="13325" width="10.7545454545455" style="2529" customWidth="1"/>
    <col min="13326" max="13326" width="10" style="2529" customWidth="1"/>
    <col min="13327" max="13328" width="10.5" style="2529" customWidth="1"/>
    <col min="13329" max="13329" width="10" style="2529" customWidth="1"/>
    <col min="13330" max="13330" width="10.1272727272727" style="2529" customWidth="1"/>
    <col min="13331" max="13331" width="10" style="2529" customWidth="1"/>
    <col min="13332" max="13332" width="26.1272727272727" style="2529" customWidth="1"/>
    <col min="13333" max="13568" width="8.87272727272727" style="2529"/>
    <col min="13569" max="13569" width="9.5" style="2529" customWidth="1"/>
    <col min="13570" max="13570" width="8.87272727272727" style="2529"/>
    <col min="13571" max="13573" width="12.8727272727273" style="2529" customWidth="1"/>
    <col min="13574" max="13574" width="47.5" style="2529" customWidth="1"/>
    <col min="13575" max="13575" width="13" style="2529" customWidth="1"/>
    <col min="13576" max="13577" width="8.87272727272727" style="2529"/>
    <col min="13578" max="13578" width="5.75454545454545" style="2529" customWidth="1"/>
    <col min="13579" max="13579" width="11.7545454545455" style="2529" customWidth="1"/>
    <col min="13580" max="13581" width="10.7545454545455" style="2529" customWidth="1"/>
    <col min="13582" max="13582" width="10" style="2529" customWidth="1"/>
    <col min="13583" max="13584" width="10.5" style="2529" customWidth="1"/>
    <col min="13585" max="13585" width="10" style="2529" customWidth="1"/>
    <col min="13586" max="13586" width="10.1272727272727" style="2529" customWidth="1"/>
    <col min="13587" max="13587" width="10" style="2529" customWidth="1"/>
    <col min="13588" max="13588" width="26.1272727272727" style="2529" customWidth="1"/>
    <col min="13589" max="13824" width="8.87272727272727" style="2529"/>
    <col min="13825" max="13825" width="9.5" style="2529" customWidth="1"/>
    <col min="13826" max="13826" width="8.87272727272727" style="2529"/>
    <col min="13827" max="13829" width="12.8727272727273" style="2529" customWidth="1"/>
    <col min="13830" max="13830" width="47.5" style="2529" customWidth="1"/>
    <col min="13831" max="13831" width="13" style="2529" customWidth="1"/>
    <col min="13832" max="13833" width="8.87272727272727" style="2529"/>
    <col min="13834" max="13834" width="5.75454545454545" style="2529" customWidth="1"/>
    <col min="13835" max="13835" width="11.7545454545455" style="2529" customWidth="1"/>
    <col min="13836" max="13837" width="10.7545454545455" style="2529" customWidth="1"/>
    <col min="13838" max="13838" width="10" style="2529" customWidth="1"/>
    <col min="13839" max="13840" width="10.5" style="2529" customWidth="1"/>
    <col min="13841" max="13841" width="10" style="2529" customWidth="1"/>
    <col min="13842" max="13842" width="10.1272727272727" style="2529" customWidth="1"/>
    <col min="13843" max="13843" width="10" style="2529" customWidth="1"/>
    <col min="13844" max="13844" width="26.1272727272727" style="2529" customWidth="1"/>
    <col min="13845" max="14080" width="8.87272727272727" style="2529"/>
    <col min="14081" max="14081" width="9.5" style="2529" customWidth="1"/>
    <col min="14082" max="14082" width="8.87272727272727" style="2529"/>
    <col min="14083" max="14085" width="12.8727272727273" style="2529" customWidth="1"/>
    <col min="14086" max="14086" width="47.5" style="2529" customWidth="1"/>
    <col min="14087" max="14087" width="13" style="2529" customWidth="1"/>
    <col min="14088" max="14089" width="8.87272727272727" style="2529"/>
    <col min="14090" max="14090" width="5.75454545454545" style="2529" customWidth="1"/>
    <col min="14091" max="14091" width="11.7545454545455" style="2529" customWidth="1"/>
    <col min="14092" max="14093" width="10.7545454545455" style="2529" customWidth="1"/>
    <col min="14094" max="14094" width="10" style="2529" customWidth="1"/>
    <col min="14095" max="14096" width="10.5" style="2529" customWidth="1"/>
    <col min="14097" max="14097" width="10" style="2529" customWidth="1"/>
    <col min="14098" max="14098" width="10.1272727272727" style="2529" customWidth="1"/>
    <col min="14099" max="14099" width="10" style="2529" customWidth="1"/>
    <col min="14100" max="14100" width="26.1272727272727" style="2529" customWidth="1"/>
    <col min="14101" max="14336" width="8.87272727272727" style="2529"/>
    <col min="14337" max="14337" width="9.5" style="2529" customWidth="1"/>
    <col min="14338" max="14338" width="8.87272727272727" style="2529"/>
    <col min="14339" max="14341" width="12.8727272727273" style="2529" customWidth="1"/>
    <col min="14342" max="14342" width="47.5" style="2529" customWidth="1"/>
    <col min="14343" max="14343" width="13" style="2529" customWidth="1"/>
    <col min="14344" max="14345" width="8.87272727272727" style="2529"/>
    <col min="14346" max="14346" width="5.75454545454545" style="2529" customWidth="1"/>
    <col min="14347" max="14347" width="11.7545454545455" style="2529" customWidth="1"/>
    <col min="14348" max="14349" width="10.7545454545455" style="2529" customWidth="1"/>
    <col min="14350" max="14350" width="10" style="2529" customWidth="1"/>
    <col min="14351" max="14352" width="10.5" style="2529" customWidth="1"/>
    <col min="14353" max="14353" width="10" style="2529" customWidth="1"/>
    <col min="14354" max="14354" width="10.1272727272727" style="2529" customWidth="1"/>
    <col min="14355" max="14355" width="10" style="2529" customWidth="1"/>
    <col min="14356" max="14356" width="26.1272727272727" style="2529" customWidth="1"/>
    <col min="14357" max="14592" width="8.87272727272727" style="2529"/>
    <col min="14593" max="14593" width="9.5" style="2529" customWidth="1"/>
    <col min="14594" max="14594" width="8.87272727272727" style="2529"/>
    <col min="14595" max="14597" width="12.8727272727273" style="2529" customWidth="1"/>
    <col min="14598" max="14598" width="47.5" style="2529" customWidth="1"/>
    <col min="14599" max="14599" width="13" style="2529" customWidth="1"/>
    <col min="14600" max="14601" width="8.87272727272727" style="2529"/>
    <col min="14602" max="14602" width="5.75454545454545" style="2529" customWidth="1"/>
    <col min="14603" max="14603" width="11.7545454545455" style="2529" customWidth="1"/>
    <col min="14604" max="14605" width="10.7545454545455" style="2529" customWidth="1"/>
    <col min="14606" max="14606" width="10" style="2529" customWidth="1"/>
    <col min="14607" max="14608" width="10.5" style="2529" customWidth="1"/>
    <col min="14609" max="14609" width="10" style="2529" customWidth="1"/>
    <col min="14610" max="14610" width="10.1272727272727" style="2529" customWidth="1"/>
    <col min="14611" max="14611" width="10" style="2529" customWidth="1"/>
    <col min="14612" max="14612" width="26.1272727272727" style="2529" customWidth="1"/>
    <col min="14613" max="14848" width="8.87272727272727" style="2529"/>
    <col min="14849" max="14849" width="9.5" style="2529" customWidth="1"/>
    <col min="14850" max="14850" width="8.87272727272727" style="2529"/>
    <col min="14851" max="14853" width="12.8727272727273" style="2529" customWidth="1"/>
    <col min="14854" max="14854" width="47.5" style="2529" customWidth="1"/>
    <col min="14855" max="14855" width="13" style="2529" customWidth="1"/>
    <col min="14856" max="14857" width="8.87272727272727" style="2529"/>
    <col min="14858" max="14858" width="5.75454545454545" style="2529" customWidth="1"/>
    <col min="14859" max="14859" width="11.7545454545455" style="2529" customWidth="1"/>
    <col min="14860" max="14861" width="10.7545454545455" style="2529" customWidth="1"/>
    <col min="14862" max="14862" width="10" style="2529" customWidth="1"/>
    <col min="14863" max="14864" width="10.5" style="2529" customWidth="1"/>
    <col min="14865" max="14865" width="10" style="2529" customWidth="1"/>
    <col min="14866" max="14866" width="10.1272727272727" style="2529" customWidth="1"/>
    <col min="14867" max="14867" width="10" style="2529" customWidth="1"/>
    <col min="14868" max="14868" width="26.1272727272727" style="2529" customWidth="1"/>
    <col min="14869" max="15104" width="8.87272727272727" style="2529"/>
    <col min="15105" max="15105" width="9.5" style="2529" customWidth="1"/>
    <col min="15106" max="15106" width="8.87272727272727" style="2529"/>
    <col min="15107" max="15109" width="12.8727272727273" style="2529" customWidth="1"/>
    <col min="15110" max="15110" width="47.5" style="2529" customWidth="1"/>
    <col min="15111" max="15111" width="13" style="2529" customWidth="1"/>
    <col min="15112" max="15113" width="8.87272727272727" style="2529"/>
    <col min="15114" max="15114" width="5.75454545454545" style="2529" customWidth="1"/>
    <col min="15115" max="15115" width="11.7545454545455" style="2529" customWidth="1"/>
    <col min="15116" max="15117" width="10.7545454545455" style="2529" customWidth="1"/>
    <col min="15118" max="15118" width="10" style="2529" customWidth="1"/>
    <col min="15119" max="15120" width="10.5" style="2529" customWidth="1"/>
    <col min="15121" max="15121" width="10" style="2529" customWidth="1"/>
    <col min="15122" max="15122" width="10.1272727272727" style="2529" customWidth="1"/>
    <col min="15123" max="15123" width="10" style="2529" customWidth="1"/>
    <col min="15124" max="15124" width="26.1272727272727" style="2529" customWidth="1"/>
    <col min="15125" max="15360" width="8.87272727272727" style="2529"/>
    <col min="15361" max="15361" width="9.5" style="2529" customWidth="1"/>
    <col min="15362" max="15362" width="8.87272727272727" style="2529"/>
    <col min="15363" max="15365" width="12.8727272727273" style="2529" customWidth="1"/>
    <col min="15366" max="15366" width="47.5" style="2529" customWidth="1"/>
    <col min="15367" max="15367" width="13" style="2529" customWidth="1"/>
    <col min="15368" max="15369" width="8.87272727272727" style="2529"/>
    <col min="15370" max="15370" width="5.75454545454545" style="2529" customWidth="1"/>
    <col min="15371" max="15371" width="11.7545454545455" style="2529" customWidth="1"/>
    <col min="15372" max="15373" width="10.7545454545455" style="2529" customWidth="1"/>
    <col min="15374" max="15374" width="10" style="2529" customWidth="1"/>
    <col min="15375" max="15376" width="10.5" style="2529" customWidth="1"/>
    <col min="15377" max="15377" width="10" style="2529" customWidth="1"/>
    <col min="15378" max="15378" width="10.1272727272727" style="2529" customWidth="1"/>
    <col min="15379" max="15379" width="10" style="2529" customWidth="1"/>
    <col min="15380" max="15380" width="26.1272727272727" style="2529" customWidth="1"/>
    <col min="15381" max="15616" width="8.87272727272727" style="2529"/>
    <col min="15617" max="15617" width="9.5" style="2529" customWidth="1"/>
    <col min="15618" max="15618" width="8.87272727272727" style="2529"/>
    <col min="15619" max="15621" width="12.8727272727273" style="2529" customWidth="1"/>
    <col min="15622" max="15622" width="47.5" style="2529" customWidth="1"/>
    <col min="15623" max="15623" width="13" style="2529" customWidth="1"/>
    <col min="15624" max="15625" width="8.87272727272727" style="2529"/>
    <col min="15626" max="15626" width="5.75454545454545" style="2529" customWidth="1"/>
    <col min="15627" max="15627" width="11.7545454545455" style="2529" customWidth="1"/>
    <col min="15628" max="15629" width="10.7545454545455" style="2529" customWidth="1"/>
    <col min="15630" max="15630" width="10" style="2529" customWidth="1"/>
    <col min="15631" max="15632" width="10.5" style="2529" customWidth="1"/>
    <col min="15633" max="15633" width="10" style="2529" customWidth="1"/>
    <col min="15634" max="15634" width="10.1272727272727" style="2529" customWidth="1"/>
    <col min="15635" max="15635" width="10" style="2529" customWidth="1"/>
    <col min="15636" max="15636" width="26.1272727272727" style="2529" customWidth="1"/>
    <col min="15637" max="15872" width="8.87272727272727" style="2529"/>
    <col min="15873" max="15873" width="9.5" style="2529" customWidth="1"/>
    <col min="15874" max="15874" width="8.87272727272727" style="2529"/>
    <col min="15875" max="15877" width="12.8727272727273" style="2529" customWidth="1"/>
    <col min="15878" max="15878" width="47.5" style="2529" customWidth="1"/>
    <col min="15879" max="15879" width="13" style="2529" customWidth="1"/>
    <col min="15880" max="15881" width="8.87272727272727" style="2529"/>
    <col min="15882" max="15882" width="5.75454545454545" style="2529" customWidth="1"/>
    <col min="15883" max="15883" width="11.7545454545455" style="2529" customWidth="1"/>
    <col min="15884" max="15885" width="10.7545454545455" style="2529" customWidth="1"/>
    <col min="15886" max="15886" width="10" style="2529" customWidth="1"/>
    <col min="15887" max="15888" width="10.5" style="2529" customWidth="1"/>
    <col min="15889" max="15889" width="10" style="2529" customWidth="1"/>
    <col min="15890" max="15890" width="10.1272727272727" style="2529" customWidth="1"/>
    <col min="15891" max="15891" width="10" style="2529" customWidth="1"/>
    <col min="15892" max="15892" width="26.1272727272727" style="2529" customWidth="1"/>
    <col min="15893" max="16128" width="8.87272727272727" style="2529"/>
    <col min="16129" max="16129" width="9.5" style="2529" customWidth="1"/>
    <col min="16130" max="16130" width="8.87272727272727" style="2529"/>
    <col min="16131" max="16133" width="12.8727272727273" style="2529" customWidth="1"/>
    <col min="16134" max="16134" width="47.5" style="2529" customWidth="1"/>
    <col min="16135" max="16135" width="13" style="2529" customWidth="1"/>
    <col min="16136" max="16137" width="8.87272727272727" style="2529"/>
    <col min="16138" max="16138" width="5.75454545454545" style="2529" customWidth="1"/>
    <col min="16139" max="16139" width="11.7545454545455" style="2529" customWidth="1"/>
    <col min="16140" max="16141" width="10.7545454545455" style="2529" customWidth="1"/>
    <col min="16142" max="16142" width="10" style="2529" customWidth="1"/>
    <col min="16143" max="16144" width="10.5" style="2529" customWidth="1"/>
    <col min="16145" max="16145" width="10" style="2529" customWidth="1"/>
    <col min="16146" max="16146" width="10.1272727272727" style="2529" customWidth="1"/>
    <col min="16147" max="16147" width="10" style="2529" customWidth="1"/>
    <col min="16148" max="16148" width="26.1272727272727" style="2529" customWidth="1"/>
    <col min="16149" max="16384" width="8.87272727272727" style="2529"/>
  </cols>
  <sheetData>
    <row r="1" ht="21" customHeight="1" spans="1:22">
      <c r="A1" s="2534" t="s">
        <v>1533</v>
      </c>
      <c r="B1" s="2535"/>
      <c r="C1" s="2536"/>
      <c r="D1" s="2536"/>
      <c r="E1" s="2537"/>
      <c r="F1" s="2538"/>
      <c r="G1" s="2539"/>
      <c r="J1" s="2540" t="s">
        <v>1534</v>
      </c>
      <c r="K1" s="2541"/>
      <c r="L1" s="2541"/>
      <c r="M1" s="2541"/>
      <c r="N1" s="2541"/>
      <c r="O1" s="2541"/>
      <c r="P1" s="2541"/>
      <c r="Q1" s="2541"/>
      <c r="R1" s="2542"/>
      <c r="S1" s="2543"/>
      <c r="T1" s="2543"/>
      <c r="U1" s="2543"/>
    </row>
    <row r="2" s="2527" customFormat="1" customHeight="1" spans="1:22">
      <c r="A2" s="2544" t="s">
        <v>1280</v>
      </c>
      <c r="B2" s="2545" t="e">
        <f>IF(D2="——",C40,C40+E2)</f>
        <v>#DIV/0!</v>
      </c>
      <c r="C2" s="2536" t="s">
        <v>1281</v>
      </c>
      <c r="D2" s="2546" t="s">
        <v>1535</v>
      </c>
      <c r="E2" s="2547"/>
      <c r="F2" s="2548"/>
      <c r="G2" s="2549"/>
      <c r="H2" s="2550"/>
      <c r="I2" s="2551"/>
      <c r="J2" s="2552" t="s">
        <v>1536</v>
      </c>
      <c r="K2" s="2553"/>
      <c r="L2" s="2554" t="s">
        <v>1537</v>
      </c>
      <c r="M2" s="2554" t="s">
        <v>1538</v>
      </c>
      <c r="N2" s="2554" t="s">
        <v>1539</v>
      </c>
      <c r="O2" s="2554" t="s">
        <v>1540</v>
      </c>
      <c r="P2" s="2554" t="s">
        <v>1541</v>
      </c>
      <c r="Q2" s="2555" t="s">
        <v>1542</v>
      </c>
      <c r="R2" s="2556" t="s">
        <v>1543</v>
      </c>
      <c r="S2" s="2543"/>
      <c r="T2" s="2543"/>
      <c r="U2" s="2543"/>
      <c r="V2" s="2551"/>
    </row>
    <row r="3" s="2527" customFormat="1" customHeight="1" spans="1:22">
      <c r="A3" s="2557" t="s">
        <v>1282</v>
      </c>
      <c r="B3" s="2558" t="e">
        <f>ROUND(B2*10000/B4,0)</f>
        <v>#DIV/0!</v>
      </c>
      <c r="C3" s="2536" t="s">
        <v>1283</v>
      </c>
      <c r="D3" s="2536"/>
      <c r="E3" s="2559"/>
      <c r="F3" s="2548"/>
      <c r="G3" s="2549"/>
      <c r="H3" s="2550"/>
      <c r="I3" s="2551"/>
      <c r="J3" s="2560" t="s">
        <v>1544</v>
      </c>
      <c r="K3" s="2561"/>
      <c r="L3" s="2562"/>
      <c r="M3" s="2562"/>
      <c r="N3" s="2562"/>
      <c r="O3" s="2562"/>
      <c r="P3" s="2562"/>
      <c r="Q3" s="2563"/>
      <c r="R3" s="2564">
        <f>SUM(L3:Q3)</f>
        <v>0</v>
      </c>
      <c r="S3" s="2543"/>
      <c r="T3" s="2543"/>
      <c r="U3" s="2543"/>
      <c r="V3" s="2551"/>
    </row>
    <row r="4" s="2527" customFormat="1" customHeight="1" spans="1:22">
      <c r="A4" s="2565" t="s">
        <v>729</v>
      </c>
      <c r="B4" s="2566"/>
      <c r="C4" s="2536"/>
      <c r="D4" s="2536"/>
      <c r="E4" s="2559"/>
      <c r="F4" s="2548"/>
      <c r="G4" s="2549"/>
      <c r="H4" s="2550"/>
      <c r="I4" s="2551"/>
      <c r="J4" s="2560" t="s">
        <v>1545</v>
      </c>
      <c r="K4" s="2561"/>
      <c r="L4" s="2567"/>
      <c r="M4" s="2567"/>
      <c r="N4" s="2567"/>
      <c r="O4" s="2567"/>
      <c r="P4" s="2567"/>
      <c r="Q4" s="2568"/>
      <c r="R4" s="2569">
        <f>SUM(L4:Q4)</f>
        <v>0</v>
      </c>
      <c r="S4" s="2543"/>
      <c r="T4" s="2543"/>
      <c r="U4" s="2543"/>
      <c r="V4" s="2551"/>
    </row>
    <row r="5" s="2527" customFormat="1" customHeight="1" spans="1:22">
      <c r="A5" s="2570" t="s">
        <v>1546</v>
      </c>
      <c r="B5" s="2571"/>
      <c r="C5" s="2536"/>
      <c r="D5" s="2572"/>
      <c r="E5" s="2548"/>
      <c r="F5" s="2548"/>
      <c r="G5" s="2549"/>
      <c r="H5" s="2550"/>
      <c r="I5" s="2551"/>
      <c r="J5" s="2573" t="s">
        <v>1547</v>
      </c>
      <c r="K5" s="2574"/>
      <c r="L5" s="2574"/>
      <c r="M5" s="2575"/>
      <c r="N5" s="2575"/>
      <c r="O5" s="2575"/>
      <c r="P5" s="2575"/>
      <c r="Q5" s="2575"/>
      <c r="R5" s="2556">
        <f>SUM(R14,R19,R24,R25,R27,R28)</f>
        <v>0</v>
      </c>
      <c r="S5" s="2543"/>
      <c r="T5" s="2543" t="s">
        <v>1548</v>
      </c>
      <c r="U5" s="2543" t="e">
        <f>ROUND(R5*10000/365/R3,1)</f>
        <v>#DIV/0!</v>
      </c>
      <c r="V5" s="2551"/>
    </row>
    <row r="6" s="2527" customFormat="1" customHeight="1" spans="1:22">
      <c r="A6" s="2576" t="s">
        <v>1549</v>
      </c>
      <c r="B6" s="2577"/>
      <c r="C6" s="2578"/>
      <c r="D6" s="2579"/>
      <c r="E6" s="2580"/>
      <c r="F6" s="2581"/>
      <c r="G6" s="2582"/>
      <c r="H6" s="2550"/>
      <c r="I6" s="2551"/>
      <c r="J6" s="2583">
        <v>1</v>
      </c>
      <c r="K6" s="2584" t="s">
        <v>1550</v>
      </c>
      <c r="L6" s="2585" t="s">
        <v>1551</v>
      </c>
      <c r="M6" s="2586" t="s">
        <v>1552</v>
      </c>
      <c r="N6" s="2586" t="s">
        <v>1553</v>
      </c>
      <c r="O6" s="2586" t="s">
        <v>1554</v>
      </c>
      <c r="P6" s="2586" t="s">
        <v>1555</v>
      </c>
      <c r="Q6" s="2586" t="s">
        <v>1556</v>
      </c>
      <c r="R6" s="2564" t="s">
        <v>1557</v>
      </c>
      <c r="S6" s="2543"/>
      <c r="T6" s="2543" t="s">
        <v>1558</v>
      </c>
      <c r="U6" s="2543"/>
      <c r="V6" s="2551"/>
    </row>
    <row r="7" s="2527" customFormat="1" customHeight="1" spans="1:22">
      <c r="A7" s="2587" t="s">
        <v>1559</v>
      </c>
      <c r="B7" s="2588"/>
      <c r="C7" s="2589"/>
      <c r="D7" s="2590">
        <f>SUM(D9,D10,D11,D17,0)</f>
        <v>0</v>
      </c>
      <c r="E7" s="2591" t="e">
        <f>E9+E10+E11+E17</f>
        <v>#DIV/0!</v>
      </c>
      <c r="F7" s="2592"/>
      <c r="G7" s="2593"/>
      <c r="H7" s="2550"/>
      <c r="I7" s="2551"/>
      <c r="J7" s="2583"/>
      <c r="K7" s="2594"/>
      <c r="L7" s="2595" t="s">
        <v>1560</v>
      </c>
      <c r="M7" s="2596"/>
      <c r="N7" s="2566"/>
      <c r="O7" s="2566"/>
      <c r="P7" s="2566"/>
      <c r="Q7" s="2566">
        <v>365</v>
      </c>
      <c r="R7" s="2597">
        <f>ROUND(M7*N7*O7*P7*Q7/10000,0)</f>
        <v>0</v>
      </c>
      <c r="S7" s="2543"/>
      <c r="T7" s="2543" t="s">
        <v>1561</v>
      </c>
      <c r="U7" s="2543"/>
      <c r="V7" s="2551"/>
    </row>
    <row r="8" s="2527" customFormat="1" customHeight="1" spans="1:22">
      <c r="A8" s="2598" t="s">
        <v>1562</v>
      </c>
      <c r="B8" s="2599" t="s">
        <v>1563</v>
      </c>
      <c r="C8" s="2600"/>
      <c r="D8" s="2601" t="s">
        <v>1564</v>
      </c>
      <c r="E8" s="2602" t="s">
        <v>1565</v>
      </c>
      <c r="F8" s="2603" t="s">
        <v>1566</v>
      </c>
      <c r="G8" s="2604"/>
      <c r="H8" s="2550"/>
      <c r="I8" s="2551"/>
      <c r="J8" s="2583"/>
      <c r="K8" s="2594"/>
      <c r="L8" s="2595" t="s">
        <v>1567</v>
      </c>
      <c r="M8" s="2596"/>
      <c r="N8" s="2566"/>
      <c r="O8" s="2566"/>
      <c r="P8" s="2566"/>
      <c r="Q8" s="2566">
        <v>365</v>
      </c>
      <c r="R8" s="2597">
        <f t="shared" ref="R8:R13" si="0">ROUND(M8*N8*O8*P8*Q8/10000,0)</f>
        <v>0</v>
      </c>
      <c r="S8" s="2543"/>
      <c r="T8" s="2543" t="s">
        <v>1568</v>
      </c>
      <c r="U8" s="2543"/>
      <c r="V8" s="2551"/>
    </row>
    <row r="9" s="2527" customFormat="1" customHeight="1" spans="1:22">
      <c r="A9" s="2598">
        <v>1</v>
      </c>
      <c r="B9" s="2599" t="s">
        <v>1569</v>
      </c>
      <c r="C9" s="2600"/>
      <c r="D9" s="2605">
        <f>ROUND(D6*E9,0)</f>
        <v>0</v>
      </c>
      <c r="E9" s="2606"/>
      <c r="F9" s="2607" t="s">
        <v>1570</v>
      </c>
      <c r="G9" s="2582"/>
      <c r="H9" s="2550"/>
      <c r="I9" s="2551"/>
      <c r="J9" s="2583"/>
      <c r="K9" s="2594"/>
      <c r="L9" s="2595" t="s">
        <v>1571</v>
      </c>
      <c r="M9" s="2596"/>
      <c r="N9" s="2566"/>
      <c r="O9" s="2566"/>
      <c r="P9" s="2566"/>
      <c r="Q9" s="2566">
        <v>365</v>
      </c>
      <c r="R9" s="2597">
        <f t="shared" si="0"/>
        <v>0</v>
      </c>
      <c r="S9" s="2543"/>
      <c r="T9" s="2543"/>
      <c r="U9" s="2543"/>
      <c r="V9" s="2551"/>
    </row>
    <row r="10" s="2527" customFormat="1" customHeight="1" spans="1:22">
      <c r="A10" s="2598">
        <v>2</v>
      </c>
      <c r="B10" s="2599" t="s">
        <v>1572</v>
      </c>
      <c r="C10" s="2600"/>
      <c r="D10" s="2605">
        <f>ROUND(D6*E10,0)</f>
        <v>0</v>
      </c>
      <c r="E10" s="2606"/>
      <c r="F10" s="2608" t="s">
        <v>1573</v>
      </c>
      <c r="G10" s="2582"/>
      <c r="H10" s="2550"/>
      <c r="I10" s="2551"/>
      <c r="J10" s="2583"/>
      <c r="K10" s="2594"/>
      <c r="L10" s="2595" t="s">
        <v>1574</v>
      </c>
      <c r="M10" s="2596"/>
      <c r="N10" s="2566"/>
      <c r="O10" s="2566"/>
      <c r="P10" s="2566"/>
      <c r="Q10" s="2566">
        <v>365</v>
      </c>
      <c r="R10" s="2597">
        <f t="shared" si="0"/>
        <v>0</v>
      </c>
      <c r="S10" s="2543"/>
      <c r="T10" s="2543"/>
      <c r="U10" s="2543"/>
      <c r="V10" s="2551"/>
    </row>
    <row r="11" s="2527" customFormat="1" customHeight="1" spans="1:22">
      <c r="A11" s="2598">
        <v>3</v>
      </c>
      <c r="B11" s="2599" t="s">
        <v>1575</v>
      </c>
      <c r="C11" s="2600"/>
      <c r="D11" s="2605">
        <f>D12+D14+D15+D16</f>
        <v>0</v>
      </c>
      <c r="E11" s="2609" t="e">
        <f>D11/D6</f>
        <v>#DIV/0!</v>
      </c>
      <c r="F11" s="2603"/>
      <c r="G11" s="2604"/>
      <c r="H11" s="2550"/>
      <c r="I11" s="2551"/>
      <c r="J11" s="2583"/>
      <c r="K11" s="2594"/>
      <c r="L11" s="2595" t="s">
        <v>1576</v>
      </c>
      <c r="M11" s="2596"/>
      <c r="N11" s="2566"/>
      <c r="O11" s="2566"/>
      <c r="P11" s="2566"/>
      <c r="Q11" s="2566">
        <v>365</v>
      </c>
      <c r="R11" s="2597">
        <f t="shared" si="0"/>
        <v>0</v>
      </c>
      <c r="S11" s="2543"/>
      <c r="T11" s="2543"/>
      <c r="U11" s="2543"/>
      <c r="V11" s="2551"/>
    </row>
    <row r="12" s="2527" customFormat="1" customHeight="1" spans="1:22">
      <c r="A12" s="2610" t="s">
        <v>1577</v>
      </c>
      <c r="B12" s="2611" t="s">
        <v>1578</v>
      </c>
      <c r="C12" s="2612"/>
      <c r="D12" s="2613">
        <f>ROUND(D13*1.2%*(1-30%),0)</f>
        <v>0</v>
      </c>
      <c r="E12" s="2614">
        <v>0.012</v>
      </c>
      <c r="F12" s="2603" t="s">
        <v>1579</v>
      </c>
      <c r="G12" s="2604"/>
      <c r="H12" s="2550"/>
      <c r="I12" s="2551"/>
      <c r="J12" s="2583"/>
      <c r="K12" s="2594"/>
      <c r="L12" s="2595" t="s">
        <v>1580</v>
      </c>
      <c r="M12" s="2596"/>
      <c r="N12" s="2566"/>
      <c r="O12" s="2566"/>
      <c r="P12" s="2566"/>
      <c r="Q12" s="2566">
        <v>365</v>
      </c>
      <c r="R12" s="2597">
        <f t="shared" si="0"/>
        <v>0</v>
      </c>
      <c r="S12" s="2543"/>
      <c r="T12" s="2543"/>
      <c r="U12" s="2543"/>
      <c r="V12" s="2551"/>
    </row>
    <row r="13" s="2527" customFormat="1" customHeight="1" spans="1:22">
      <c r="A13" s="2610"/>
      <c r="B13" s="2611"/>
      <c r="C13" s="2615" t="s">
        <v>1581</v>
      </c>
      <c r="D13" s="2616"/>
      <c r="E13" s="2617"/>
      <c r="F13" s="2603"/>
      <c r="G13" s="2604"/>
      <c r="H13" s="2550"/>
      <c r="I13" s="2551"/>
      <c r="J13" s="2583"/>
      <c r="K13" s="2594"/>
      <c r="L13" s="2595" t="s">
        <v>1582</v>
      </c>
      <c r="M13" s="2596"/>
      <c r="N13" s="2566"/>
      <c r="O13" s="2566"/>
      <c r="P13" s="2566"/>
      <c r="Q13" s="2566">
        <v>365</v>
      </c>
      <c r="R13" s="2597">
        <f t="shared" si="0"/>
        <v>0</v>
      </c>
      <c r="S13" s="2543"/>
      <c r="T13" s="2543"/>
      <c r="U13" s="2543"/>
      <c r="V13" s="2551"/>
    </row>
    <row r="14" s="2527" customFormat="1" customHeight="1" spans="1:22">
      <c r="A14" s="2610" t="s">
        <v>1583</v>
      </c>
      <c r="B14" s="2611" t="s">
        <v>1584</v>
      </c>
      <c r="C14" s="2612"/>
      <c r="D14" s="2613">
        <f>ROUND(E14*B5/10000,0)</f>
        <v>0</v>
      </c>
      <c r="E14" s="2618"/>
      <c r="F14" s="2603" t="s">
        <v>1585</v>
      </c>
      <c r="G14" s="2604"/>
      <c r="H14" s="2550"/>
      <c r="I14" s="2551"/>
      <c r="J14" s="2583"/>
      <c r="K14" s="2619"/>
      <c r="L14" s="2620" t="s">
        <v>1586</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1587</v>
      </c>
      <c r="B15" s="2624" t="s">
        <v>771</v>
      </c>
      <c r="C15" s="2612"/>
      <c r="D15" s="2613">
        <f>IF(F15="酒店",E48*(1+E15),IF(F15="购物中心",E67*(1+E15),IF(F15="按比例计算-酒店",E46,E65)))</f>
        <v>0</v>
      </c>
      <c r="E15" s="2614">
        <f>'数据-取费表'!B44</f>
        <v>0.1</v>
      </c>
      <c r="F15" s="2625"/>
      <c r="G15" s="2626"/>
      <c r="H15" s="2550"/>
      <c r="I15" s="2551"/>
      <c r="J15" s="2583">
        <v>2</v>
      </c>
      <c r="K15" s="2584" t="s">
        <v>1588</v>
      </c>
      <c r="L15" s="2595" t="s">
        <v>1589</v>
      </c>
      <c r="M15" s="2627" t="s">
        <v>1590</v>
      </c>
      <c r="N15" s="2627" t="s">
        <v>1591</v>
      </c>
      <c r="O15" s="2628" t="s">
        <v>1592</v>
      </c>
      <c r="P15" s="2628" t="s">
        <v>1556</v>
      </c>
      <c r="Q15" s="2629" t="s">
        <v>124</v>
      </c>
      <c r="R15" s="2630" t="s">
        <v>1557</v>
      </c>
      <c r="S15" s="2543"/>
      <c r="T15" s="2543"/>
      <c r="U15" s="2543"/>
      <c r="V15" s="2551"/>
    </row>
    <row r="16" s="2527" customFormat="1" customHeight="1" spans="1:22">
      <c r="A16" s="2610" t="s">
        <v>1593</v>
      </c>
      <c r="B16" s="2611" t="s">
        <v>1594</v>
      </c>
      <c r="C16" s="2612"/>
      <c r="D16" s="2631">
        <f>D6*E16</f>
        <v>0</v>
      </c>
      <c r="E16" s="2632"/>
      <c r="F16" s="2607" t="s">
        <v>1595</v>
      </c>
      <c r="G16" s="2582"/>
      <c r="H16" s="2550"/>
      <c r="I16" s="2551"/>
      <c r="J16" s="2583"/>
      <c r="K16" s="2594"/>
      <c r="L16" s="2595" t="s">
        <v>1596</v>
      </c>
      <c r="M16" s="2596"/>
      <c r="N16" s="2596"/>
      <c r="O16" s="2566"/>
      <c r="P16" s="2566">
        <v>365</v>
      </c>
      <c r="Q16" s="2566"/>
      <c r="R16" s="2597">
        <f>ROUND(M16*N16*O16*P16/10000,0)</f>
        <v>0</v>
      </c>
      <c r="S16" s="2543"/>
      <c r="T16" s="2543"/>
      <c r="U16" s="2543"/>
      <c r="V16" s="2551"/>
    </row>
    <row r="17" s="2527" customFormat="1" customHeight="1" spans="1:22">
      <c r="A17" s="2633">
        <v>4</v>
      </c>
      <c r="B17" s="2634" t="s">
        <v>1597</v>
      </c>
      <c r="C17" s="2635"/>
      <c r="D17" s="2636">
        <f>ROUND(D6*E17,0)</f>
        <v>0</v>
      </c>
      <c r="E17" s="2637"/>
      <c r="F17" s="2638" t="s">
        <v>1598</v>
      </c>
      <c r="G17" s="2582"/>
      <c r="H17" s="2550"/>
      <c r="I17" s="2551"/>
      <c r="J17" s="2583"/>
      <c r="K17" s="2594"/>
      <c r="L17" s="2595" t="s">
        <v>1599</v>
      </c>
      <c r="M17" s="2596"/>
      <c r="N17" s="2596"/>
      <c r="O17" s="2566"/>
      <c r="P17" s="2566">
        <v>365</v>
      </c>
      <c r="Q17" s="2566"/>
      <c r="R17" s="2597">
        <f>ROUND(M17*N17*O17*P17/10000,0)</f>
        <v>0</v>
      </c>
      <c r="S17" s="2543"/>
      <c r="T17" s="2543"/>
      <c r="U17" s="2543"/>
      <c r="V17" s="2551"/>
    </row>
    <row r="18" s="2527" customFormat="1" customHeight="1" spans="1:22">
      <c r="A18" s="2587" t="s">
        <v>1600</v>
      </c>
      <c r="B18" s="2588"/>
      <c r="C18" s="2588"/>
      <c r="D18" s="2639">
        <f>ROUND(D6*E18,0)</f>
        <v>0</v>
      </c>
      <c r="E18" s="2640"/>
      <c r="F18" s="2641" t="s">
        <v>1601</v>
      </c>
      <c r="G18" s="2582"/>
      <c r="H18" s="2550"/>
      <c r="I18" s="2551"/>
      <c r="J18" s="2583"/>
      <c r="K18" s="2594"/>
      <c r="L18" s="2595" t="s">
        <v>1602</v>
      </c>
      <c r="M18" s="2596"/>
      <c r="N18" s="2596"/>
      <c r="O18" s="2566"/>
      <c r="P18" s="2566">
        <v>365</v>
      </c>
      <c r="Q18" s="2566"/>
      <c r="R18" s="2597">
        <f>ROUND(M18*N18*O18*P18/10000,0)</f>
        <v>0</v>
      </c>
      <c r="S18" s="2543"/>
      <c r="T18" s="2543"/>
      <c r="U18" s="2543"/>
      <c r="V18" s="2551"/>
    </row>
    <row r="19" s="2527" customFormat="1" customHeight="1" spans="1:22">
      <c r="A19" s="2642" t="s">
        <v>1603</v>
      </c>
      <c r="B19" s="2643"/>
      <c r="C19" s="2643"/>
      <c r="D19" s="2643"/>
      <c r="E19" s="2643"/>
      <c r="F19" s="2581"/>
      <c r="G19" s="2604"/>
      <c r="H19" s="2550"/>
      <c r="I19" s="2551"/>
      <c r="J19" s="2583"/>
      <c r="K19" s="2619"/>
      <c r="L19" s="2620" t="s">
        <v>1586</v>
      </c>
      <c r="M19" s="2621"/>
      <c r="N19" s="2621">
        <f>SUM(N16:N18)</f>
        <v>0</v>
      </c>
      <c r="O19" s="2622"/>
      <c r="P19" s="2644" t="s">
        <v>1604</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1605</v>
      </c>
      <c r="L20" s="2595" t="s">
        <v>1606</v>
      </c>
      <c r="M20" s="2627" t="s">
        <v>1607</v>
      </c>
      <c r="N20" s="2647" t="s">
        <v>1608</v>
      </c>
      <c r="O20" s="2628" t="s">
        <v>1609</v>
      </c>
      <c r="P20" s="2648" t="s">
        <v>1556</v>
      </c>
      <c r="Q20" s="2629" t="s">
        <v>124</v>
      </c>
      <c r="R20" s="2630" t="s">
        <v>1557</v>
      </c>
      <c r="S20" s="2649"/>
      <c r="T20" s="2649"/>
      <c r="U20" s="2649"/>
      <c r="V20" s="2551"/>
    </row>
    <row r="21" s="2527" customFormat="1" customHeight="1" spans="1:22">
      <c r="A21" s="2587"/>
      <c r="B21" s="2588"/>
      <c r="C21" s="2599" t="s">
        <v>1610</v>
      </c>
      <c r="D21" s="2650" t="s">
        <v>1611</v>
      </c>
      <c r="E21" s="2600" t="s">
        <v>1612</v>
      </c>
      <c r="F21" s="2646"/>
      <c r="G21" s="2604"/>
      <c r="H21" s="2550"/>
      <c r="I21" s="2551"/>
      <c r="J21" s="2583"/>
      <c r="K21" s="2594"/>
      <c r="L21" s="2595" t="s">
        <v>1613</v>
      </c>
      <c r="M21" s="2596"/>
      <c r="N21" s="2596"/>
      <c r="O21" s="2566"/>
      <c r="P21" s="2566">
        <v>365</v>
      </c>
      <c r="Q21" s="2566"/>
      <c r="R21" s="2651">
        <f>ROUND(M21*N21*O21*P21/10000,0)</f>
        <v>0</v>
      </c>
      <c r="S21" s="2649"/>
      <c r="T21" s="2649"/>
      <c r="U21" s="2649"/>
      <c r="V21" s="2551"/>
    </row>
    <row r="22" s="2527" customFormat="1" customHeight="1" spans="1:22">
      <c r="A22" s="2587"/>
      <c r="B22" s="2588"/>
      <c r="C22" s="2652" t="s">
        <v>1614</v>
      </c>
      <c r="D22" s="2653" t="s">
        <v>1615</v>
      </c>
      <c r="E22" s="2654" t="s">
        <v>1616</v>
      </c>
      <c r="F22" s="2646"/>
      <c r="G22" s="2655"/>
      <c r="H22" s="2550"/>
      <c r="I22" s="2551"/>
      <c r="J22" s="2583"/>
      <c r="K22" s="2594"/>
      <c r="L22" s="2595" t="s">
        <v>1617</v>
      </c>
      <c r="M22" s="2596"/>
      <c r="N22" s="2596"/>
      <c r="O22" s="2566"/>
      <c r="P22" s="2566">
        <v>365</v>
      </c>
      <c r="Q22" s="2566"/>
      <c r="R22" s="2651">
        <f>ROUND(M22*N22*O22*P22/10000,0)</f>
        <v>0</v>
      </c>
      <c r="S22" s="2649"/>
      <c r="T22" s="2649"/>
      <c r="U22" s="2649"/>
      <c r="V22" s="2551"/>
    </row>
    <row r="23" s="2527" customFormat="1" customHeight="1" spans="1:22">
      <c r="A23" s="2656">
        <v>1</v>
      </c>
      <c r="B23" s="2657" t="s">
        <v>1618</v>
      </c>
      <c r="C23" s="2658">
        <f>D6</f>
        <v>0</v>
      </c>
      <c r="D23" s="2659">
        <f>C23*(1+D24)</f>
        <v>0</v>
      </c>
      <c r="E23" s="2660">
        <f>D23*(1+E24)</f>
        <v>0</v>
      </c>
      <c r="F23" s="2661"/>
      <c r="G23" s="2662"/>
      <c r="H23" s="2550"/>
      <c r="I23" s="2551"/>
      <c r="J23" s="2583"/>
      <c r="K23" s="2594"/>
      <c r="L23" s="2595" t="s">
        <v>1619</v>
      </c>
      <c r="M23" s="2596"/>
      <c r="N23" s="2596"/>
      <c r="O23" s="2566"/>
      <c r="P23" s="2566">
        <v>365</v>
      </c>
      <c r="Q23" s="2566"/>
      <c r="R23" s="2651">
        <f>ROUND(M23*N23*O23*P23/10000,0)</f>
        <v>0</v>
      </c>
      <c r="S23" s="2543"/>
      <c r="T23" s="2543"/>
      <c r="U23" s="2543"/>
      <c r="V23" s="2551"/>
    </row>
    <row r="24" s="2527" customFormat="1" customHeight="1" spans="1:22">
      <c r="A24" s="2663"/>
      <c r="B24" s="2664" t="s">
        <v>1620</v>
      </c>
      <c r="C24" s="2658"/>
      <c r="D24" s="2665"/>
      <c r="E24" s="2666"/>
      <c r="F24" s="2667"/>
      <c r="G24" s="2662"/>
      <c r="H24" s="2550"/>
      <c r="I24" s="2551"/>
      <c r="J24" s="2583"/>
      <c r="K24" s="2619"/>
      <c r="L24" s="2620" t="s">
        <v>1586</v>
      </c>
      <c r="M24" s="2621">
        <f>SUM(M21:M23)</f>
        <v>0</v>
      </c>
      <c r="N24" s="2621"/>
      <c r="O24" s="2622"/>
      <c r="P24" s="2644" t="s">
        <v>1604</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1621</v>
      </c>
      <c r="L25" s="2669"/>
      <c r="M25" s="2669"/>
      <c r="N25" s="2669"/>
      <c r="O25" s="2669"/>
      <c r="P25" s="2670"/>
      <c r="Q25" s="2671">
        <v>0</v>
      </c>
      <c r="R25" s="2645">
        <f>ROUND(R14*Q25,0)</f>
        <v>0</v>
      </c>
      <c r="S25" s="2543"/>
      <c r="T25" s="2543"/>
      <c r="U25" s="2543"/>
      <c r="V25" s="2672"/>
    </row>
    <row r="26" s="2528" customFormat="1" customHeight="1" spans="1:22">
      <c r="A26" s="2656">
        <v>2</v>
      </c>
      <c r="B26" s="2657" t="s">
        <v>1622</v>
      </c>
      <c r="C26" s="2658">
        <f>D7</f>
        <v>0</v>
      </c>
      <c r="D26" s="2673">
        <f>D23*D27</f>
        <v>0</v>
      </c>
      <c r="E26" s="2674">
        <f>E23*E27</f>
        <v>0</v>
      </c>
      <c r="F26" s="2661"/>
      <c r="G26" s="2662"/>
      <c r="H26" s="2550"/>
      <c r="I26" s="2551"/>
      <c r="J26" s="2675">
        <v>5</v>
      </c>
      <c r="K26" s="2676" t="s">
        <v>1623</v>
      </c>
      <c r="L26" s="2677"/>
      <c r="M26" s="2678"/>
      <c r="N26" s="2679" t="s">
        <v>526</v>
      </c>
      <c r="O26" s="2679" t="s">
        <v>1624</v>
      </c>
      <c r="P26" s="2680" t="s">
        <v>1625</v>
      </c>
      <c r="Q26" s="2680" t="s">
        <v>1626</v>
      </c>
      <c r="R26" s="2564" t="s">
        <v>1557</v>
      </c>
      <c r="S26" s="2681"/>
      <c r="T26" s="2681"/>
      <c r="U26" s="2681"/>
      <c r="V26" s="2672"/>
    </row>
    <row r="27" s="2527" customFormat="1" customHeight="1" spans="1:22">
      <c r="A27" s="2663"/>
      <c r="B27" s="2664" t="s">
        <v>1627</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1628</v>
      </c>
      <c r="F28" s="2667"/>
      <c r="G28" s="2655"/>
      <c r="H28" s="2683"/>
      <c r="I28" s="2672"/>
      <c r="J28" s="2689">
        <v>6</v>
      </c>
      <c r="K28" s="2690" t="s">
        <v>1629</v>
      </c>
      <c r="L28" s="2691" t="s">
        <v>1630</v>
      </c>
      <c r="M28" s="2692"/>
      <c r="N28" s="2691" t="s">
        <v>1631</v>
      </c>
      <c r="O28" s="2693"/>
      <c r="P28" s="2691" t="s">
        <v>1632</v>
      </c>
      <c r="Q28" s="2694">
        <v>0.015</v>
      </c>
      <c r="R28" s="2695"/>
      <c r="S28" s="2649"/>
      <c r="T28" s="2649"/>
      <c r="U28" s="2649"/>
      <c r="V28" s="2672"/>
    </row>
    <row r="29" s="2528" customFormat="1" customHeight="1" spans="1:22">
      <c r="A29" s="2656">
        <v>3</v>
      </c>
      <c r="B29" s="2657" t="s">
        <v>1633</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1627</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1634</v>
      </c>
      <c r="K31" s="2541"/>
      <c r="L31" s="2541"/>
      <c r="M31" s="2541"/>
      <c r="N31" s="2541"/>
      <c r="O31" s="2541"/>
      <c r="P31" s="2541"/>
      <c r="Q31" s="2541"/>
      <c r="R31" s="2542"/>
      <c r="S31" s="2649"/>
      <c r="T31" s="2543"/>
      <c r="U31" s="2543"/>
      <c r="V31" s="2672"/>
    </row>
    <row r="32" s="2528" customFormat="1" customHeight="1" spans="1:22">
      <c r="A32" s="2656">
        <v>4</v>
      </c>
      <c r="B32" s="2657" t="s">
        <v>1635</v>
      </c>
      <c r="C32" s="2658">
        <f>C23-C26-C29</f>
        <v>0</v>
      </c>
      <c r="D32" s="2673">
        <f>D23-D26-D29</f>
        <v>0</v>
      </c>
      <c r="E32" s="2674">
        <f>E23-E26-E29</f>
        <v>0</v>
      </c>
      <c r="F32" s="2661"/>
      <c r="G32" s="2655"/>
      <c r="H32" s="2550"/>
      <c r="I32" s="2551"/>
      <c r="J32" s="2552" t="s">
        <v>1536</v>
      </c>
      <c r="K32" s="2553"/>
      <c r="L32" s="2554" t="s">
        <v>1537</v>
      </c>
      <c r="M32" s="2554" t="s">
        <v>1538</v>
      </c>
      <c r="N32" s="2554" t="s">
        <v>1539</v>
      </c>
      <c r="O32" s="2554" t="s">
        <v>1540</v>
      </c>
      <c r="P32" s="2554" t="s">
        <v>1541</v>
      </c>
      <c r="Q32" s="2555" t="s">
        <v>1542</v>
      </c>
      <c r="R32" s="2698" t="s">
        <v>1543</v>
      </c>
      <c r="S32" s="2649"/>
      <c r="T32" s="2543"/>
      <c r="U32" s="2543"/>
      <c r="V32" s="2672"/>
    </row>
    <row r="33" s="2527" customFormat="1" customHeight="1" spans="1:23">
      <c r="A33" s="2656"/>
      <c r="B33" s="2657"/>
      <c r="C33" s="2658"/>
      <c r="D33" s="2699"/>
      <c r="E33" s="2700"/>
      <c r="F33" s="2661"/>
      <c r="G33" s="2655"/>
      <c r="H33" s="2683"/>
      <c r="I33" s="2672"/>
      <c r="J33" s="2560" t="s">
        <v>1544</v>
      </c>
      <c r="K33" s="2561"/>
      <c r="L33" s="2701"/>
      <c r="M33" s="2701"/>
      <c r="N33" s="2701"/>
      <c r="O33" s="2701"/>
      <c r="P33" s="2701"/>
      <c r="Q33" s="2702"/>
      <c r="R33" s="2703">
        <f>SUM(L33:Q33)</f>
        <v>0</v>
      </c>
      <c r="S33" s="2649"/>
      <c r="T33" s="2543"/>
      <c r="U33" s="2543"/>
      <c r="V33" s="2551"/>
    </row>
    <row r="34" s="2527" customFormat="1" customHeight="1" spans="1:23">
      <c r="A34" s="2656">
        <v>5</v>
      </c>
      <c r="B34" s="2657" t="s">
        <v>1636</v>
      </c>
      <c r="C34" s="2704"/>
      <c r="D34" s="2705"/>
      <c r="E34" s="2706"/>
      <c r="F34" s="2661"/>
      <c r="G34" s="2655"/>
      <c r="H34" s="2683"/>
      <c r="I34" s="2672"/>
      <c r="J34" s="2560" t="s">
        <v>1545</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1637</v>
      </c>
      <c r="C35" s="2697"/>
      <c r="D35" s="2665"/>
      <c r="E35" s="2666"/>
      <c r="F35" s="2661"/>
      <c r="G35" s="2710"/>
      <c r="H35" s="2550"/>
      <c r="I35" s="2672"/>
      <c r="J35" s="2573" t="s">
        <v>1547</v>
      </c>
      <c r="K35" s="2574"/>
      <c r="L35" s="2574"/>
      <c r="M35" s="2575"/>
      <c r="N35" s="2575"/>
      <c r="O35" s="2575"/>
      <c r="P35" s="2575"/>
      <c r="Q35" s="2575"/>
      <c r="R35" s="2711">
        <f>R40+R41+R43</f>
        <v>0</v>
      </c>
      <c r="S35" s="2649"/>
      <c r="T35" s="2543" t="s">
        <v>1548</v>
      </c>
      <c r="U35" s="2543"/>
      <c r="V35" s="2551"/>
    </row>
    <row r="36" s="2527" customFormat="1" customHeight="1" spans="1:23">
      <c r="A36" s="2656">
        <v>7</v>
      </c>
      <c r="B36" s="2712" t="s">
        <v>1638</v>
      </c>
      <c r="C36" s="2713"/>
      <c r="D36" s="2714"/>
      <c r="E36" s="2715"/>
      <c r="F36" s="2716">
        <f>C36+D36+E36</f>
        <v>0</v>
      </c>
      <c r="G36" s="2655"/>
      <c r="H36" s="2550"/>
      <c r="I36" s="2551"/>
      <c r="J36" s="2583">
        <v>1</v>
      </c>
      <c r="K36" s="2584" t="s">
        <v>1639</v>
      </c>
      <c r="L36" s="2585"/>
      <c r="M36" s="2586"/>
      <c r="N36" s="2586"/>
      <c r="O36" s="2586"/>
      <c r="P36" s="2586"/>
      <c r="Q36" s="2586"/>
      <c r="R36" s="2564" t="s">
        <v>1557</v>
      </c>
      <c r="S36" s="2649"/>
      <c r="T36" s="2543" t="s">
        <v>1558</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1561</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1568</v>
      </c>
      <c r="U38" s="2543"/>
      <c r="V38" s="2551"/>
    </row>
    <row r="39" s="2527" customFormat="1" customHeight="1" spans="1:23">
      <c r="A39" s="2656">
        <v>9</v>
      </c>
      <c r="B39" s="2657" t="s">
        <v>1640</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1641</v>
      </c>
      <c r="C40" s="2720" t="e">
        <f>C39+D39+E39</f>
        <v>#DIV/0!</v>
      </c>
      <c r="D40" s="2721"/>
      <c r="E40" s="2721"/>
      <c r="F40" s="2722"/>
      <c r="G40" s="2655"/>
      <c r="H40" s="2550"/>
      <c r="I40" s="2551"/>
      <c r="J40" s="2583"/>
      <c r="K40" s="2619"/>
      <c r="L40" s="2620" t="s">
        <v>1586</v>
      </c>
      <c r="M40" s="2621"/>
      <c r="N40" s="2621"/>
      <c r="O40" s="2622"/>
      <c r="P40" s="2622"/>
      <c r="Q40" s="2723"/>
      <c r="R40" s="2724">
        <f>SUM(R37:R39)</f>
        <v>0</v>
      </c>
      <c r="S40" s="2649"/>
      <c r="T40" s="2543"/>
      <c r="U40" s="2543"/>
      <c r="V40" s="2551"/>
    </row>
    <row r="41" s="2527" customFormat="1" customHeight="1" spans="1:23">
      <c r="A41" s="2725">
        <v>11</v>
      </c>
      <c r="B41" s="2726" t="s">
        <v>1642</v>
      </c>
      <c r="C41" s="2727" t="e">
        <f>ROUND(C40*10000/B4,0)</f>
        <v>#DIV/0!</v>
      </c>
      <c r="D41" s="2728"/>
      <c r="E41" s="2728"/>
      <c r="F41" s="2729"/>
      <c r="G41" s="2730"/>
      <c r="H41" s="2550"/>
      <c r="I41" s="2551"/>
      <c r="J41" s="2583">
        <v>2</v>
      </c>
      <c r="K41" s="2668" t="s">
        <v>1621</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1623</v>
      </c>
      <c r="L42" s="2677"/>
      <c r="M42" s="2678"/>
      <c r="N42" s="2679" t="s">
        <v>526</v>
      </c>
      <c r="O42" s="2679" t="s">
        <v>1624</v>
      </c>
      <c r="P42" s="2680" t="s">
        <v>1625</v>
      </c>
      <c r="Q42" s="2680" t="s">
        <v>1626</v>
      </c>
      <c r="R42" s="2564" t="s">
        <v>1557</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1629</v>
      </c>
      <c r="L44" s="2732" t="s">
        <v>1630</v>
      </c>
      <c r="M44" s="2692"/>
      <c r="N44" s="2732" t="s">
        <v>1631</v>
      </c>
      <c r="O44" s="2733"/>
      <c r="P44" s="2732" t="s">
        <v>1632</v>
      </c>
      <c r="Q44" s="2694">
        <v>0.015</v>
      </c>
      <c r="R44" s="2695"/>
    </row>
    <row r="45" customHeight="1" spans="1:23">
      <c r="A45" s="2527"/>
      <c r="B45" s="2527"/>
      <c r="C45" s="2527"/>
      <c r="D45" s="2527"/>
      <c r="E45" s="2527"/>
      <c r="F45" s="2527"/>
      <c r="G45" s="2730"/>
      <c r="H45" s="2550"/>
    </row>
    <row r="46" ht="14" spans="1:23">
      <c r="A46" s="2734"/>
      <c r="B46" s="2734"/>
      <c r="C46" s="2735" t="s">
        <v>1643</v>
      </c>
      <c r="D46" s="2736" t="s">
        <v>1644</v>
      </c>
      <c r="E46" s="2737"/>
      <c r="F46" s="2738" t="s">
        <v>1645</v>
      </c>
      <c r="G46" s="2739"/>
      <c r="H46" s="2734"/>
      <c r="I46" s="2740"/>
    </row>
    <row r="47" customHeight="1" spans="1:23">
      <c r="A47" s="2734"/>
      <c r="B47" s="2734"/>
      <c r="C47" s="2741" t="s">
        <v>1562</v>
      </c>
      <c r="D47" s="2742" t="s">
        <v>1646</v>
      </c>
      <c r="E47" s="2743" t="s">
        <v>1647</v>
      </c>
      <c r="F47" s="2743" t="s">
        <v>1566</v>
      </c>
      <c r="G47" s="2744" t="s">
        <v>1648</v>
      </c>
      <c r="H47" s="2745"/>
      <c r="I47" s="2740"/>
    </row>
    <row r="48" customHeight="1" spans="1:23">
      <c r="A48" s="2745"/>
      <c r="B48" s="2745"/>
      <c r="C48" s="2746">
        <v>1</v>
      </c>
      <c r="D48" s="2742" t="s">
        <v>1649</v>
      </c>
      <c r="E48" s="2747">
        <f>E49-E54</f>
        <v>0</v>
      </c>
      <c r="F48" s="2742"/>
      <c r="G48" s="2744"/>
      <c r="H48" s="2745"/>
      <c r="I48" s="2740"/>
    </row>
    <row r="49" customHeight="1" spans="1:9">
      <c r="A49" s="2745"/>
      <c r="B49" s="2745"/>
      <c r="C49" s="2746">
        <v>2</v>
      </c>
      <c r="D49" s="2742" t="s">
        <v>1650</v>
      </c>
      <c r="E49" s="2747">
        <f>SUM(E50:E53)</f>
        <v>0</v>
      </c>
      <c r="F49" s="2742"/>
      <c r="G49" s="2744"/>
      <c r="H49" s="2745"/>
      <c r="I49" s="2740"/>
    </row>
    <row r="50" customHeight="1" spans="1:9">
      <c r="A50" s="2745"/>
      <c r="B50" s="2745"/>
      <c r="C50" s="2748" t="s">
        <v>1651</v>
      </c>
      <c r="D50" s="2749" t="s">
        <v>1652</v>
      </c>
      <c r="E50" s="2750">
        <f>R14*G50/(1+G50)</f>
        <v>0</v>
      </c>
      <c r="F50" s="2751" t="s">
        <v>1653</v>
      </c>
      <c r="G50" s="2752">
        <v>0.06</v>
      </c>
      <c r="H50" s="2745"/>
      <c r="I50" s="2740"/>
    </row>
    <row r="51" customHeight="1" spans="1:9">
      <c r="A51" s="2745"/>
      <c r="B51" s="2745"/>
      <c r="C51" s="2748" t="s">
        <v>1654</v>
      </c>
      <c r="D51" s="2749" t="s">
        <v>1655</v>
      </c>
      <c r="E51" s="2750">
        <f>R19*G51/(1+G51)</f>
        <v>0</v>
      </c>
      <c r="F51" s="2751" t="s">
        <v>1656</v>
      </c>
      <c r="G51" s="2752">
        <v>0.06</v>
      </c>
      <c r="H51" s="2745"/>
      <c r="I51" s="2740"/>
    </row>
    <row r="52" customHeight="1" spans="1:9">
      <c r="A52" s="2745"/>
      <c r="B52" s="2745"/>
      <c r="C52" s="2748" t="s">
        <v>1657</v>
      </c>
      <c r="D52" s="2749" t="s">
        <v>1658</v>
      </c>
      <c r="E52" s="2750">
        <f>R24*G52/(1+R24)</f>
        <v>0</v>
      </c>
      <c r="F52" s="2751" t="s">
        <v>1659</v>
      </c>
      <c r="G52" s="2752">
        <v>0.09</v>
      </c>
      <c r="H52" s="2745"/>
      <c r="I52" s="2740"/>
    </row>
    <row r="53" customHeight="1" spans="1:9">
      <c r="A53" s="2745"/>
      <c r="B53" s="2745"/>
      <c r="C53" s="2748" t="s">
        <v>1660</v>
      </c>
      <c r="D53" s="2749" t="s">
        <v>1661</v>
      </c>
      <c r="E53" s="2750">
        <f>R27*G53/(1+G53)</f>
        <v>0</v>
      </c>
      <c r="F53" s="2751" t="s">
        <v>1659</v>
      </c>
      <c r="G53" s="2752">
        <v>0.09</v>
      </c>
      <c r="H53" s="2745"/>
      <c r="I53" s="2740"/>
    </row>
    <row r="54" customHeight="1" spans="1:9">
      <c r="A54" s="2745" t="s">
        <v>1662</v>
      </c>
      <c r="B54" s="2740"/>
      <c r="C54" s="2746">
        <v>3</v>
      </c>
      <c r="D54" s="2742" t="s">
        <v>1663</v>
      </c>
      <c r="E54" s="2747">
        <f>E55+E56+E60</f>
        <v>0</v>
      </c>
      <c r="F54" s="2742"/>
      <c r="G54" s="2744"/>
      <c r="H54" s="2745"/>
      <c r="I54" s="2740"/>
    </row>
    <row r="55" customHeight="1" spans="1:9">
      <c r="A55" s="2753">
        <v>0.05</v>
      </c>
      <c r="B55" s="2754" t="s">
        <v>1664</v>
      </c>
      <c r="C55" s="2748" t="s">
        <v>1651</v>
      </c>
      <c r="D55" s="2749" t="s">
        <v>1665</v>
      </c>
      <c r="E55" s="2750">
        <f>D9*G55/(1+G55)</f>
        <v>0</v>
      </c>
      <c r="F55" s="2755" t="s">
        <v>1666</v>
      </c>
      <c r="G55" s="2752">
        <v>0.13</v>
      </c>
      <c r="H55" s="2745"/>
      <c r="I55" s="2740"/>
    </row>
    <row r="56" customHeight="1" spans="1:9">
      <c r="A56" s="2753">
        <f>SUM(A57:A59)</f>
        <v>0.39</v>
      </c>
      <c r="B56" s="2754"/>
      <c r="C56" s="2748" t="s">
        <v>1654</v>
      </c>
      <c r="D56" s="2749" t="s">
        <v>1667</v>
      </c>
      <c r="E56" s="2750">
        <f>SUM(E57:E59)</f>
        <v>0</v>
      </c>
      <c r="F56" s="2751"/>
      <c r="G56" s="2756"/>
      <c r="H56" s="2745" t="s">
        <v>1668</v>
      </c>
      <c r="I56" s="2745" t="s">
        <v>1669</v>
      </c>
    </row>
    <row r="57" customHeight="1" spans="1:9">
      <c r="A57" s="2753">
        <v>0.25</v>
      </c>
      <c r="B57" s="2754" t="s">
        <v>1670</v>
      </c>
      <c r="C57" s="2757" t="s">
        <v>1671</v>
      </c>
      <c r="D57" s="2758" t="s">
        <v>1672</v>
      </c>
      <c r="E57" s="2759">
        <v>0</v>
      </c>
      <c r="F57" s="2760"/>
      <c r="G57" s="2761" t="s">
        <v>1673</v>
      </c>
      <c r="H57" s="2762">
        <v>0.65</v>
      </c>
      <c r="I57" s="2763">
        <f>A57/SUM(A57:A59)</f>
        <v>0.641025641025641</v>
      </c>
    </row>
    <row r="58" customHeight="1" spans="1:9">
      <c r="A58" s="2753">
        <v>0.06</v>
      </c>
      <c r="B58" s="2754" t="s">
        <v>1674</v>
      </c>
      <c r="C58" s="2757" t="s">
        <v>1675</v>
      </c>
      <c r="D58" s="2764" t="s">
        <v>1676</v>
      </c>
      <c r="E58" s="2759">
        <f>D10*H58*G58/(1+G58)</f>
        <v>0</v>
      </c>
      <c r="F58" s="2760" t="s">
        <v>1677</v>
      </c>
      <c r="G58" s="2765">
        <v>0.09</v>
      </c>
      <c r="H58" s="2762">
        <v>0.15</v>
      </c>
      <c r="I58" s="2763">
        <f>A58/SUM(A57:A59)</f>
        <v>0.153846153846154</v>
      </c>
    </row>
    <row r="59" customHeight="1" spans="1:9">
      <c r="A59" s="2753">
        <v>0.08</v>
      </c>
      <c r="B59" s="2754" t="s">
        <v>1678</v>
      </c>
      <c r="C59" s="2757" t="s">
        <v>1679</v>
      </c>
      <c r="D59" s="2758" t="s">
        <v>1680</v>
      </c>
      <c r="E59" s="2759">
        <f>D10*H59*G59/(1+G59)</f>
        <v>0</v>
      </c>
      <c r="F59" s="2760" t="s">
        <v>1681</v>
      </c>
      <c r="G59" s="2765">
        <v>0.06</v>
      </c>
      <c r="H59" s="2762">
        <v>0.2</v>
      </c>
      <c r="I59" s="2763">
        <f>1-I57-I58</f>
        <v>0.205128205128205</v>
      </c>
    </row>
    <row r="60" customHeight="1" spans="1:9">
      <c r="A60" s="2753">
        <f>SUM(A61:A62)</f>
        <v>0.1</v>
      </c>
      <c r="B60" s="2754"/>
      <c r="C60" s="2748" t="s">
        <v>1657</v>
      </c>
      <c r="D60" s="2749" t="s">
        <v>1682</v>
      </c>
      <c r="E60" s="2750">
        <f>SUM(E61:E62)</f>
        <v>0</v>
      </c>
      <c r="F60" s="2751"/>
      <c r="G60" s="2756"/>
      <c r="I60" s="2740"/>
    </row>
    <row r="61" customHeight="1" spans="1:9">
      <c r="A61" s="2753">
        <v>0.05</v>
      </c>
      <c r="B61" s="2754" t="s">
        <v>1664</v>
      </c>
      <c r="C61" s="2757" t="s">
        <v>1671</v>
      </c>
      <c r="D61" s="2758" t="s">
        <v>1683</v>
      </c>
      <c r="E61" s="2759">
        <f>D17*H61*G61/(1+G61)</f>
        <v>0</v>
      </c>
      <c r="F61" s="2760" t="s">
        <v>1681</v>
      </c>
      <c r="G61" s="2765">
        <v>0.06</v>
      </c>
      <c r="H61" s="2762">
        <v>0.5</v>
      </c>
      <c r="I61" s="2740"/>
    </row>
    <row r="62" customHeight="1" spans="1:9">
      <c r="A62" s="2753">
        <v>0.05</v>
      </c>
      <c r="B62" s="2754" t="s">
        <v>1645</v>
      </c>
      <c r="C62" s="2766" t="s">
        <v>1675</v>
      </c>
      <c r="D62" s="2767" t="s">
        <v>1684</v>
      </c>
      <c r="E62" s="2768">
        <f>D17*H62*G62/(1+G62)</f>
        <v>0</v>
      </c>
      <c r="F62" s="2769" t="s">
        <v>1685</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4" spans="1:9">
      <c r="A65" s="2745"/>
      <c r="B65" s="2745"/>
      <c r="C65" s="2735" t="s">
        <v>1686</v>
      </c>
      <c r="D65" s="2736" t="s">
        <v>1644</v>
      </c>
      <c r="E65" s="2775"/>
      <c r="F65" s="2738" t="s">
        <v>1687</v>
      </c>
      <c r="G65" s="2776"/>
      <c r="H65" s="2745"/>
      <c r="I65" s="2740"/>
    </row>
    <row r="66" spans="1:9">
      <c r="A66" s="2745"/>
      <c r="B66" s="2745"/>
      <c r="C66" s="2741" t="s">
        <v>1562</v>
      </c>
      <c r="D66" s="2742" t="s">
        <v>1646</v>
      </c>
      <c r="E66" s="2743" t="s">
        <v>1647</v>
      </c>
      <c r="F66" s="2743" t="s">
        <v>1566</v>
      </c>
      <c r="G66" s="2744" t="s">
        <v>1648</v>
      </c>
      <c r="H66" s="2745"/>
      <c r="I66" s="2740"/>
    </row>
    <row r="67" spans="1:9">
      <c r="A67" s="2745"/>
      <c r="B67" s="2745"/>
      <c r="C67" s="2746">
        <v>1</v>
      </c>
      <c r="D67" s="2742" t="s">
        <v>1649</v>
      </c>
      <c r="E67" s="2777">
        <f>E68-E73</f>
        <v>0</v>
      </c>
      <c r="F67" s="2742"/>
      <c r="G67" s="2744"/>
      <c r="H67" s="2745"/>
      <c r="I67" s="2740"/>
    </row>
    <row r="68" customHeight="1" spans="1:9">
      <c r="A68" s="2745"/>
      <c r="B68" s="2745"/>
      <c r="C68" s="2778">
        <v>2</v>
      </c>
      <c r="D68" s="2742" t="s">
        <v>1650</v>
      </c>
      <c r="E68" s="2777">
        <f>SUM(E69:E70)</f>
        <v>0</v>
      </c>
      <c r="F68" s="2742"/>
      <c r="G68" s="2744"/>
      <c r="H68" s="2745"/>
      <c r="I68" s="2740"/>
    </row>
    <row r="69" customHeight="1" spans="1:9">
      <c r="A69" s="2745"/>
      <c r="B69" s="2745"/>
      <c r="C69" s="2748" t="s">
        <v>1651</v>
      </c>
      <c r="D69" s="2749" t="s">
        <v>1688</v>
      </c>
      <c r="E69" s="2749"/>
      <c r="F69" s="2751" t="s">
        <v>1659</v>
      </c>
      <c r="G69" s="2752">
        <v>0.09</v>
      </c>
      <c r="H69" s="2745"/>
      <c r="I69" s="2740"/>
    </row>
    <row r="70" customHeight="1" spans="1:9">
      <c r="A70" s="2745"/>
      <c r="B70" s="2745"/>
      <c r="C70" s="2748" t="s">
        <v>1654</v>
      </c>
      <c r="D70" s="2749" t="s">
        <v>1689</v>
      </c>
      <c r="E70" s="2749"/>
      <c r="F70" s="2751" t="s">
        <v>1690</v>
      </c>
      <c r="G70" s="2752">
        <v>0.06</v>
      </c>
      <c r="H70" s="2745"/>
      <c r="I70" s="2740"/>
    </row>
    <row r="71" customHeight="1" spans="1:9">
      <c r="A71" s="2745" t="s">
        <v>1662</v>
      </c>
      <c r="B71" s="2745"/>
      <c r="C71" s="2778">
        <v>3</v>
      </c>
      <c r="D71" s="2742" t="s">
        <v>1663</v>
      </c>
      <c r="E71" s="2777">
        <f>E72+E77</f>
        <v>0</v>
      </c>
      <c r="F71" s="2742"/>
      <c r="G71" s="2744"/>
      <c r="H71" s="2745"/>
      <c r="I71" s="2740"/>
    </row>
    <row r="72" customHeight="1" spans="1:9">
      <c r="A72" s="2753">
        <v>0.05</v>
      </c>
      <c r="B72" s="2779"/>
      <c r="C72" s="2748" t="s">
        <v>1651</v>
      </c>
      <c r="D72" s="2749" t="s">
        <v>1665</v>
      </c>
      <c r="E72" s="2749">
        <f>D9*G72/(1+G72)</f>
        <v>0</v>
      </c>
      <c r="F72" s="2755" t="s">
        <v>1666</v>
      </c>
      <c r="G72" s="2752">
        <v>0.13</v>
      </c>
      <c r="H72" s="2745"/>
      <c r="I72" s="2740"/>
    </row>
    <row r="73" customHeight="1" spans="1:9">
      <c r="A73" s="2753">
        <f>SUM(A74:A76)</f>
        <v>0.2</v>
      </c>
      <c r="B73" s="2779"/>
      <c r="C73" s="2748" t="s">
        <v>1654</v>
      </c>
      <c r="D73" s="2749" t="s">
        <v>1667</v>
      </c>
      <c r="E73" s="2749">
        <f>SUM(E74:E76)</f>
        <v>0</v>
      </c>
      <c r="F73" s="2751"/>
      <c r="G73" s="2756"/>
      <c r="H73" s="2745" t="s">
        <v>1668</v>
      </c>
      <c r="I73" s="2745" t="s">
        <v>1669</v>
      </c>
    </row>
    <row r="74" customHeight="1" spans="1:9">
      <c r="A74" s="2753">
        <v>0.05</v>
      </c>
      <c r="B74" s="2779" t="s">
        <v>1691</v>
      </c>
      <c r="C74" s="2780" t="s">
        <v>1692</v>
      </c>
      <c r="D74" s="2758" t="s">
        <v>1672</v>
      </c>
      <c r="E74" s="2758">
        <v>0</v>
      </c>
      <c r="F74" s="2760"/>
      <c r="G74" s="2761" t="s">
        <v>1673</v>
      </c>
      <c r="H74" s="2762">
        <v>0.25</v>
      </c>
      <c r="I74" s="2763">
        <f>A74/SUM(A74:A76)</f>
        <v>0.25</v>
      </c>
    </row>
    <row r="75" customHeight="1" spans="1:9">
      <c r="A75" s="2753">
        <v>0.1</v>
      </c>
      <c r="B75" s="2779" t="s">
        <v>1693</v>
      </c>
      <c r="C75" s="2780" t="s">
        <v>1694</v>
      </c>
      <c r="D75" s="2764" t="s">
        <v>1676</v>
      </c>
      <c r="E75" s="2758">
        <f>D10*H75*G75/(1+G75)</f>
        <v>0</v>
      </c>
      <c r="F75" s="2760" t="s">
        <v>1677</v>
      </c>
      <c r="G75" s="2765">
        <v>0.09</v>
      </c>
      <c r="H75" s="2762">
        <v>0.5</v>
      </c>
      <c r="I75" s="2763">
        <f>A75/SUM(A74:A76)</f>
        <v>0.5</v>
      </c>
    </row>
    <row r="76" customHeight="1" spans="1:9">
      <c r="A76" s="2753">
        <v>0.05</v>
      </c>
      <c r="B76" s="2779" t="s">
        <v>1695</v>
      </c>
      <c r="C76" s="2780" t="s">
        <v>1696</v>
      </c>
      <c r="D76" s="2758" t="s">
        <v>1680</v>
      </c>
      <c r="E76" s="2758">
        <f>D10*H76*G76/(1+G76)</f>
        <v>0</v>
      </c>
      <c r="F76" s="2760" t="s">
        <v>1681</v>
      </c>
      <c r="G76" s="2765">
        <v>0.06</v>
      </c>
      <c r="H76" s="2762">
        <v>0.25</v>
      </c>
      <c r="I76" s="2763">
        <f>1-I74-I75</f>
        <v>0.25</v>
      </c>
    </row>
    <row r="77" customHeight="1" spans="1:9">
      <c r="A77" s="2753">
        <f>SUM(A78:A79)</f>
        <v>0.1</v>
      </c>
      <c r="B77" s="2779"/>
      <c r="C77" s="2748" t="s">
        <v>1657</v>
      </c>
      <c r="D77" s="2749" t="s">
        <v>1682</v>
      </c>
      <c r="E77" s="2749">
        <f>SUM(E78:E79)</f>
        <v>0</v>
      </c>
      <c r="F77" s="2751"/>
      <c r="G77" s="2756"/>
      <c r="I77" s="2740"/>
    </row>
    <row r="78" customHeight="1" spans="1:9">
      <c r="A78" s="2753">
        <v>0.05</v>
      </c>
      <c r="B78" s="2779" t="s">
        <v>1674</v>
      </c>
      <c r="C78" s="2780" t="s">
        <v>1692</v>
      </c>
      <c r="D78" s="2758" t="s">
        <v>1683</v>
      </c>
      <c r="E78" s="2758">
        <f>D17*H78*G78/(1+G78)</f>
        <v>0</v>
      </c>
      <c r="F78" s="2760" t="s">
        <v>1681</v>
      </c>
      <c r="G78" s="2765">
        <v>0.06</v>
      </c>
      <c r="H78" s="2762">
        <v>0.5</v>
      </c>
      <c r="I78" s="2740"/>
    </row>
    <row r="79" customHeight="1" spans="1:9">
      <c r="A79" s="2753">
        <v>0.05</v>
      </c>
      <c r="B79" s="2779" t="s">
        <v>1697</v>
      </c>
      <c r="C79" s="2781" t="s">
        <v>1694</v>
      </c>
      <c r="D79" s="2767" t="s">
        <v>1684</v>
      </c>
      <c r="E79" s="2767">
        <f>D17*H79*G79/(1+G79)</f>
        <v>0</v>
      </c>
      <c r="F79" s="2769" t="s">
        <v>1685</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1698</v>
      </c>
      <c r="B1" s="2501"/>
      <c r="C1" s="2501"/>
      <c r="D1" s="2501"/>
      <c r="E1" s="2502"/>
      <c r="F1" s="2503"/>
      <c r="G1" s="2504"/>
      <c r="H1" s="2504"/>
      <c r="I1" s="2504"/>
      <c r="J1" s="2504"/>
      <c r="K1" s="2504"/>
      <c r="L1" s="2504"/>
      <c r="M1" s="2504"/>
      <c r="N1" s="2504"/>
      <c r="O1" s="2504"/>
      <c r="P1" s="2504"/>
      <c r="Q1" s="2504"/>
      <c r="R1" s="2504"/>
      <c r="S1" s="2504"/>
    </row>
    <row r="2" ht="15" spans="1:22">
      <c r="A2" s="2505" t="s">
        <v>1105</v>
      </c>
      <c r="B2" s="2506">
        <f ca="1">SUMIF(B6:B13,"&lt;&gt;#ref!",B6:B13)</f>
        <v>14365</v>
      </c>
      <c r="C2" s="2507" t="s">
        <v>1699</v>
      </c>
      <c r="D2" s="2508" t="s">
        <v>1700</v>
      </c>
      <c r="E2" s="2509">
        <f>SUM(E6:E13)</f>
        <v>16724.51</v>
      </c>
      <c r="F2" s="2503"/>
      <c r="G2" s="2504"/>
      <c r="H2" s="2504"/>
      <c r="I2" s="2504"/>
      <c r="J2" s="2504"/>
      <c r="K2" s="2504"/>
      <c r="L2" s="2504"/>
      <c r="M2" s="2504"/>
      <c r="N2" s="2504"/>
      <c r="O2" s="2504"/>
      <c r="P2" s="2504"/>
      <c r="Q2" s="2504"/>
      <c r="R2" s="2504"/>
      <c r="S2" s="2504"/>
    </row>
    <row r="3" ht="15" spans="1:22">
      <c r="A3" s="2505" t="s">
        <v>1107</v>
      </c>
      <c r="B3" s="2510">
        <f ca="1">ROUND(B2*10000/E2,0)</f>
        <v>8589</v>
      </c>
      <c r="C3" s="2507" t="s">
        <v>1701</v>
      </c>
      <c r="D3" s="2511"/>
      <c r="E3" s="2512"/>
      <c r="F3" s="2503"/>
      <c r="G3" s="2504"/>
      <c r="H3" s="2504"/>
      <c r="I3" s="2504"/>
      <c r="J3" s="2504"/>
      <c r="K3" s="2504"/>
      <c r="L3" s="2504"/>
      <c r="M3" s="2504"/>
      <c r="N3" s="2504"/>
      <c r="O3" s="2504"/>
      <c r="P3" s="2504"/>
      <c r="Q3" s="2504"/>
      <c r="R3" s="2504"/>
      <c r="S3" s="2504"/>
    </row>
    <row r="4" ht="15.5" spans="1:22">
      <c r="A4" s="2513"/>
      <c r="B4" s="2511"/>
      <c r="C4" s="2511"/>
      <c r="D4" s="2511"/>
      <c r="E4" s="2512"/>
      <c r="F4" s="2503"/>
      <c r="G4" s="2504"/>
      <c r="H4" s="2504"/>
      <c r="I4" s="2504"/>
      <c r="J4" s="2504"/>
      <c r="K4" s="2504"/>
      <c r="L4" s="2504"/>
      <c r="M4" s="2504"/>
      <c r="N4" s="2504"/>
      <c r="O4" s="2504"/>
      <c r="P4" s="2504"/>
      <c r="Q4" s="2504"/>
      <c r="R4" s="2504"/>
      <c r="S4" s="2504"/>
    </row>
    <row r="5" spans="1:22">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22">
      <c r="A6" s="2520" t="str">
        <f>'数据-取费表'!AN6</f>
        <v>收益法</v>
      </c>
      <c r="B6" s="2521">
        <f ca="1">IF(F6="是",'数据-取费表'!AO6,0)</f>
        <v>14365</v>
      </c>
      <c r="C6" s="2507" t="s">
        <v>1699</v>
      </c>
      <c r="D6" s="2511"/>
      <c r="E6" s="2522">
        <f>IF(OR(A6=0,F6="否"),0,'数据-取费表'!K6+'数据-取费表'!S6)</f>
        <v>16724.51</v>
      </c>
      <c r="F6" s="2523" t="s">
        <v>1706</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1699</v>
      </c>
      <c r="D7" s="2511"/>
      <c r="E7" s="2522">
        <f>IF(OR(A7=0,F7="否"),0,'数据-取费表'!K7+'数据-取费表'!S7)</f>
        <v>0</v>
      </c>
      <c r="F7" s="2523" t="s">
        <v>1706</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1699</v>
      </c>
      <c r="D8" s="2511"/>
      <c r="E8" s="2522">
        <f>IF(OR(A8=0,F8="否"),0,'数据-取费表'!K8+'数据-取费表'!S8)</f>
        <v>0</v>
      </c>
      <c r="F8" s="2523" t="s">
        <v>1706</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1699</v>
      </c>
      <c r="D9" s="2511"/>
      <c r="E9" s="2522">
        <f>IF(OR(A9=0,F9="否"),0,'数据-取费表'!K9+'数据-取费表'!S9)</f>
        <v>0</v>
      </c>
      <c r="F9" s="2523" t="s">
        <v>1706</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1699</v>
      </c>
      <c r="D10" s="2511"/>
      <c r="E10" s="2522">
        <f>IF(OR(A10=0,F10="否"),0,'数据-取费表'!K10+'数据-取费表'!S10)</f>
        <v>0</v>
      </c>
      <c r="F10" s="2523" t="s">
        <v>1706</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1699</v>
      </c>
      <c r="D11" s="2511"/>
      <c r="E11" s="2522">
        <f>IF(OR(A11=0,F11="否"),0,'数据-取费表'!K11+'数据-取费表'!S11)</f>
        <v>0</v>
      </c>
      <c r="F11" s="2523" t="s">
        <v>1706</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1699</v>
      </c>
      <c r="D12" s="2511"/>
      <c r="E12" s="2522">
        <f>IF(OR(A12=0,F12="否"),0,'数据-取费表'!K12+'数据-取费表'!S12)</f>
        <v>0</v>
      </c>
      <c r="F12" s="2523" t="s">
        <v>1706</v>
      </c>
      <c r="G12" s="2504"/>
      <c r="H12" s="2504"/>
      <c r="I12" s="2504"/>
      <c r="J12" s="2504"/>
      <c r="K12" s="2504"/>
      <c r="L12" s="2504"/>
      <c r="M12" s="2504"/>
      <c r="N12" s="2504"/>
      <c r="O12" s="2504"/>
      <c r="P12" s="2504"/>
      <c r="Q12" s="2504"/>
      <c r="R12" s="2504"/>
      <c r="S12" s="2504"/>
    </row>
    <row r="13" ht="14.75" spans="1:22">
      <c r="A13" s="2524">
        <f>'数据-取费表'!AN13</f>
        <v>0</v>
      </c>
      <c r="B13" s="2521" t="e">
        <f ca="1">IF(F13="是",'数据-取费表'!AO13,0)</f>
        <v>#REF!</v>
      </c>
      <c r="C13" s="2525" t="s">
        <v>1699</v>
      </c>
      <c r="D13" s="2526"/>
      <c r="E13" s="2522">
        <f>IF(OR(A13=0,F13="否"),0,'数据-取费表'!K13+'数据-取费表'!S13)</f>
        <v>0</v>
      </c>
      <c r="F13" s="2523"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5"/>
  <cols>
    <col min="1" max="1" width="11.5" style="2371" customWidth="1"/>
    <col min="2" max="2" width="9.2545454545454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1707</v>
      </c>
      <c r="C1" s="2377" t="s">
        <v>1708</v>
      </c>
      <c r="D1" s="2378"/>
      <c r="E1" s="2378"/>
      <c r="F1" s="2378"/>
      <c r="G1" s="2378"/>
      <c r="H1" s="2378"/>
      <c r="I1" s="2378"/>
      <c r="J1" s="2378"/>
      <c r="K1" s="2378"/>
      <c r="L1" s="2378"/>
      <c r="M1" s="2378"/>
      <c r="N1" s="2378"/>
      <c r="O1" s="2378"/>
      <c r="P1" s="2378"/>
      <c r="Q1" s="2378"/>
      <c r="R1" s="2378"/>
      <c r="S1" s="2379"/>
      <c r="T1" s="2376" t="s">
        <v>1709</v>
      </c>
    </row>
    <row r="2" s="2365" customFormat="1" ht="13" spans="1:45">
      <c r="A2" s="2380"/>
      <c r="B2" s="2381" t="s">
        <v>526</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ht="13"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ht="13" spans="1:45">
      <c r="A5" s="2405"/>
      <c r="B5" s="2406" t="s">
        <v>1710</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ht="13" spans="1:45">
      <c r="A7" s="2405"/>
      <c r="B7" s="2419" t="s">
        <v>1711</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ht="13" spans="1:45">
      <c r="A9" s="2405"/>
      <c r="B9" s="2419" t="s">
        <v>1712</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7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ht="13" spans="1:45">
      <c r="A11" s="2405"/>
      <c r="B11" s="2406" t="s">
        <v>1713</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ht="13" spans="1:45">
      <c r="A13" s="2405"/>
      <c r="B13" s="2406" t="s">
        <v>1714</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7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ht="13" spans="1:45">
      <c r="A15" s="2405"/>
      <c r="B15" s="2406" t="s">
        <v>1715</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7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ht="13" spans="1:45">
      <c r="A17" s="2449" t="s">
        <v>1716</v>
      </c>
      <c r="B17" s="2450" t="s">
        <v>1717</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7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ht="13" spans="1:45">
      <c r="A19" s="2468"/>
      <c r="B19" s="2469"/>
      <c r="C19" s="2469"/>
      <c r="D19" s="2470" t="s">
        <v>1718</v>
      </c>
      <c r="E19" s="2471"/>
      <c r="F19" s="2471"/>
      <c r="G19" s="2471"/>
      <c r="H19" s="2472"/>
      <c r="I19" s="2469"/>
      <c r="J19" s="2469"/>
      <c r="K19" s="2469"/>
      <c r="L19" s="2469"/>
      <c r="M19" s="2469"/>
      <c r="N19" s="2469"/>
      <c r="O19" s="2469"/>
      <c r="P19" s="2469"/>
      <c r="Q19" s="2469"/>
      <c r="R19" s="2473"/>
      <c r="S19" s="2468"/>
    </row>
    <row r="20" ht="16.25" spans="1:45">
      <c r="A20" s="2474" t="s">
        <v>1719</v>
      </c>
      <c r="B20" s="2475" t="e">
        <f ca="1">IF(D20="——",S22,S22-F20)</f>
        <v>#REF!</v>
      </c>
      <c r="C20" s="2469"/>
      <c r="D20" s="2476"/>
      <c r="E20" s="2477"/>
      <c r="F20" s="2478" t="e">
        <f ca="1">SUMIF(INDIRECT("'"&amp;H20&amp;"'"&amp;"!A:A"),"承租人权益价值",INDIRECT("'"&amp;H20&amp;"'"&amp;"!c:c"))</f>
        <v>#REF!</v>
      </c>
      <c r="G20" s="2376" t="s">
        <v>880</v>
      </c>
      <c r="H20" s="2479"/>
      <c r="I20" s="2469"/>
      <c r="J20" s="2469"/>
      <c r="K20" s="2469"/>
      <c r="L20" s="2469"/>
      <c r="M20" s="2469"/>
      <c r="N20" s="2469"/>
      <c r="O20" s="2469"/>
      <c r="P20" s="2469"/>
      <c r="Q20" s="2469"/>
      <c r="R20" s="2473"/>
      <c r="S20" s="2468"/>
    </row>
    <row r="21" ht="15.5" spans="1:45">
      <c r="A21" s="2474" t="s">
        <v>1720</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ht="13" spans="1:45">
      <c r="A22" s="2480" t="s">
        <v>1721</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6" spans="1:45">
      <c r="A23" s="2484" t="s">
        <v>1722</v>
      </c>
      <c r="B23" s="2485" t="s">
        <v>526</v>
      </c>
      <c r="C23" s="2484" t="s">
        <v>1709</v>
      </c>
      <c r="D23" s="2486" t="str">
        <f>B5</f>
        <v>修正项2</v>
      </c>
      <c r="E23" s="2484" t="s">
        <v>1709</v>
      </c>
      <c r="F23" s="2486" t="str">
        <f>B7</f>
        <v>修正项3</v>
      </c>
      <c r="G23" s="2484" t="s">
        <v>1709</v>
      </c>
      <c r="H23" s="2486" t="str">
        <f>B9</f>
        <v>修正项4</v>
      </c>
      <c r="I23" s="2484" t="s">
        <v>1709</v>
      </c>
      <c r="J23" s="2486" t="str">
        <f>B11</f>
        <v>修正项5</v>
      </c>
      <c r="K23" s="2484" t="s">
        <v>1709</v>
      </c>
      <c r="L23" s="2486" t="str">
        <f>B13</f>
        <v>修正项6</v>
      </c>
      <c r="M23" s="2484" t="s">
        <v>1709</v>
      </c>
      <c r="N23" s="2486" t="str">
        <f>B15</f>
        <v>修正项7</v>
      </c>
      <c r="O23" s="2484" t="s">
        <v>1709</v>
      </c>
      <c r="P23" s="2486" t="str">
        <f>B17</f>
        <v>楼层</v>
      </c>
      <c r="Q23" s="2484" t="s">
        <v>1709</v>
      </c>
      <c r="R23" s="2487" t="s">
        <v>1723</v>
      </c>
      <c r="S23" s="2484" t="s">
        <v>1724</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ht="13" spans="1:45">
      <c r="A24" s="2489" t="s">
        <v>1725</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ht="13"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ht="13"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ht="13"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ht="13"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ht="13"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ht="13"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ht="13"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ht="13"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ht="1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ht="13"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ht="13"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ht="13"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ht="13"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ht="13"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ht="13"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ht="13"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ht="13"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ht="13"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ht="1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ht="13"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ht="13"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ht="13"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ht="13"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ht="13"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ht="13"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ht="13"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ht="13"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ht="13"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ht="1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ht="13"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ht="13"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ht="13"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ht="13"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ht="13"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ht="13"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ht="13"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ht="13"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ht="13"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ht="1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ht="13"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ht="13"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ht="13"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ht="13"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ht="13"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ht="13"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ht="13"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ht="13"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ht="13"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ht="1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ht="13"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ht="13"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ht="13"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ht="13"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ht="13"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ht="13"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ht="13"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ht="13"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ht="13"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ht="1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ht="13"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ht="13"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ht="13"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ht="13"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ht="13"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ht="13"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ht="13"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ht="13"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ht="13"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ht="1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ht="13"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ht="13"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ht="13"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ht="13"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ht="13"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ht="13"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ht="13"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ht="13"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ht="13"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ht="1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ht="13"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ht="13"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ht="13"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ht="13"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ht="13"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ht="13"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ht="13"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ht="13"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ht="13"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ht="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ht="13"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ht="13"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ht="13"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ht="13"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ht="13"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ht="13"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ht="13"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ht="13"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ht="13"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ht="1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ht="13"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ht="13"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ht="13"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ht="13"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ht="13"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ht="13"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ht="13"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ht="13"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ht="13"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ht="1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ht="13"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ht="13"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ht="13"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ht="13"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ht="13"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ht="13"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ht="13"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ht="13"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ht="13"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ht="1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ht="13"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ht="13"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ht="13"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ht="13"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ht="13"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ht="13"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ht="13"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ht="13"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ht="13"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ht="1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ht="13"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ht="13"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ht="13"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ht="13"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ht="13"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ht="13"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ht="13"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ht="13"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ht="13"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ht="1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ht="13"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ht="13"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ht="13"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ht="13"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ht="13"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ht="13"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ht="13"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ht="13"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ht="13"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ht="1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ht="13"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ht="13"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ht="13"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ht="13"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ht="13"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ht="13"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ht="13"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ht="13"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ht="13"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ht="1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ht="13"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ht="13"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ht="13"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ht="13"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ht="13"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ht="13"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ht="13"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ht="13"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ht="13"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ht="1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ht="13"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ht="13"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ht="13"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ht="13"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ht="13"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ht="13"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ht="13"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ht="13"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ht="13"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ht="1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ht="13"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ht="13"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ht="13"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ht="13"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ht="13"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ht="13"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ht="13"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ht="13"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ht="13"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ht="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ht="13"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ht="13"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ht="13"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ht="13"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ht="13"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ht="13"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ht="13"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ht="13"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ht="13"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ht="1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ht="13"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ht="13"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ht="13"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ht="13"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ht="13"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ht="13"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ht="13"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ht="13"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ht="13"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ht="1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ht="13"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ht="13"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ht="13"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ht="13"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ht="13"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ht="13"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ht="13"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ht="13"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ht="13"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ht="1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ht="13"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ht="13"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ht="13"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ht="13"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ht="13"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ht="13"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ht="13"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ht="13"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ht="13"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ht="1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ht="13"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ht="13"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ht="13"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ht="13"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ht="13"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ht="13"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ht="13"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ht="13"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ht="13"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ht="1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ht="13"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ht="13"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ht="13"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ht="13"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ht="13"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ht="13"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ht="13"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ht="13"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ht="13"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ht="1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ht="13"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ht="13"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ht="13"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ht="13"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ht="13"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ht="13"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ht="13"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ht="13"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ht="13"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ht="1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ht="13"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ht="13"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ht="13"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ht="13"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ht="13"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ht="13"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ht="13"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ht="13"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ht="13"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ht="1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ht="13"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ht="13"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ht="13"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ht="13"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ht="13"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ht="13"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ht="13"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ht="13"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ht="13"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ht="1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ht="13"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ht="13"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ht="13"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ht="13"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ht="13"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ht="13"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ht="13"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ht="13"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ht="13"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ht="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ht="13"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ht="13"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ht="13"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ht="13"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ht="13"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ht="13"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ht="13"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ht="13"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ht="13"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ht="1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ht="13"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ht="13"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ht="13"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ht="13"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ht="13"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ht="13"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ht="13"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ht="13"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ht="13"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ht="1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ht="13"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ht="13"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ht="13"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ht="13"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ht="13"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ht="13"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ht="13"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ht="13"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ht="13"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ht="1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ht="13"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ht="13"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ht="13"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ht="13"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ht="13"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ht="13"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ht="13"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ht="13"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ht="13"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ht="1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ht="13"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ht="13"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ht="13"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ht="13"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ht="13"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ht="13"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ht="13"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ht="13"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ht="13"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ht="1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ht="13"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ht="13"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ht="13"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ht="13"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ht="13"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ht="13"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ht="13"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ht="13"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ht="13"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ht="1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ht="13"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ht="13"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ht="13"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ht="13"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ht="13"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ht="13"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ht="13"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ht="13"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ht="13"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ht="1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ht="13"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ht="13"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ht="13"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ht="13"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ht="13"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ht="13"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ht="13"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ht="13"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ht="13"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ht="1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ht="13"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ht="13"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ht="13"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ht="13"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ht="13"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ht="13"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ht="13"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ht="13"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ht="13"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ht="1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ht="13"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ht="13"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ht="13"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ht="13"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ht="13"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ht="13"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ht="13"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ht="13"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ht="13"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ht="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ht="13"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ht="13"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ht="13"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ht="13"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ht="13"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ht="13"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ht="13"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ht="13"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ht="13"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ht="1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ht="13"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ht="13"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ht="13"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ht="13"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ht="13"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ht="13"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ht="13"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ht="13"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ht="13"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ht="1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ht="13"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ht="13"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ht="13"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ht="13"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ht="13"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ht="13"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ht="13"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ht="13"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ht="13"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ht="1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ht="13"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ht="13"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ht="13"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ht="13"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ht="13"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ht="13"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ht="13"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ht="13"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ht="13"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ht="1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ht="13"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ht="13"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ht="13"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ht="13"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ht="13"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ht="13"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ht="13"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ht="13"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ht="13"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ht="1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ht="13"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ht="13"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ht="13"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ht="13"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ht="13"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ht="13"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ht="13"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ht="13"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ht="13"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ht="1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ht="13"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ht="13"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ht="13"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ht="13"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ht="13"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ht="13"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ht="13"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ht="13"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ht="13"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ht="1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ht="13"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ht="13"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ht="13"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ht="13"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ht="13"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ht="13"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ht="13"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ht="13"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ht="13"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ht="1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ht="13"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ht="13"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ht="13"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ht="13"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ht="13"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ht="13"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ht="13"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ht="13"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ht="13"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ht="1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ht="13"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ht="13"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ht="13"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ht="13"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ht="13"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ht="13"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ht="13"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ht="13"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ht="13"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ht="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ht="13"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ht="13"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ht="13"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ht="13"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ht="13"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ht="13"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ht="13"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ht="13"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ht="13"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ht="1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ht="13"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66" t="s">
        <v>1727</v>
      </c>
      <c r="C1" s="1878" t="s">
        <v>1728</v>
      </c>
      <c r="D1" s="1871"/>
      <c r="E1" s="2218"/>
      <c r="F1" s="1873"/>
      <c r="G1" s="1874" t="s">
        <v>1729</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1105</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1106</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1107</v>
      </c>
      <c r="B3" s="1888">
        <f ca="1">IF(E2="——",C49,ROUND(B2*10000/D3,0))</f>
        <v>0</v>
      </c>
      <c r="C3" s="1889" t="s">
        <v>1730</v>
      </c>
      <c r="D3" s="2277">
        <f>IF(D1="",'数据-汇总表'!E3,SUMIF('数据-汇总表'!$C19:$C33,D1,'数据-汇总表'!$E19:$E33))</f>
        <v>16724.51</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spans="1:29">
      <c r="A4" s="1783" t="s">
        <v>1731</v>
      </c>
      <c r="B4" s="1784"/>
      <c r="C4" s="1393" t="s">
        <v>1732</v>
      </c>
      <c r="D4" s="1394"/>
      <c r="E4" s="1395" t="s">
        <v>1733</v>
      </c>
      <c r="F4" s="1396"/>
      <c r="G4" s="1393" t="s">
        <v>1734</v>
      </c>
      <c r="H4" s="1394"/>
      <c r="I4" s="1393" t="s">
        <v>1735</v>
      </c>
      <c r="J4" s="1394"/>
      <c r="K4" s="2281"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407" t="s">
        <v>1734</v>
      </c>
      <c r="AC4" s="1407" t="s">
        <v>1735</v>
      </c>
    </row>
    <row r="5" spans="1:29">
      <c r="A5" s="1786"/>
      <c r="B5" s="1787"/>
      <c r="C5" s="1410" t="s">
        <v>1738</v>
      </c>
      <c r="D5" s="1411"/>
      <c r="E5" s="1412" t="s">
        <v>1739</v>
      </c>
      <c r="F5" s="1413"/>
      <c r="G5" s="1410" t="s">
        <v>1740</v>
      </c>
      <c r="H5" s="1411"/>
      <c r="I5" s="1410" t="s">
        <v>1741</v>
      </c>
      <c r="J5" s="1411"/>
      <c r="K5" s="2282"/>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1742</v>
      </c>
      <c r="D6" s="1791"/>
      <c r="E6" s="1792" t="s">
        <v>1742</v>
      </c>
      <c r="F6" s="1793"/>
      <c r="G6" s="1790" t="s">
        <v>1742</v>
      </c>
      <c r="H6" s="1791"/>
      <c r="I6" s="1790" t="s">
        <v>1742</v>
      </c>
      <c r="J6" s="1791"/>
      <c r="K6" s="2282" t="s">
        <v>1743</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1744</v>
      </c>
      <c r="B7" s="1910"/>
      <c r="C7" s="1435">
        <f>'数据-取费表'!B2</f>
        <v>46029</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19" si="3">D8/F8</f>
        <v>1</v>
      </c>
      <c r="AB8" s="1451">
        <f t="shared" ref="AB8:AB19" si="4">D8/H8</f>
        <v>1</v>
      </c>
      <c r="AC8" s="1451">
        <f t="shared" ref="AC8:AC19" si="5">D8/J8</f>
        <v>1</v>
      </c>
    </row>
    <row r="9" s="1360" customFormat="1" spans="1:29">
      <c r="A9" s="1923" t="s">
        <v>1749</v>
      </c>
      <c r="B9" s="1457" t="s">
        <v>1750</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1756</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1757</v>
      </c>
      <c r="Q15" s="1058" t="str">
        <f t="shared" si="6"/>
        <v>居住社区成熟度</v>
      </c>
      <c r="R15" s="1501" t="s">
        <v>1746</v>
      </c>
      <c r="S15" s="1502">
        <f t="shared" si="0"/>
        <v>100</v>
      </c>
      <c r="T15" s="1501" t="s">
        <v>1746</v>
      </c>
      <c r="U15" s="1502">
        <f t="shared" si="1"/>
        <v>100</v>
      </c>
      <c r="V15" s="1501" t="s">
        <v>1746</v>
      </c>
      <c r="W15" s="1502">
        <f t="shared" si="2"/>
        <v>100</v>
      </c>
      <c r="X15" s="1404"/>
      <c r="Y15" s="1503" t="s">
        <v>1757</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1762</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1746</v>
      </c>
      <c r="S25" s="1502">
        <f t="shared" ref="S25:S46" si="12">F25</f>
        <v>100</v>
      </c>
      <c r="T25" s="1501" t="s">
        <v>1746</v>
      </c>
      <c r="U25" s="1502">
        <f t="shared" ref="U25:U46" si="13">H25</f>
        <v>100</v>
      </c>
      <c r="V25" s="1501" t="s">
        <v>1746</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1763</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1746</v>
      </c>
      <c r="S26" s="1502">
        <f t="shared" si="12"/>
        <v>100</v>
      </c>
      <c r="T26" s="1501" t="s">
        <v>1746</v>
      </c>
      <c r="U26" s="1502">
        <f t="shared" si="13"/>
        <v>100</v>
      </c>
      <c r="V26" s="1501" t="s">
        <v>1746</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1746</v>
      </c>
      <c r="S27" s="1447">
        <f t="shared" si="12"/>
        <v>100</v>
      </c>
      <c r="T27" s="1446" t="s">
        <v>1746</v>
      </c>
      <c r="U27" s="1447">
        <f t="shared" si="13"/>
        <v>100</v>
      </c>
      <c r="V27" s="1446" t="s">
        <v>1746</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1746</v>
      </c>
      <c r="S28" s="1502">
        <f t="shared" si="12"/>
        <v>100</v>
      </c>
      <c r="T28" s="1501" t="s">
        <v>1746</v>
      </c>
      <c r="U28" s="1502">
        <f t="shared" si="13"/>
        <v>100</v>
      </c>
      <c r="V28" s="1501" t="s">
        <v>1746</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8"/>
        <v>111</v>
      </c>
      <c r="AA30" s="1505">
        <f t="shared" si="15"/>
        <v>1</v>
      </c>
      <c r="AB30" s="1505">
        <f t="shared" si="16"/>
        <v>1</v>
      </c>
      <c r="AC30" s="1505">
        <f t="shared" si="17"/>
        <v>1</v>
      </c>
    </row>
    <row r="31" ht="16.2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8"/>
        <v>111</v>
      </c>
      <c r="AA31" s="1505">
        <f t="shared" si="15"/>
        <v>1</v>
      </c>
      <c r="AB31" s="1505">
        <f t="shared" si="16"/>
        <v>1</v>
      </c>
      <c r="AC31" s="1505">
        <f t="shared" si="17"/>
        <v>1</v>
      </c>
    </row>
    <row r="32" ht="15.5" spans="1:29">
      <c r="A32" s="1947" t="s">
        <v>1764</v>
      </c>
      <c r="B32" s="1457" t="s">
        <v>1765</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1766</v>
      </c>
      <c r="Q32" s="1058" t="str">
        <f t="shared" si="11"/>
        <v>建筑类型</v>
      </c>
      <c r="R32" s="1501" t="s">
        <v>1746</v>
      </c>
      <c r="S32" s="1502">
        <f t="shared" si="12"/>
        <v>100</v>
      </c>
      <c r="T32" s="1501" t="s">
        <v>1746</v>
      </c>
      <c r="U32" s="1502">
        <f t="shared" si="13"/>
        <v>100</v>
      </c>
      <c r="V32" s="1501" t="s">
        <v>1746</v>
      </c>
      <c r="W32" s="1502">
        <f t="shared" si="14"/>
        <v>100</v>
      </c>
      <c r="X32" s="1404"/>
      <c r="Y32" s="1540" t="s">
        <v>1766</v>
      </c>
      <c r="Z32" s="1504" t="str">
        <f t="shared" si="18"/>
        <v>建筑类型</v>
      </c>
      <c r="AA32" s="1505">
        <f t="shared" si="15"/>
        <v>1</v>
      </c>
      <c r="AB32" s="1505">
        <f t="shared" si="16"/>
        <v>1</v>
      </c>
      <c r="AC32" s="1505">
        <f t="shared" si="17"/>
        <v>1</v>
      </c>
    </row>
    <row r="33" s="1362" customFormat="1" ht="15.5" spans="1:29">
      <c r="A33" s="1992"/>
      <c r="B33" s="1466" t="s">
        <v>1767</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1768</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1769</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1746</v>
      </c>
      <c r="S35" s="1502">
        <f t="shared" si="12"/>
        <v>100</v>
      </c>
      <c r="T35" s="1501" t="s">
        <v>1746</v>
      </c>
      <c r="U35" s="1502">
        <f t="shared" si="13"/>
        <v>100</v>
      </c>
      <c r="V35" s="1501" t="s">
        <v>1746</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1770</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704</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1746</v>
      </c>
      <c r="S37" s="1447" t="e">
        <f t="shared" si="12"/>
        <v>#N/A</v>
      </c>
      <c r="T37" s="1446" t="s">
        <v>1746</v>
      </c>
      <c r="U37" s="1447" t="e">
        <f t="shared" si="13"/>
        <v>#N/A</v>
      </c>
      <c r="V37" s="1446" t="s">
        <v>1746</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1771</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1766</v>
      </c>
      <c r="Q38" s="1058" t="str">
        <f t="shared" si="11"/>
        <v>物业管理</v>
      </c>
      <c r="R38" s="1501" t="s">
        <v>1746</v>
      </c>
      <c r="S38" s="1502">
        <f t="shared" si="12"/>
        <v>100</v>
      </c>
      <c r="T38" s="1501" t="s">
        <v>1746</v>
      </c>
      <c r="U38" s="1502">
        <f t="shared" si="13"/>
        <v>100</v>
      </c>
      <c r="V38" s="1501" t="s">
        <v>1746</v>
      </c>
      <c r="W38" s="1502">
        <f t="shared" si="14"/>
        <v>100</v>
      </c>
      <c r="X38" s="1404"/>
      <c r="Y38" s="1540" t="s">
        <v>1766</v>
      </c>
      <c r="Z38" s="1504" t="str">
        <f t="shared" si="18"/>
        <v>物业管理</v>
      </c>
      <c r="AA38" s="1505">
        <f t="shared" si="15"/>
        <v>1</v>
      </c>
      <c r="AB38" s="1505">
        <f t="shared" si="16"/>
        <v>1</v>
      </c>
      <c r="AC38" s="1505">
        <f t="shared" si="17"/>
        <v>1</v>
      </c>
    </row>
    <row r="39" ht="15.5" spans="1:29">
      <c r="A39" s="1999"/>
      <c r="B39" s="1466" t="s">
        <v>1772</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1746</v>
      </c>
      <c r="S39" s="1502">
        <f t="shared" si="12"/>
        <v>100</v>
      </c>
      <c r="T39" s="1501" t="s">
        <v>1746</v>
      </c>
      <c r="U39" s="1502">
        <f t="shared" si="13"/>
        <v>100</v>
      </c>
      <c r="V39" s="1501" t="s">
        <v>1746</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1773</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1746</v>
      </c>
      <c r="S40" s="1502">
        <f t="shared" si="12"/>
        <v>100</v>
      </c>
      <c r="T40" s="1501" t="s">
        <v>1746</v>
      </c>
      <c r="U40" s="1502">
        <f t="shared" si="13"/>
        <v>100</v>
      </c>
      <c r="V40" s="1501" t="s">
        <v>1746</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1774</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1746</v>
      </c>
      <c r="S41" s="1550">
        <f t="shared" si="12"/>
        <v>100</v>
      </c>
      <c r="T41" s="1549" t="s">
        <v>1746</v>
      </c>
      <c r="U41" s="1550">
        <f t="shared" si="13"/>
        <v>100</v>
      </c>
      <c r="V41" s="1549" t="s">
        <v>1746</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1775</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8"/>
        <v>内部装修</v>
      </c>
      <c r="AA42" s="1505">
        <f t="shared" si="15"/>
        <v>1</v>
      </c>
      <c r="AB42" s="1505">
        <f t="shared" si="16"/>
        <v>1</v>
      </c>
      <c r="AC42" s="1505">
        <f t="shared" si="17"/>
        <v>1</v>
      </c>
    </row>
    <row r="43" ht="28" spans="1:29">
      <c r="A43" s="1999"/>
      <c r="B43" s="1466" t="s">
        <v>1776</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8"/>
        <v>111</v>
      </c>
      <c r="AA46" s="1505">
        <f t="shared" si="15"/>
        <v>1</v>
      </c>
      <c r="AB46" s="1505">
        <f t="shared" si="16"/>
        <v>1</v>
      </c>
      <c r="AC46" s="1505">
        <f t="shared" si="17"/>
        <v>1</v>
      </c>
    </row>
    <row r="47" spans="1:29">
      <c r="A47" s="1566" t="s">
        <v>1777</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75" spans="1:29">
      <c r="A57" s="1650" t="s">
        <v>1784</v>
      </c>
      <c r="B57" s="1578"/>
      <c r="C57" s="1651"/>
      <c r="D57" s="1651"/>
      <c r="E57" s="1651"/>
      <c r="F57" s="1652"/>
      <c r="G57" s="1652"/>
      <c r="H57" s="1651"/>
      <c r="I57" s="1651"/>
      <c r="J57" s="1651"/>
      <c r="K57" s="2091"/>
      <c r="L57" s="1847"/>
      <c r="M57" s="1655"/>
      <c r="N57" s="1655"/>
      <c r="O57" s="1655"/>
      <c r="P57" s="2309"/>
      <c r="Q57" s="2310"/>
    </row>
    <row r="58" s="1365" customFormat="1" spans="1:29">
      <c r="A58" s="2025" t="s">
        <v>1744</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spans="1:29">
      <c r="A59" s="2029"/>
      <c r="B59" s="2313"/>
      <c r="C59" s="2030">
        <v>100</v>
      </c>
      <c r="D59" s="2211"/>
      <c r="E59" s="1684"/>
      <c r="F59" s="1684"/>
      <c r="G59" s="1684"/>
      <c r="H59" s="1684"/>
      <c r="I59" s="1684"/>
      <c r="J59" s="1684"/>
      <c r="K59" s="1684"/>
      <c r="L59" s="1684"/>
      <c r="M59" s="2031"/>
      <c r="N59" s="1684"/>
      <c r="O59" s="2031"/>
      <c r="P59" s="2314"/>
    </row>
    <row r="60" s="1360" customFormat="1" ht="14.75" spans="1:29">
      <c r="A60" s="1669" t="s">
        <v>1785</v>
      </c>
      <c r="B60" s="1670"/>
      <c r="C60" s="1671"/>
      <c r="D60" s="1672"/>
      <c r="E60" s="1672"/>
      <c r="F60" s="1672"/>
      <c r="G60" s="1672"/>
      <c r="H60" s="1672"/>
      <c r="I60" s="1672"/>
      <c r="J60" s="1672"/>
      <c r="K60" s="1672"/>
      <c r="L60" s="1672"/>
      <c r="M60" s="1673"/>
      <c r="N60" s="1672"/>
      <c r="O60" s="1673"/>
      <c r="P60" s="2314"/>
      <c r="Q60" s="2310"/>
    </row>
    <row r="61" s="1360" customFormat="1" spans="1:29">
      <c r="A61" s="1675" t="s">
        <v>1747</v>
      </c>
      <c r="B61" s="1676"/>
      <c r="C61" s="1677" t="s">
        <v>1786</v>
      </c>
      <c r="D61" s="1678"/>
      <c r="E61" s="1678"/>
      <c r="F61" s="1678"/>
      <c r="G61" s="1678"/>
      <c r="H61" s="1678"/>
      <c r="I61" s="1678"/>
      <c r="J61" s="1678"/>
      <c r="K61" s="1678"/>
      <c r="L61" s="1679"/>
      <c r="M61" s="1680"/>
      <c r="N61" s="2157"/>
      <c r="O61" s="2157"/>
      <c r="P61" s="2315"/>
      <c r="Q61" s="2310"/>
    </row>
    <row r="62" s="1360" customFormat="1" ht="14.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1787</v>
      </c>
      <c r="B63" s="1687" t="s">
        <v>1750</v>
      </c>
      <c r="C63" s="1738">
        <f>C9</f>
        <v>0</v>
      </c>
      <c r="D63" s="1688"/>
      <c r="E63" s="1688"/>
      <c r="F63" s="1688"/>
      <c r="G63" s="1688"/>
      <c r="H63" s="1688"/>
      <c r="I63" s="1688"/>
      <c r="J63" s="1688"/>
      <c r="K63" s="1689"/>
      <c r="L63" s="1690"/>
      <c r="M63" s="1691"/>
      <c r="N63" s="2159"/>
      <c r="O63" s="2159"/>
      <c r="P63" s="2316"/>
      <c r="Q63" s="2310"/>
    </row>
    <row r="64" ht="14.75" spans="1:29">
      <c r="A64" s="1694"/>
      <c r="B64" s="1695"/>
      <c r="C64" s="1696">
        <v>100</v>
      </c>
      <c r="D64" s="1696"/>
      <c r="E64" s="1696"/>
      <c r="F64" s="1696"/>
      <c r="G64" s="1696"/>
      <c r="H64" s="1696"/>
      <c r="I64" s="1696"/>
      <c r="J64" s="1696"/>
      <c r="K64" s="1696"/>
      <c r="L64" s="1696"/>
      <c r="M64" s="1697"/>
      <c r="N64" s="2161"/>
      <c r="O64" s="2161"/>
      <c r="P64" s="2316"/>
      <c r="Q64" s="2310"/>
    </row>
    <row r="65" ht="28.75" spans="1:17">
      <c r="A65" s="1694"/>
      <c r="B65" s="1699" t="s">
        <v>1753</v>
      </c>
      <c r="C65" s="1755"/>
      <c r="D65" s="1755"/>
      <c r="E65" s="1755"/>
      <c r="F65" s="1755"/>
      <c r="G65" s="1755"/>
      <c r="H65" s="1755"/>
      <c r="I65" s="1755"/>
      <c r="J65" s="1755"/>
      <c r="K65" s="1755"/>
      <c r="L65" s="1755"/>
      <c r="M65" s="1755"/>
      <c r="N65" s="2161"/>
      <c r="O65" s="2161"/>
      <c r="P65" s="2316"/>
      <c r="Q65" s="2310"/>
    </row>
    <row r="66" ht="14.75" spans="1:17">
      <c r="A66" s="1694"/>
      <c r="B66" s="1704"/>
      <c r="C66" s="1696"/>
      <c r="D66" s="1696"/>
      <c r="E66" s="1696"/>
      <c r="F66" s="1696"/>
      <c r="G66" s="1696"/>
      <c r="H66" s="1696"/>
      <c r="I66" s="1696"/>
      <c r="J66" s="1696"/>
      <c r="K66" s="1696"/>
      <c r="L66" s="1696"/>
      <c r="M66" s="1697"/>
      <c r="N66" s="2161"/>
      <c r="O66" s="2161"/>
      <c r="P66" s="2316"/>
      <c r="Q66" s="2310"/>
    </row>
    <row r="67" ht="14.75" spans="1:17">
      <c r="A67" s="1694"/>
      <c r="B67" s="1707" t="s">
        <v>1754</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spans="1:17">
      <c r="A68" s="1694"/>
      <c r="B68" s="1710"/>
      <c r="C68" s="1711"/>
      <c r="D68" s="1711"/>
      <c r="E68" s="1711"/>
      <c r="F68" s="1711"/>
      <c r="G68" s="1711"/>
      <c r="H68" s="1711"/>
      <c r="I68" s="1711"/>
      <c r="J68" s="1711"/>
      <c r="K68" s="1712"/>
      <c r="L68" s="1713"/>
      <c r="M68" s="1714"/>
      <c r="N68" s="2159"/>
      <c r="O68" s="2159"/>
      <c r="P68" s="2316"/>
      <c r="Q68" s="2310"/>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4.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4.75" spans="1:17">
      <c r="A71" s="1715"/>
      <c r="B71" s="1704"/>
      <c r="C71" s="1724"/>
      <c r="D71" s="1696"/>
      <c r="E71" s="1696"/>
      <c r="F71" s="1696"/>
      <c r="G71" s="1696"/>
      <c r="H71" s="1696"/>
      <c r="I71" s="1696"/>
      <c r="J71" s="1696"/>
      <c r="K71" s="1696"/>
      <c r="L71" s="1696"/>
      <c r="M71" s="1697"/>
      <c r="N71" s="2161"/>
      <c r="O71" s="2161"/>
      <c r="P71" s="2317"/>
      <c r="Q71" s="2318"/>
    </row>
    <row r="72" s="1362" customFormat="1" ht="14.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4.75" spans="1:17">
      <c r="A73" s="1715"/>
      <c r="B73" s="1704"/>
      <c r="C73" s="1724"/>
      <c r="D73" s="1724"/>
      <c r="E73" s="1724"/>
      <c r="F73" s="1724"/>
      <c r="G73" s="1724"/>
      <c r="H73" s="1726"/>
      <c r="I73" s="1726"/>
      <c r="J73" s="1726"/>
      <c r="K73" s="1726"/>
      <c r="L73" s="1726"/>
      <c r="M73" s="1727"/>
      <c r="N73" s="2162"/>
      <c r="O73" s="2162"/>
      <c r="P73" s="2317"/>
      <c r="Q73" s="2318"/>
    </row>
    <row r="74" s="1362" customFormat="1" ht="14.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4.75" spans="1:17">
      <c r="A75" s="1732"/>
      <c r="B75" s="1733"/>
      <c r="C75" s="1734"/>
      <c r="D75" s="1734"/>
      <c r="E75" s="1734"/>
      <c r="F75" s="1734"/>
      <c r="G75" s="1734"/>
      <c r="H75" s="1735"/>
      <c r="I75" s="1735"/>
      <c r="J75" s="1735"/>
      <c r="K75" s="1735"/>
      <c r="L75" s="1735"/>
      <c r="M75" s="1736"/>
      <c r="N75" s="2162"/>
      <c r="O75" s="2162"/>
      <c r="P75" s="2317"/>
      <c r="Q75" s="2318"/>
    </row>
    <row r="76" spans="1:17">
      <c r="A76" s="1686" t="s">
        <v>1755</v>
      </c>
      <c r="B76" s="1687" t="s">
        <v>1756</v>
      </c>
      <c r="C76" s="1737" t="s">
        <v>1788</v>
      </c>
      <c r="D76" s="1737" t="s">
        <v>1789</v>
      </c>
      <c r="E76" s="1737" t="s">
        <v>1790</v>
      </c>
      <c r="F76" s="1737" t="s">
        <v>1791</v>
      </c>
      <c r="G76" s="1737" t="s">
        <v>1792</v>
      </c>
      <c r="H76" s="1738"/>
      <c r="I76" s="1738"/>
      <c r="J76" s="1738"/>
      <c r="K76" s="1739"/>
      <c r="L76" s="1740"/>
      <c r="M76" s="1741"/>
      <c r="N76" s="2159"/>
      <c r="O76" s="2159"/>
      <c r="P76" s="2322"/>
      <c r="Q76" s="2310"/>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4.75" spans="1:17">
      <c r="A78" s="1694"/>
      <c r="B78" s="1699" t="s">
        <v>1758</v>
      </c>
      <c r="C78" s="1743" t="s">
        <v>1788</v>
      </c>
      <c r="D78" s="1743" t="s">
        <v>1789</v>
      </c>
      <c r="E78" s="1743" t="s">
        <v>1790</v>
      </c>
      <c r="F78" s="1743" t="s">
        <v>1791</v>
      </c>
      <c r="G78" s="1743" t="s">
        <v>1792</v>
      </c>
      <c r="H78" s="1700"/>
      <c r="I78" s="1700"/>
      <c r="J78" s="1700"/>
      <c r="K78" s="1701"/>
      <c r="L78" s="1702"/>
      <c r="M78" s="1703"/>
      <c r="N78" s="2159"/>
      <c r="O78" s="2159"/>
      <c r="P78" s="2316"/>
      <c r="Q78" s="2310"/>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4.75" spans="1:17">
      <c r="A80" s="1694"/>
      <c r="B80" s="1699" t="s">
        <v>1759</v>
      </c>
      <c r="C80" s="1743" t="s">
        <v>1788</v>
      </c>
      <c r="D80" s="1743" t="s">
        <v>1789</v>
      </c>
      <c r="E80" s="1743" t="s">
        <v>1790</v>
      </c>
      <c r="F80" s="1743" t="s">
        <v>1791</v>
      </c>
      <c r="G80" s="1743" t="s">
        <v>1792</v>
      </c>
      <c r="H80" s="1700"/>
      <c r="I80" s="1700"/>
      <c r="J80" s="1700"/>
      <c r="K80" s="1701"/>
      <c r="L80" s="1702"/>
      <c r="M80" s="1703"/>
      <c r="N80" s="2159"/>
      <c r="O80" s="2159"/>
      <c r="P80" s="2316"/>
      <c r="Q80" s="2310"/>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4.75" spans="1:17">
      <c r="A82" s="1694"/>
      <c r="B82" s="1707" t="s">
        <v>1760</v>
      </c>
      <c r="C82" s="1700" t="s">
        <v>1793</v>
      </c>
      <c r="D82" s="1700" t="s">
        <v>1794</v>
      </c>
      <c r="E82" s="1700" t="s">
        <v>1795</v>
      </c>
      <c r="F82" s="1700" t="s">
        <v>1796</v>
      </c>
      <c r="G82" s="1700" t="s">
        <v>1797</v>
      </c>
      <c r="H82" s="1700"/>
      <c r="I82" s="1700"/>
      <c r="J82" s="1700"/>
      <c r="K82" s="1700"/>
      <c r="L82" s="1700"/>
      <c r="M82" s="2032"/>
      <c r="N82" s="2161"/>
      <c r="O82" s="2161"/>
      <c r="P82" s="2316"/>
      <c r="Q82" s="2310"/>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4.75" spans="1:17">
      <c r="A84" s="1694"/>
      <c r="B84" s="1699" t="s">
        <v>1761</v>
      </c>
      <c r="C84" s="1743" t="s">
        <v>1788</v>
      </c>
      <c r="D84" s="1743" t="s">
        <v>1789</v>
      </c>
      <c r="E84" s="1743" t="s">
        <v>1790</v>
      </c>
      <c r="F84" s="1743" t="s">
        <v>1791</v>
      </c>
      <c r="G84" s="1743" t="s">
        <v>1792</v>
      </c>
      <c r="H84" s="1700"/>
      <c r="I84" s="1700"/>
      <c r="J84" s="1700"/>
      <c r="K84" s="1701"/>
      <c r="L84" s="1702"/>
      <c r="M84" s="1703"/>
      <c r="N84" s="2159"/>
      <c r="O84" s="2159"/>
      <c r="P84" s="2316"/>
      <c r="Q84" s="2310"/>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4.75" spans="1:17">
      <c r="A86" s="1744"/>
      <c r="B86" s="1699" t="s">
        <v>1762</v>
      </c>
      <c r="C86" s="1716"/>
      <c r="D86" s="1716"/>
      <c r="E86" s="1716"/>
      <c r="F86" s="1716"/>
      <c r="G86" s="1716"/>
      <c r="H86" s="1716"/>
      <c r="I86" s="1716"/>
      <c r="J86" s="1716"/>
      <c r="K86" s="1716"/>
      <c r="L86" s="2034"/>
      <c r="M86" s="2035"/>
      <c r="N86" s="2157"/>
      <c r="O86" s="2157"/>
      <c r="P86" s="2316"/>
      <c r="Q86" s="2310"/>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4.75" spans="1:17">
      <c r="A88" s="1744"/>
      <c r="B88" s="1699" t="s">
        <v>1763</v>
      </c>
      <c r="C88" s="1716"/>
      <c r="D88" s="1716"/>
      <c r="E88" s="1716"/>
      <c r="F88" s="2213"/>
      <c r="G88" s="1716"/>
      <c r="H88" s="1716"/>
      <c r="I88" s="1716"/>
      <c r="J88" s="1716"/>
      <c r="K88" s="1716"/>
      <c r="L88" s="1716"/>
      <c r="M88" s="2035"/>
      <c r="N88" s="2157"/>
      <c r="O88" s="2157"/>
      <c r="P88" s="2316"/>
      <c r="Q88" s="2310"/>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4.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4.75" spans="1:17">
      <c r="A91" s="1715"/>
      <c r="B91" s="1704"/>
      <c r="C91" s="1724"/>
      <c r="D91" s="1724"/>
      <c r="E91" s="1724"/>
      <c r="F91" s="1724"/>
      <c r="G91" s="1724"/>
      <c r="H91" s="1726"/>
      <c r="I91" s="1726"/>
      <c r="J91" s="1726"/>
      <c r="K91" s="1726"/>
      <c r="L91" s="1726"/>
      <c r="M91" s="1727"/>
      <c r="N91" s="2162"/>
      <c r="O91" s="2162"/>
      <c r="P91" s="2317"/>
      <c r="Q91" s="2318"/>
    </row>
    <row r="92" ht="14.75" spans="1:17">
      <c r="A92" s="1694"/>
      <c r="B92" s="1699">
        <f>B28</f>
        <v>111</v>
      </c>
      <c r="C92" s="1716"/>
      <c r="D92" s="1716"/>
      <c r="E92" s="1716"/>
      <c r="F92" s="1716"/>
      <c r="G92" s="1755"/>
      <c r="H92" s="1755"/>
      <c r="I92" s="1755"/>
      <c r="J92" s="1755"/>
      <c r="K92" s="1756"/>
      <c r="L92" s="1757"/>
      <c r="M92" s="1758"/>
      <c r="N92" s="2159"/>
      <c r="O92" s="2159"/>
      <c r="P92" s="2316"/>
      <c r="Q92" s="2310"/>
    </row>
    <row r="93" ht="14.75" spans="1:17">
      <c r="A93" s="1694"/>
      <c r="B93" s="1704"/>
      <c r="C93" s="1724"/>
      <c r="D93" s="1696"/>
      <c r="E93" s="1696"/>
      <c r="F93" s="1696"/>
      <c r="G93" s="1696"/>
      <c r="H93" s="1696"/>
      <c r="I93" s="1696"/>
      <c r="J93" s="1696"/>
      <c r="K93" s="1696"/>
      <c r="L93" s="1696"/>
      <c r="M93" s="1697"/>
      <c r="N93" s="2161"/>
      <c r="O93" s="2161"/>
      <c r="P93" s="2316"/>
      <c r="Q93" s="2310"/>
    </row>
    <row r="94" ht="14.75" spans="1:17">
      <c r="A94" s="1694"/>
      <c r="B94" s="1699">
        <f>B29</f>
        <v>111</v>
      </c>
      <c r="C94" s="1716"/>
      <c r="D94" s="1716"/>
      <c r="E94" s="1716"/>
      <c r="F94" s="1716"/>
      <c r="G94" s="1755"/>
      <c r="H94" s="1755"/>
      <c r="I94" s="1755"/>
      <c r="J94" s="1755"/>
      <c r="K94" s="1756"/>
      <c r="L94" s="1757"/>
      <c r="M94" s="1758"/>
      <c r="N94" s="2159"/>
      <c r="O94" s="2159"/>
      <c r="P94" s="2316"/>
      <c r="Q94" s="2310"/>
    </row>
    <row r="95" ht="14.75" spans="1:17">
      <c r="A95" s="1694"/>
      <c r="B95" s="1704"/>
      <c r="C95" s="1724"/>
      <c r="D95" s="1724"/>
      <c r="E95" s="1724"/>
      <c r="F95" s="1724"/>
      <c r="G95" s="1696"/>
      <c r="H95" s="1696"/>
      <c r="I95" s="1696"/>
      <c r="J95" s="1696"/>
      <c r="K95" s="1696"/>
      <c r="L95" s="1696"/>
      <c r="M95" s="1697"/>
      <c r="N95" s="2161"/>
      <c r="O95" s="2161"/>
      <c r="P95" s="2316"/>
      <c r="Q95" s="2310"/>
    </row>
    <row r="96" ht="14.75" spans="1:17">
      <c r="A96" s="1694"/>
      <c r="B96" s="1699">
        <f>B30</f>
        <v>111</v>
      </c>
      <c r="C96" s="1716"/>
      <c r="D96" s="1716"/>
      <c r="E96" s="1716"/>
      <c r="F96" s="1716"/>
      <c r="G96" s="1755"/>
      <c r="H96" s="1755"/>
      <c r="I96" s="1755"/>
      <c r="J96" s="1755"/>
      <c r="K96" s="1756"/>
      <c r="L96" s="1757"/>
      <c r="M96" s="1758"/>
      <c r="N96" s="2159"/>
      <c r="O96" s="2159"/>
      <c r="P96" s="2316"/>
      <c r="Q96" s="2310"/>
    </row>
    <row r="97" ht="14.75" spans="1:17">
      <c r="A97" s="1694"/>
      <c r="B97" s="1704"/>
      <c r="C97" s="1734"/>
      <c r="D97" s="1734"/>
      <c r="E97" s="1734"/>
      <c r="F97" s="1734"/>
      <c r="G97" s="1696"/>
      <c r="H97" s="1696"/>
      <c r="I97" s="1696"/>
      <c r="J97" s="1696"/>
      <c r="K97" s="1696"/>
      <c r="L97" s="1696"/>
      <c r="M97" s="1697"/>
      <c r="N97" s="2161"/>
      <c r="O97" s="2161"/>
      <c r="P97" s="2316"/>
      <c r="Q97" s="2310"/>
    </row>
    <row r="98" ht="14.75" spans="1:17">
      <c r="A98" s="1694"/>
      <c r="B98" s="1707">
        <f>B31</f>
        <v>111</v>
      </c>
      <c r="C98" s="1759"/>
      <c r="D98" s="1759"/>
      <c r="E98" s="1759"/>
      <c r="F98" s="1759"/>
      <c r="G98" s="1759"/>
      <c r="H98" s="1759"/>
      <c r="I98" s="1759"/>
      <c r="J98" s="1759"/>
      <c r="K98" s="1760"/>
      <c r="L98" s="1761"/>
      <c r="M98" s="1762"/>
      <c r="N98" s="2159"/>
      <c r="O98" s="2159"/>
      <c r="P98" s="2316"/>
      <c r="Q98" s="2310"/>
    </row>
    <row r="99" ht="14.75" spans="1:17">
      <c r="A99" s="2168"/>
      <c r="B99" s="1733"/>
      <c r="C99" s="1763"/>
      <c r="D99" s="1763"/>
      <c r="E99" s="1763"/>
      <c r="F99" s="1763"/>
      <c r="G99" s="1763"/>
      <c r="H99" s="1763"/>
      <c r="I99" s="1763"/>
      <c r="J99" s="1763"/>
      <c r="K99" s="1763"/>
      <c r="L99" s="1763"/>
      <c r="M99" s="1764"/>
      <c r="N99" s="2161"/>
      <c r="O99" s="2161"/>
      <c r="P99" s="2316"/>
      <c r="Q99" s="2310"/>
    </row>
    <row r="100" spans="1:17">
      <c r="A100" s="1686" t="s">
        <v>1764</v>
      </c>
      <c r="B100" s="1687" t="s">
        <v>1765</v>
      </c>
      <c r="C100" s="1688"/>
      <c r="D100" s="1688"/>
      <c r="E100" s="1688"/>
      <c r="F100" s="1688"/>
      <c r="G100" s="1688"/>
      <c r="H100" s="1688"/>
      <c r="I100" s="1688"/>
      <c r="J100" s="1688"/>
      <c r="K100" s="1689"/>
      <c r="L100" s="1690"/>
      <c r="M100" s="1691"/>
      <c r="N100" s="2159"/>
      <c r="O100" s="2159"/>
      <c r="P100" s="2316"/>
      <c r="Q100" s="2310"/>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4.75" spans="1:17">
      <c r="A102" s="1694"/>
      <c r="B102" s="1699" t="s">
        <v>1767</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4.75" spans="1:17">
      <c r="A104" s="1715"/>
      <c r="B104" s="1704"/>
      <c r="C104" s="1724"/>
      <c r="D104" s="1696"/>
      <c r="E104" s="1696"/>
      <c r="F104" s="1696"/>
      <c r="G104" s="1696"/>
      <c r="H104" s="1696"/>
      <c r="I104" s="1696"/>
      <c r="J104" s="1696"/>
      <c r="K104" s="1696"/>
      <c r="L104" s="1696"/>
      <c r="M104" s="1696"/>
      <c r="N104" s="2161"/>
      <c r="O104" s="2161"/>
      <c r="P104" s="2317"/>
      <c r="Q104" s="2318"/>
    </row>
    <row r="105" ht="14.75" spans="1:17">
      <c r="A105" s="1775"/>
      <c r="B105" s="1699" t="s">
        <v>1768</v>
      </c>
      <c r="C105" s="1716"/>
      <c r="D105" s="1716"/>
      <c r="E105" s="1755"/>
      <c r="F105" s="1755"/>
      <c r="G105" s="1755"/>
      <c r="H105" s="1755"/>
      <c r="I105" s="1755"/>
      <c r="J105" s="1755"/>
      <c r="K105" s="1756"/>
      <c r="L105" s="1757"/>
      <c r="M105" s="1758"/>
      <c r="N105" s="2159"/>
      <c r="O105" s="2159"/>
      <c r="P105" s="2316"/>
      <c r="Q105" s="2310"/>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4.75" spans="1:17">
      <c r="A107" s="1775"/>
      <c r="B107" s="1699" t="s">
        <v>1769</v>
      </c>
      <c r="C107" s="1755"/>
      <c r="D107" s="1755"/>
      <c r="E107" s="1755"/>
      <c r="F107" s="1755"/>
      <c r="G107" s="1755"/>
      <c r="H107" s="1755"/>
      <c r="I107" s="1755"/>
      <c r="J107" s="1755"/>
      <c r="K107" s="1756"/>
      <c r="L107" s="1757"/>
      <c r="M107" s="1758"/>
      <c r="N107" s="2159"/>
      <c r="O107" s="2159"/>
      <c r="P107" s="2316"/>
      <c r="Q107" s="2310"/>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4.75" spans="1:17">
      <c r="A109" s="1775"/>
      <c r="B109" s="1699" t="s">
        <v>1770</v>
      </c>
      <c r="C109" s="1716"/>
      <c r="D109" s="1716"/>
      <c r="E109" s="1716"/>
      <c r="F109" s="1755"/>
      <c r="G109" s="1755"/>
      <c r="H109" s="1755"/>
      <c r="I109" s="1755"/>
      <c r="J109" s="1755"/>
      <c r="K109" s="1756"/>
      <c r="L109" s="1757"/>
      <c r="M109" s="1758"/>
      <c r="N109" s="2159"/>
      <c r="O109" s="2159"/>
      <c r="P109" s="2316"/>
      <c r="Q109" s="2310"/>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4.75" spans="1:17">
      <c r="A111" s="1766"/>
      <c r="B111" s="1699" t="s">
        <v>704</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4.75" spans="1:17">
      <c r="A114" s="1775"/>
      <c r="B114" s="1699" t="s">
        <v>1771</v>
      </c>
      <c r="C114" s="1716"/>
      <c r="D114" s="1716"/>
      <c r="E114" s="1755"/>
      <c r="F114" s="1755"/>
      <c r="G114" s="1755"/>
      <c r="H114" s="1755"/>
      <c r="I114" s="1755"/>
      <c r="J114" s="1755"/>
      <c r="K114" s="1756"/>
      <c r="L114" s="1757"/>
      <c r="M114" s="1758"/>
      <c r="N114" s="2159"/>
      <c r="O114" s="2159"/>
      <c r="P114" s="2316"/>
      <c r="Q114" s="2310"/>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4.75" spans="1:17">
      <c r="A116" s="1775"/>
      <c r="B116" s="1699" t="s">
        <v>1772</v>
      </c>
      <c r="C116" s="1716"/>
      <c r="D116" s="1716"/>
      <c r="E116" s="1716"/>
      <c r="F116" s="1716"/>
      <c r="G116" s="1716"/>
      <c r="H116" s="1755"/>
      <c r="I116" s="1755"/>
      <c r="J116" s="1755"/>
      <c r="K116" s="1756"/>
      <c r="L116" s="1757"/>
      <c r="M116" s="1758"/>
      <c r="N116" s="2159"/>
      <c r="O116" s="2159"/>
      <c r="P116" s="2316"/>
      <c r="Q116" s="2310"/>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4.75" spans="1:17">
      <c r="A118" s="1775"/>
      <c r="B118" s="1699" t="s">
        <v>1773</v>
      </c>
      <c r="C118" s="1755"/>
      <c r="D118" s="1755"/>
      <c r="E118" s="1755"/>
      <c r="F118" s="1755"/>
      <c r="G118" s="1755"/>
      <c r="H118" s="1755"/>
      <c r="I118" s="1755"/>
      <c r="J118" s="1755"/>
      <c r="K118" s="1756"/>
      <c r="L118" s="1757"/>
      <c r="M118" s="1758"/>
      <c r="N118" s="2159"/>
      <c r="O118" s="2159"/>
      <c r="P118" s="2316"/>
      <c r="Q118" s="2310"/>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75" spans="1:17">
      <c r="A120" s="1766"/>
      <c r="B120" s="1699" t="s">
        <v>1774</v>
      </c>
      <c r="C120" s="1716"/>
      <c r="D120" s="1716"/>
      <c r="E120" s="1716"/>
      <c r="F120" s="1716"/>
      <c r="G120" s="1716"/>
      <c r="H120" s="1716"/>
      <c r="I120" s="1716"/>
      <c r="J120" s="1716"/>
      <c r="K120" s="1716"/>
      <c r="L120" s="2034"/>
      <c r="M120" s="2035"/>
      <c r="N120" s="2162"/>
      <c r="O120" s="2162"/>
      <c r="P120" s="2317"/>
      <c r="Q120" s="2318"/>
    </row>
    <row r="121" s="1362" customFormat="1" ht="14.75" spans="1:17">
      <c r="A121" s="1715"/>
      <c r="B121" s="1695"/>
      <c r="C121" s="1724"/>
      <c r="D121" s="1696"/>
      <c r="E121" s="1696"/>
      <c r="F121" s="1696"/>
      <c r="G121" s="1696"/>
      <c r="H121" s="1696"/>
      <c r="I121" s="1696"/>
      <c r="J121" s="1696"/>
      <c r="K121" s="1696"/>
      <c r="L121" s="1696"/>
      <c r="M121" s="1696"/>
      <c r="N121" s="2162"/>
      <c r="O121" s="2162"/>
      <c r="P121" s="2317"/>
      <c r="Q121" s="2318"/>
    </row>
    <row r="122" ht="14.75" spans="1:17">
      <c r="A122" s="1775"/>
      <c r="B122" s="1699" t="s">
        <v>1775</v>
      </c>
      <c r="C122" s="1716"/>
      <c r="D122" s="1716"/>
      <c r="E122" s="1716"/>
      <c r="F122" s="1755"/>
      <c r="G122" s="1755"/>
      <c r="H122" s="1755"/>
      <c r="I122" s="1755"/>
      <c r="J122" s="1755"/>
      <c r="K122" s="1756"/>
      <c r="L122" s="1757"/>
      <c r="M122" s="1758"/>
      <c r="N122" s="2159"/>
      <c r="O122" s="2159"/>
      <c r="P122" s="2316"/>
      <c r="Q122" s="2310"/>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28.75" spans="1:17">
      <c r="A124" s="1775"/>
      <c r="B124" s="1699" t="s">
        <v>1776</v>
      </c>
      <c r="C124" s="1743" t="s">
        <v>1788</v>
      </c>
      <c r="D124" s="1743" t="s">
        <v>1789</v>
      </c>
      <c r="E124" s="1743" t="s">
        <v>1790</v>
      </c>
      <c r="F124" s="1743" t="s">
        <v>1791</v>
      </c>
      <c r="G124" s="1743" t="s">
        <v>1792</v>
      </c>
      <c r="H124" s="1700"/>
      <c r="I124" s="1700"/>
      <c r="J124" s="1700"/>
      <c r="K124" s="1701"/>
      <c r="L124" s="1702"/>
      <c r="M124" s="1703"/>
      <c r="N124" s="2159"/>
      <c r="O124" s="2159"/>
      <c r="P124" s="2317"/>
      <c r="Q124" s="2310"/>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4.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4.75" spans="1:17">
      <c r="A127" s="1715"/>
      <c r="B127" s="1704"/>
      <c r="C127" s="1724"/>
      <c r="D127" s="1696"/>
      <c r="E127" s="1696"/>
      <c r="F127" s="1696"/>
      <c r="G127" s="1724"/>
      <c r="H127" s="1726"/>
      <c r="I127" s="1726"/>
      <c r="J127" s="1726"/>
      <c r="K127" s="1726"/>
      <c r="L127" s="1726"/>
      <c r="M127" s="1727"/>
      <c r="N127" s="2162"/>
      <c r="O127" s="2162"/>
      <c r="P127" s="2317"/>
      <c r="Q127" s="2318"/>
    </row>
    <row r="128" ht="14.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4.75" spans="1:17">
      <c r="A129" s="1694"/>
      <c r="B129" s="1704"/>
      <c r="C129" s="1724"/>
      <c r="D129" s="1724"/>
      <c r="E129" s="1724"/>
      <c r="F129" s="1724"/>
      <c r="G129" s="1696"/>
      <c r="H129" s="1696"/>
      <c r="I129" s="1696"/>
      <c r="J129" s="1696"/>
      <c r="K129" s="1696"/>
      <c r="L129" s="1696"/>
      <c r="M129" s="1697"/>
      <c r="N129" s="2161"/>
      <c r="O129" s="2161"/>
      <c r="P129" s="2316"/>
      <c r="Q129" s="2310"/>
    </row>
    <row r="130" ht="14.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4.75" spans="1:17">
      <c r="A131" s="2168"/>
      <c r="B131" s="1733"/>
      <c r="C131" s="1734"/>
      <c r="D131" s="1734"/>
      <c r="E131" s="1734"/>
      <c r="F131" s="1734"/>
      <c r="G131" s="1763"/>
      <c r="H131" s="1763"/>
      <c r="I131" s="1763"/>
      <c r="J131" s="1763"/>
      <c r="K131" s="1763"/>
      <c r="L131" s="1763"/>
      <c r="M131" s="1764"/>
      <c r="N131" s="2161"/>
      <c r="O131" s="2161"/>
      <c r="P131" s="2316"/>
      <c r="Q131" s="2310"/>
    </row>
    <row r="136" ht="14.75" spans="1:17">
      <c r="B136" s="2326" t="s">
        <v>1798</v>
      </c>
    </row>
    <row r="137" ht="15.5" spans="1:17">
      <c r="B137" s="2327" t="s">
        <v>1799</v>
      </c>
      <c r="C137" s="2328"/>
      <c r="D137" s="2328"/>
      <c r="E137" s="2328"/>
      <c r="F137" s="2328"/>
      <c r="G137" s="2329"/>
      <c r="H137" s="2330"/>
      <c r="I137" s="2331" t="s">
        <v>1800</v>
      </c>
      <c r="J137" s="2328"/>
      <c r="K137" s="2332"/>
    </row>
    <row r="138" ht="15.5" spans="1:17">
      <c r="B138" s="2333"/>
      <c r="C138" s="2334" t="s">
        <v>1801</v>
      </c>
      <c r="D138" s="2334" t="s">
        <v>1802</v>
      </c>
      <c r="E138" s="2335" t="s">
        <v>1803</v>
      </c>
      <c r="F138" s="2336" t="s">
        <v>1804</v>
      </c>
      <c r="G138" s="2334" t="s">
        <v>1802</v>
      </c>
      <c r="H138" s="2337" t="s">
        <v>1803</v>
      </c>
      <c r="I138" s="2338"/>
      <c r="J138" s="2334" t="s">
        <v>1805</v>
      </c>
      <c r="K138" s="2337" t="s">
        <v>1806</v>
      </c>
    </row>
    <row r="139" ht="15.5" spans="1:17">
      <c r="B139" s="2339">
        <v>6</v>
      </c>
      <c r="C139" s="2340">
        <v>96</v>
      </c>
      <c r="D139" s="2341" t="s">
        <v>1807</v>
      </c>
      <c r="E139" s="2342">
        <v>100</v>
      </c>
      <c r="F139" s="2343">
        <v>102.5</v>
      </c>
      <c r="G139" s="2341" t="s">
        <v>1807</v>
      </c>
      <c r="H139" s="2344">
        <v>105</v>
      </c>
      <c r="I139" s="2345" t="s">
        <v>1808</v>
      </c>
      <c r="J139" s="2340">
        <v>20</v>
      </c>
      <c r="K139" s="2346">
        <f>C145/(J139-2)</f>
        <v>0.00405555555555556</v>
      </c>
    </row>
    <row r="140" ht="15.5" spans="1:17">
      <c r="B140" s="2347">
        <v>5</v>
      </c>
      <c r="C140" s="2348">
        <v>100</v>
      </c>
      <c r="D140" s="2348"/>
      <c r="E140" s="2349"/>
      <c r="F140" s="2350">
        <v>102</v>
      </c>
      <c r="G140" s="2348"/>
      <c r="H140" s="2351"/>
      <c r="I140" s="2352" t="s">
        <v>1809</v>
      </c>
      <c r="J140" s="501">
        <f>ROUNDUP((J139-1)/2,0)</f>
        <v>10</v>
      </c>
      <c r="K140" s="2353">
        <v>100</v>
      </c>
    </row>
    <row r="141" ht="15.5" spans="1:17">
      <c r="B141" s="2347">
        <v>4</v>
      </c>
      <c r="C141" s="2348">
        <v>102</v>
      </c>
      <c r="D141" s="2348"/>
      <c r="E141" s="2349"/>
      <c r="F141" s="2350">
        <v>101.5</v>
      </c>
      <c r="G141" s="2348"/>
      <c r="H141" s="2351"/>
      <c r="I141" s="2352" t="s">
        <v>1810</v>
      </c>
      <c r="J141" s="501">
        <v>1</v>
      </c>
      <c r="K141" s="2354">
        <f>ROUND(100+(J141-J140)*K139*100,1)</f>
        <v>96.4</v>
      </c>
    </row>
    <row r="142" ht="15.5" spans="1:17">
      <c r="B142" s="2347">
        <v>3</v>
      </c>
      <c r="C142" s="2348">
        <v>103</v>
      </c>
      <c r="D142" s="2348"/>
      <c r="E142" s="2349"/>
      <c r="F142" s="2350">
        <v>101</v>
      </c>
      <c r="G142" s="2348"/>
      <c r="H142" s="2351"/>
      <c r="I142" s="2352" t="s">
        <v>1811</v>
      </c>
      <c r="J142" s="501">
        <f>J139</f>
        <v>20</v>
      </c>
      <c r="K142" s="2355">
        <v>95</v>
      </c>
    </row>
    <row r="143" ht="15.5" spans="1:17">
      <c r="B143" s="2347">
        <v>2</v>
      </c>
      <c r="C143" s="2348">
        <v>100</v>
      </c>
      <c r="D143" s="2348"/>
      <c r="E143" s="2349"/>
      <c r="F143" s="2350">
        <v>100.5</v>
      </c>
      <c r="G143" s="2348"/>
      <c r="H143" s="2351"/>
      <c r="I143" s="2352" t="s">
        <v>1812</v>
      </c>
      <c r="J143" s="2348">
        <v>15</v>
      </c>
      <c r="K143" s="2354">
        <f>ROUND(100+(J143-J140)*K139*100,1)</f>
        <v>102</v>
      </c>
    </row>
    <row r="144" ht="15.5" spans="1:17">
      <c r="B144" s="2347">
        <v>1</v>
      </c>
      <c r="C144" s="2348">
        <v>98</v>
      </c>
      <c r="D144" s="2356" t="s">
        <v>1813</v>
      </c>
      <c r="E144" s="2349">
        <v>102</v>
      </c>
      <c r="F144" s="2357">
        <v>100</v>
      </c>
      <c r="G144" s="2356" t="s">
        <v>1813</v>
      </c>
      <c r="H144" s="2351">
        <v>105</v>
      </c>
      <c r="I144" s="2352" t="s">
        <v>1812</v>
      </c>
      <c r="J144" s="2348">
        <v>18</v>
      </c>
      <c r="K144" s="2354">
        <f>ROUND(100+(J144-J140)*K139*100,1)</f>
        <v>103.2</v>
      </c>
    </row>
    <row r="145" ht="16.25" spans="2:11">
      <c r="B145" s="2358" t="s">
        <v>1814</v>
      </c>
      <c r="C145" s="2359">
        <f>ROUND(MAX(C139:C144)/MIN(C139:C144)-1,3)</f>
        <v>0.073</v>
      </c>
      <c r="D145" s="2360"/>
      <c r="E145" s="2360"/>
      <c r="F145" s="2361" t="s">
        <v>1815</v>
      </c>
      <c r="G145" s="2209"/>
      <c r="H145" s="2210"/>
      <c r="I145" s="2362" t="s">
        <v>1812</v>
      </c>
      <c r="J145" s="2363">
        <v>8</v>
      </c>
      <c r="K145" s="2364">
        <f>ROUND(100+(J145-J140)*K139*100,1)</f>
        <v>99.2</v>
      </c>
    </row>
    <row r="147" spans="2:11">
      <c r="B147" s="2326" t="s">
        <v>1816</v>
      </c>
    </row>
    <row r="148" spans="2:11">
      <c r="B148" s="2326"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17" t="s">
        <v>1818</v>
      </c>
      <c r="C1" s="1878" t="s">
        <v>1728</v>
      </c>
      <c r="D1" s="1871"/>
      <c r="E1" s="2218"/>
      <c r="F1" s="1873"/>
      <c r="G1" s="1874" t="s">
        <v>1729</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1105</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1107</v>
      </c>
      <c r="B3" s="1888">
        <f ca="1">IF(E2="——",C49,ROUND(B2*10000/D3,0))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spans="1:29">
      <c r="A4" s="1783" t="s">
        <v>1731</v>
      </c>
      <c r="B4" s="1784"/>
      <c r="C4" s="1393" t="s">
        <v>1732</v>
      </c>
      <c r="D4" s="1394"/>
      <c r="E4" s="1395" t="s">
        <v>1733</v>
      </c>
      <c r="F4" s="1396"/>
      <c r="G4" s="1393" t="s">
        <v>1734</v>
      </c>
      <c r="H4" s="1394"/>
      <c r="I4" s="1393" t="s">
        <v>1735</v>
      </c>
      <c r="J4" s="1394"/>
      <c r="K4" s="1785"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504" t="s">
        <v>1734</v>
      </c>
      <c r="AC4" s="1407" t="s">
        <v>1735</v>
      </c>
    </row>
    <row r="5" spans="1:29">
      <c r="A5" s="1786"/>
      <c r="B5" s="1787"/>
      <c r="C5" s="1410" t="s">
        <v>1738</v>
      </c>
      <c r="D5" s="1411"/>
      <c r="E5" s="1412" t="s">
        <v>1739</v>
      </c>
      <c r="F5" s="1413"/>
      <c r="G5" s="1410" t="s">
        <v>1740</v>
      </c>
      <c r="H5" s="1411"/>
      <c r="I5" s="1410" t="s">
        <v>1741</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1742</v>
      </c>
      <c r="D6" s="1791"/>
      <c r="E6" s="1792" t="s">
        <v>1742</v>
      </c>
      <c r="F6" s="1793"/>
      <c r="G6" s="1790" t="s">
        <v>1742</v>
      </c>
      <c r="H6" s="1791"/>
      <c r="I6" s="1790" t="s">
        <v>1742</v>
      </c>
      <c r="J6" s="1791"/>
      <c r="K6" s="1785" t="s">
        <v>1743</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1744</v>
      </c>
      <c r="B7" s="1910"/>
      <c r="C7" s="1911">
        <f>'数据-取费表'!B2</f>
        <v>46029</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6" si="3">D8/F8</f>
        <v>1</v>
      </c>
      <c r="AB8" s="1451">
        <f t="shared" ref="AB8:AB46" si="4">D8/H8</f>
        <v>1</v>
      </c>
      <c r="AC8" s="1451">
        <f t="shared" ref="AC8:AC46" si="5">D8/J8</f>
        <v>1</v>
      </c>
    </row>
    <row r="9" s="1360" customFormat="1" spans="1:29">
      <c r="A9" s="1923" t="s">
        <v>1749</v>
      </c>
      <c r="B9" s="1457" t="s">
        <v>1750</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1819</v>
      </c>
      <c r="C15" s="1801">
        <f>估价对象房地状况!C4</f>
        <v>0</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1757</v>
      </c>
      <c r="Q15" s="1058" t="str">
        <f t="shared" si="6"/>
        <v>商业繁华度</v>
      </c>
      <c r="R15" s="1501" t="s">
        <v>1746</v>
      </c>
      <c r="S15" s="1502">
        <f t="shared" si="0"/>
        <v>100</v>
      </c>
      <c r="T15" s="1501" t="s">
        <v>1746</v>
      </c>
      <c r="U15" s="1502">
        <f t="shared" si="1"/>
        <v>100</v>
      </c>
      <c r="V15" s="1501" t="s">
        <v>1746</v>
      </c>
      <c r="W15" s="1502">
        <f t="shared" si="2"/>
        <v>100</v>
      </c>
      <c r="X15" s="1404"/>
      <c r="Y15" s="1503" t="s">
        <v>1757</v>
      </c>
      <c r="Z15" s="1504" t="str">
        <f t="shared" si="7"/>
        <v>商业繁华度</v>
      </c>
      <c r="AA15" s="1505">
        <f t="shared" si="3"/>
        <v>1</v>
      </c>
      <c r="AB15" s="1505">
        <f t="shared" si="4"/>
        <v>1</v>
      </c>
      <c r="AC15" s="1505">
        <f t="shared" si="5"/>
        <v>1</v>
      </c>
    </row>
    <row r="16" ht="15.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804">
        <f>估价对象房地状况!C9</f>
        <v>0</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1820</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1746</v>
      </c>
      <c r="S25" s="1502">
        <f>F25</f>
        <v>100</v>
      </c>
      <c r="T25" s="1501" t="s">
        <v>1746</v>
      </c>
      <c r="U25" s="1502">
        <f>H25</f>
        <v>100</v>
      </c>
      <c r="V25" s="1501" t="s">
        <v>1746</v>
      </c>
      <c r="W25" s="1502">
        <f>J25</f>
        <v>100</v>
      </c>
      <c r="X25" s="1404"/>
      <c r="Y25" s="1513"/>
      <c r="Z25" s="1504" t="str">
        <f>Q25</f>
        <v>临街状况</v>
      </c>
      <c r="AA25" s="1505">
        <f t="shared" si="3"/>
        <v>1</v>
      </c>
      <c r="AB25" s="1505">
        <f t="shared" si="4"/>
        <v>1</v>
      </c>
      <c r="AC25" s="1505">
        <f t="shared" si="5"/>
        <v>1</v>
      </c>
    </row>
    <row r="26" ht="15.5" spans="1:29">
      <c r="A26" s="1936"/>
      <c r="B26" s="1815" t="s">
        <v>1821</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1746</v>
      </c>
      <c r="S26" s="1502">
        <f>F26</f>
        <v>100</v>
      </c>
      <c r="T26" s="1501" t="s">
        <v>1746</v>
      </c>
      <c r="U26" s="1502">
        <f>H26</f>
        <v>100</v>
      </c>
      <c r="V26" s="1501" t="s">
        <v>1746</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1822</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1746</v>
      </c>
      <c r="S27" s="1447">
        <f>F27</f>
        <v>100</v>
      </c>
      <c r="T27" s="1446" t="s">
        <v>1746</v>
      </c>
      <c r="U27" s="1447">
        <f>H27</f>
        <v>100</v>
      </c>
      <c r="V27" s="1446" t="s">
        <v>1746</v>
      </c>
      <c r="W27" s="1447">
        <f>J27</f>
        <v>100</v>
      </c>
      <c r="X27" s="1448"/>
      <c r="Y27" s="1513"/>
      <c r="Z27" s="1464" t="str">
        <f>Q27</f>
        <v>人流量</v>
      </c>
      <c r="AA27" s="1505">
        <f t="shared" si="3"/>
        <v>1</v>
      </c>
      <c r="AB27" s="1505">
        <f t="shared" si="4"/>
        <v>1</v>
      </c>
      <c r="AC27" s="1505">
        <f t="shared" si="5"/>
        <v>1</v>
      </c>
    </row>
    <row r="28" ht="15.5" spans="1:29">
      <c r="A28" s="1936"/>
      <c r="B28" s="1466" t="s">
        <v>1823</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1746</v>
      </c>
      <c r="S28" s="1502">
        <f t="shared" ref="S28:S46" si="12">F28</f>
        <v>100</v>
      </c>
      <c r="T28" s="1501" t="s">
        <v>1746</v>
      </c>
      <c r="U28" s="1502">
        <f t="shared" ref="U28:U46" si="13">H28</f>
        <v>100</v>
      </c>
      <c r="V28" s="1501" t="s">
        <v>1746</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1505">
        <f t="shared" si="5"/>
        <v>1</v>
      </c>
    </row>
    <row r="31" ht="16.2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1505">
        <f t="shared" si="5"/>
        <v>1</v>
      </c>
    </row>
    <row r="32" ht="15.5" spans="1:29">
      <c r="A32" s="1947" t="s">
        <v>1764</v>
      </c>
      <c r="B32" s="1457" t="s">
        <v>1824</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1766</v>
      </c>
      <c r="Q32" s="1058" t="str">
        <f t="shared" si="11"/>
        <v>商业类型</v>
      </c>
      <c r="R32" s="1501" t="s">
        <v>1746</v>
      </c>
      <c r="S32" s="1502">
        <f t="shared" si="12"/>
        <v>100</v>
      </c>
      <c r="T32" s="1501" t="s">
        <v>1746</v>
      </c>
      <c r="U32" s="1502">
        <f t="shared" si="13"/>
        <v>100</v>
      </c>
      <c r="V32" s="1501" t="s">
        <v>1746</v>
      </c>
      <c r="W32" s="1502">
        <f t="shared" si="14"/>
        <v>100</v>
      </c>
      <c r="X32" s="1404"/>
      <c r="Y32" s="1540" t="s">
        <v>1766</v>
      </c>
      <c r="Z32" s="1504" t="str">
        <f t="shared" si="15"/>
        <v>商业类型</v>
      </c>
      <c r="AA32" s="1505">
        <f t="shared" si="3"/>
        <v>1</v>
      </c>
      <c r="AB32" s="1505">
        <f t="shared" si="4"/>
        <v>1</v>
      </c>
      <c r="AC32" s="1505">
        <f t="shared" si="5"/>
        <v>1</v>
      </c>
    </row>
    <row r="33" s="1362" customFormat="1" ht="15.5" spans="1:29">
      <c r="A33" s="1992"/>
      <c r="B33" s="1466" t="s">
        <v>1767</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1768</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5"/>
        <v>建筑结构</v>
      </c>
      <c r="AA34" s="1505">
        <f t="shared" si="3"/>
        <v>1</v>
      </c>
      <c r="AB34" s="1505">
        <f t="shared" si="4"/>
        <v>1</v>
      </c>
      <c r="AC34" s="1505">
        <f t="shared" si="5"/>
        <v>1</v>
      </c>
    </row>
    <row r="35" ht="15.5" spans="1:29">
      <c r="A35" s="1999"/>
      <c r="B35" s="1466" t="s">
        <v>1770</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1746</v>
      </c>
      <c r="S35" s="1502">
        <f t="shared" si="12"/>
        <v>100</v>
      </c>
      <c r="T35" s="1501" t="s">
        <v>1746</v>
      </c>
      <c r="U35" s="1502">
        <f t="shared" si="13"/>
        <v>100</v>
      </c>
      <c r="V35" s="1501" t="s">
        <v>1746</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704</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1746</v>
      </c>
      <c r="S36" s="1502" t="e">
        <f t="shared" si="12"/>
        <v>#N/A</v>
      </c>
      <c r="T36" s="1501" t="s">
        <v>1746</v>
      </c>
      <c r="U36" s="1502" t="e">
        <f t="shared" si="13"/>
        <v>#N/A</v>
      </c>
      <c r="V36" s="1501" t="s">
        <v>1746</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1772</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1746</v>
      </c>
      <c r="S37" s="1447">
        <f t="shared" si="12"/>
        <v>100</v>
      </c>
      <c r="T37" s="1446" t="s">
        <v>1746</v>
      </c>
      <c r="U37" s="1447">
        <f t="shared" si="13"/>
        <v>100</v>
      </c>
      <c r="V37" s="1446" t="s">
        <v>1746</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1825</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1766</v>
      </c>
      <c r="Q38" s="1058" t="str">
        <f t="shared" si="11"/>
        <v>业态</v>
      </c>
      <c r="R38" s="1501" t="s">
        <v>1746</v>
      </c>
      <c r="S38" s="1502">
        <f t="shared" si="12"/>
        <v>100</v>
      </c>
      <c r="T38" s="1501" t="s">
        <v>1746</v>
      </c>
      <c r="U38" s="1502">
        <f t="shared" si="13"/>
        <v>100</v>
      </c>
      <c r="V38" s="1501" t="s">
        <v>1746</v>
      </c>
      <c r="W38" s="1502">
        <f t="shared" si="14"/>
        <v>100</v>
      </c>
      <c r="X38" s="1404"/>
      <c r="Y38" s="1540" t="s">
        <v>1766</v>
      </c>
      <c r="Z38" s="1504" t="str">
        <f t="shared" si="15"/>
        <v>业态</v>
      </c>
      <c r="AA38" s="1505">
        <f t="shared" si="3"/>
        <v>1</v>
      </c>
      <c r="AB38" s="1505">
        <f t="shared" si="4"/>
        <v>1</v>
      </c>
      <c r="AC38" s="1505">
        <f t="shared" si="5"/>
        <v>1</v>
      </c>
    </row>
    <row r="39" ht="15.5" spans="1:29">
      <c r="A39" s="1999"/>
      <c r="B39" s="1466" t="s">
        <v>1826</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1746</v>
      </c>
      <c r="S39" s="1502">
        <f t="shared" si="12"/>
        <v>100</v>
      </c>
      <c r="T39" s="1501" t="s">
        <v>1746</v>
      </c>
      <c r="U39" s="1502">
        <f t="shared" si="13"/>
        <v>100</v>
      </c>
      <c r="V39" s="1501" t="s">
        <v>1746</v>
      </c>
      <c r="W39" s="1502">
        <f t="shared" si="14"/>
        <v>100</v>
      </c>
      <c r="X39" s="1404"/>
      <c r="Y39" s="1540"/>
      <c r="Z39" s="1504" t="str">
        <f t="shared" si="15"/>
        <v>层高</v>
      </c>
      <c r="AA39" s="1505">
        <f t="shared" si="3"/>
        <v>1</v>
      </c>
      <c r="AB39" s="1505">
        <f t="shared" si="4"/>
        <v>1</v>
      </c>
      <c r="AC39" s="1505">
        <f t="shared" si="5"/>
        <v>1</v>
      </c>
    </row>
    <row r="40" ht="15.5" spans="1:29">
      <c r="A40" s="1999"/>
      <c r="B40" s="1466" t="s">
        <v>1827</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1746</v>
      </c>
      <c r="S40" s="1502">
        <f t="shared" si="12"/>
        <v>100</v>
      </c>
      <c r="T40" s="1501" t="s">
        <v>1746</v>
      </c>
      <c r="U40" s="1502">
        <f t="shared" si="13"/>
        <v>100</v>
      </c>
      <c r="V40" s="1501" t="s">
        <v>1746</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1828</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1746</v>
      </c>
      <c r="S41" s="1550">
        <f t="shared" si="12"/>
        <v>100</v>
      </c>
      <c r="T41" s="1549" t="s">
        <v>1746</v>
      </c>
      <c r="U41" s="1550">
        <f t="shared" si="13"/>
        <v>100</v>
      </c>
      <c r="V41" s="1549" t="s">
        <v>1746</v>
      </c>
      <c r="W41" s="1550">
        <f t="shared" si="14"/>
        <v>100</v>
      </c>
      <c r="X41" s="1551"/>
      <c r="Y41" s="1540"/>
      <c r="Z41" s="1552" t="str">
        <f t="shared" si="15"/>
        <v>进深比</v>
      </c>
      <c r="AA41" s="1505">
        <f t="shared" si="3"/>
        <v>1</v>
      </c>
      <c r="AB41" s="1505">
        <f t="shared" si="4"/>
        <v>1</v>
      </c>
      <c r="AC41" s="1505">
        <f t="shared" si="5"/>
        <v>1</v>
      </c>
    </row>
    <row r="42" ht="15.5" spans="1:29">
      <c r="A42" s="1999"/>
      <c r="B42" s="1466" t="s">
        <v>1775</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5"/>
        <v>内部装修</v>
      </c>
      <c r="AA42" s="1505">
        <f t="shared" si="3"/>
        <v>1</v>
      </c>
      <c r="AB42" s="1505">
        <f t="shared" si="4"/>
        <v>1</v>
      </c>
      <c r="AC42" s="1505">
        <f t="shared" si="5"/>
        <v>1</v>
      </c>
    </row>
    <row r="43" ht="28" spans="1:29">
      <c r="A43" s="1999"/>
      <c r="B43" s="1466" t="s">
        <v>1776</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5"/>
        <v>111</v>
      </c>
      <c r="AA46" s="1505">
        <f t="shared" si="3"/>
        <v>1</v>
      </c>
      <c r="AB46" s="1505">
        <f t="shared" si="4"/>
        <v>1</v>
      </c>
      <c r="AC46" s="1505">
        <f t="shared" si="5"/>
        <v>1</v>
      </c>
    </row>
    <row r="47" spans="1:29">
      <c r="A47" s="1566" t="s">
        <v>1777</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75" spans="1:29">
      <c r="A57" s="1650" t="s">
        <v>1784</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spans="1:29">
      <c r="A58" s="2025" t="s">
        <v>1744</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4.75" spans="1:29">
      <c r="A60" s="1669" t="s">
        <v>1785</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spans="1:29">
      <c r="A61" s="1675" t="s">
        <v>1747</v>
      </c>
      <c r="B61" s="1676"/>
      <c r="C61" s="1677" t="s">
        <v>1786</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4.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1787</v>
      </c>
      <c r="B63" s="1687" t="s">
        <v>1750</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8.75" spans="1:29">
      <c r="A65" s="1694"/>
      <c r="B65" s="1699" t="s">
        <v>1753</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4.75" spans="1:29">
      <c r="A67" s="1694"/>
      <c r="B67" s="1707" t="s">
        <v>1754</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1755</v>
      </c>
      <c r="B76" s="1687" t="s">
        <v>1756</v>
      </c>
      <c r="C76" s="1737" t="s">
        <v>1788</v>
      </c>
      <c r="D76" s="1737" t="s">
        <v>1789</v>
      </c>
      <c r="E76" s="1737" t="s">
        <v>1790</v>
      </c>
      <c r="F76" s="1737" t="s">
        <v>1791</v>
      </c>
      <c r="G76" s="1737" t="s">
        <v>1792</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4.75" spans="1:29">
      <c r="A78" s="1694"/>
      <c r="B78" s="1699" t="s">
        <v>1758</v>
      </c>
      <c r="C78" s="1743" t="s">
        <v>1788</v>
      </c>
      <c r="D78" s="1743" t="s">
        <v>1789</v>
      </c>
      <c r="E78" s="1743" t="s">
        <v>1790</v>
      </c>
      <c r="F78" s="1743" t="s">
        <v>1791</v>
      </c>
      <c r="G78" s="1743" t="s">
        <v>1792</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4.75" spans="1:29">
      <c r="A80" s="1694"/>
      <c r="B80" s="1699" t="s">
        <v>1759</v>
      </c>
      <c r="C80" s="1743" t="s">
        <v>1788</v>
      </c>
      <c r="D80" s="1743" t="s">
        <v>1789</v>
      </c>
      <c r="E80" s="1743" t="s">
        <v>1790</v>
      </c>
      <c r="F80" s="1743" t="s">
        <v>1791</v>
      </c>
      <c r="G80" s="1743" t="s">
        <v>1792</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4.75" spans="1:29">
      <c r="A82" s="1694"/>
      <c r="B82" s="1707" t="s">
        <v>1760</v>
      </c>
      <c r="C82" s="1753" t="s">
        <v>1793</v>
      </c>
      <c r="D82" s="1753" t="s">
        <v>1794</v>
      </c>
      <c r="E82" s="1753" t="s">
        <v>1795</v>
      </c>
      <c r="F82" s="1753" t="s">
        <v>1796</v>
      </c>
      <c r="G82" s="1753" t="s">
        <v>1797</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4.75" spans="1:29">
      <c r="A84" s="1694"/>
      <c r="B84" s="1699" t="s">
        <v>1761</v>
      </c>
      <c r="C84" s="1743" t="s">
        <v>1788</v>
      </c>
      <c r="D84" s="1743" t="s">
        <v>1789</v>
      </c>
      <c r="E84" s="1743" t="s">
        <v>1790</v>
      </c>
      <c r="F84" s="1743" t="s">
        <v>1791</v>
      </c>
      <c r="G84" s="1743" t="s">
        <v>1792</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4.75" spans="1:29">
      <c r="A86" s="1744"/>
      <c r="B86" s="1699" t="s">
        <v>1820</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4.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1764</v>
      </c>
      <c r="B100" s="1687" t="s">
        <v>1824</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4.75" spans="1:29">
      <c r="A102" s="1694"/>
      <c r="B102" s="1699" t="s">
        <v>1767</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4.75" spans="1:29">
      <c r="A105" s="1775"/>
      <c r="B105" s="1699" t="s">
        <v>1768</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4.75" spans="1:29">
      <c r="A107" s="1775"/>
      <c r="B107" s="1699" t="s">
        <v>1770</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4.75" spans="1:29">
      <c r="A109" s="1775"/>
      <c r="B109" s="1699" t="s">
        <v>704</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4.75" spans="1:29">
      <c r="A112" s="1766"/>
      <c r="B112" s="1699" t="s">
        <v>1772</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4.75" spans="1:29">
      <c r="A114" s="1775"/>
      <c r="B114" s="1699" t="s">
        <v>1825</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4.75" spans="1:29">
      <c r="A116" s="1775"/>
      <c r="B116" s="1699" t="s">
        <v>1826</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4.75" spans="1:29">
      <c r="A118" s="1775"/>
      <c r="B118" s="1699" t="s">
        <v>1827</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4.75" spans="1:29">
      <c r="A120" s="1766"/>
      <c r="B120" s="1699" t="s">
        <v>1829</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4.75" spans="1:29">
      <c r="A122" s="1775"/>
      <c r="B122" s="1699" t="s">
        <v>1775</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28.75" spans="1:29">
      <c r="A124" s="1775"/>
      <c r="B124" s="1699" t="s">
        <v>1776</v>
      </c>
      <c r="C124" s="1743" t="s">
        <v>1788</v>
      </c>
      <c r="D124" s="1743" t="s">
        <v>1789</v>
      </c>
      <c r="E124" s="1743" t="s">
        <v>1790</v>
      </c>
      <c r="F124" s="1743" t="s">
        <v>1791</v>
      </c>
      <c r="G124" s="1743" t="s">
        <v>1792</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4.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43" t="s">
        <v>82</v>
      </c>
    </row>
    <row r="2" spans="1:1">
      <c r="A2" s="4744"/>
    </row>
    <row r="3" ht="18" spans="1:1">
      <c r="A3" s="4745" t="str">
        <f>项目基本情况!B5&amp;"："</f>
        <v>：</v>
      </c>
    </row>
    <row r="4" ht="17.5" spans="1:1">
      <c r="A4" s="4746" t="str">
        <f>"受贵公司委托，我公司对"&amp;项目基本情况!S1&amp;"进行了预评估。"</f>
        <v>受贵公司委托，我公司对北京市房地产市场价值进行了预评估。</v>
      </c>
    </row>
    <row r="5" ht="17.5" spans="1:1">
      <c r="A5" s="4747" t="s">
        <v>83</v>
      </c>
    </row>
    <row r="6" ht="17.5" spans="1:1">
      <c r="A6" s="4748" t="s">
        <v>84</v>
      </c>
    </row>
    <row r="7" ht="52.5"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4749" t="s">
        <v>85</v>
      </c>
    </row>
    <row r="9" ht="17.5" spans="1:1">
      <c r="A9" s="4748" t="s">
        <v>86</v>
      </c>
    </row>
    <row r="10" ht="52.5"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ht="70" spans="1:1">
      <c r="A11" s="4749" t="s">
        <v>87</v>
      </c>
    </row>
    <row r="12" ht="1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7.5" spans="1:1">
      <c r="A14" s="4751" t="s">
        <v>89</v>
      </c>
    </row>
    <row r="15" ht="17.5" spans="1:1">
      <c r="A15" s="4752" t="str">
        <f>TEXT(项目基本情况!D3,"yyyy年m月d日;;")&amp;IF(项目基本情况!D3=项目基本情况!B3,"（评估专业人员实地查勘之日）","")</f>
        <v>2026年1月7日</v>
      </c>
    </row>
    <row r="16" ht="17.5" spans="1:1">
      <c r="A16" s="4751" t="s">
        <v>90</v>
      </c>
    </row>
    <row r="17" ht="70" spans="1:1">
      <c r="A17" s="4746" t="s">
        <v>91</v>
      </c>
    </row>
    <row r="18" ht="70"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46" t="str">
        <f>IF(项目基本情况!B9="房地产市场价值","——",IF(项目基本情况!E8="房地产抵押价值",定义!C54,IF(项目基本情况!E8="已注销",定义!C55,定义!C56)))</f>
        <v>——</v>
      </c>
    </row>
    <row r="21" ht="17.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46" t="str">
        <f>IF(项目基本情况!B9="房地产市场价值","——",IF(项目基本情况!E9="——","",定义!C57))</f>
        <v>——</v>
      </c>
    </row>
    <row r="23" ht="17.5" spans="1:1">
      <c r="A23" s="4751" t="s">
        <v>92</v>
      </c>
    </row>
    <row r="24" ht="17.5" spans="1:1">
      <c r="A24" s="4700" t="str">
        <f>"本次评估采用的主估价方法为"&amp;结果表!K4&amp;"和"&amp;结果表!L4&amp;"。"</f>
        <v>本次评估采用的主估价方法为成本法和收益法。</v>
      </c>
    </row>
    <row r="25" ht="17.5" spans="1:1">
      <c r="A25" s="4700"/>
    </row>
    <row r="26" ht="17.5" spans="1:1">
      <c r="A26" s="4753"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1830</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f ca="1">IF(E2="——",C50,ROUND(B2*10000/D3,0))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2172" t="s">
        <v>1737</v>
      </c>
      <c r="Q4" s="2173"/>
      <c r="R4" s="2174" t="s">
        <v>1733</v>
      </c>
      <c r="S4" s="2175"/>
      <c r="T4" s="2174" t="s">
        <v>1734</v>
      </c>
      <c r="U4" s="2175"/>
      <c r="V4" s="2176" t="s">
        <v>1735</v>
      </c>
      <c r="W4" s="2176"/>
      <c r="X4" s="2177"/>
      <c r="Y4" s="2178" t="s">
        <v>1737</v>
      </c>
      <c r="Z4" s="2179"/>
      <c r="AA4" s="2177" t="s">
        <v>1733</v>
      </c>
      <c r="AB4" s="2177" t="s">
        <v>1734</v>
      </c>
      <c r="AC4" s="2180" t="s">
        <v>1735</v>
      </c>
    </row>
    <row r="5" spans="1:29">
      <c r="A5" s="1786"/>
      <c r="B5" s="1787"/>
      <c r="C5" s="1897" t="s">
        <v>1738</v>
      </c>
      <c r="D5" s="1898"/>
      <c r="E5" s="1899" t="s">
        <v>1739</v>
      </c>
      <c r="F5" s="1900"/>
      <c r="G5" s="1897" t="s">
        <v>1740</v>
      </c>
      <c r="H5" s="1898"/>
      <c r="I5" s="1897" t="s">
        <v>1741</v>
      </c>
      <c r="J5" s="1898"/>
      <c r="K5" s="1397"/>
      <c r="L5" s="1398"/>
      <c r="M5" s="1399"/>
      <c r="N5" s="1399"/>
      <c r="O5" s="1399"/>
      <c r="P5" s="2181"/>
      <c r="Q5" s="1415"/>
      <c r="R5" s="1416"/>
      <c r="S5" s="1417"/>
      <c r="T5" s="1416"/>
      <c r="U5" s="1417"/>
      <c r="V5" s="808"/>
      <c r="W5" s="808"/>
      <c r="X5" s="1404"/>
      <c r="Y5" s="1418"/>
      <c r="Z5" s="1419"/>
      <c r="AA5" s="1404"/>
      <c r="AB5" s="1404"/>
      <c r="AC5" s="2064"/>
    </row>
    <row r="6" ht="14.75" spans="1:29">
      <c r="A6" s="1788"/>
      <c r="B6" s="1789"/>
      <c r="C6" s="1903" t="s">
        <v>1742</v>
      </c>
      <c r="D6" s="1904"/>
      <c r="E6" s="1905" t="s">
        <v>1742</v>
      </c>
      <c r="F6" s="1906"/>
      <c r="G6" s="1903" t="s">
        <v>1742</v>
      </c>
      <c r="H6" s="1904"/>
      <c r="I6" s="1903" t="s">
        <v>1742</v>
      </c>
      <c r="J6" s="1904"/>
      <c r="K6" s="1397" t="s">
        <v>1743</v>
      </c>
      <c r="L6" s="1398"/>
      <c r="M6" s="1399"/>
      <c r="N6" s="1399"/>
      <c r="O6" s="1399"/>
      <c r="P6" s="2182"/>
      <c r="Q6" s="1427"/>
      <c r="R6" s="1416"/>
      <c r="S6" s="1417"/>
      <c r="T6" s="1428"/>
      <c r="U6" s="1429"/>
      <c r="V6" s="808"/>
      <c r="W6" s="808"/>
      <c r="X6" s="1404"/>
      <c r="Y6" s="1430"/>
      <c r="Z6" s="1431"/>
      <c r="AA6" s="1432"/>
      <c r="AB6" s="1432"/>
      <c r="AC6" s="2183"/>
    </row>
    <row r="7" s="1360" customFormat="1" ht="14.75" spans="1:29">
      <c r="A7" s="1909" t="s">
        <v>1744</v>
      </c>
      <c r="B7" s="1910"/>
      <c r="C7" s="1911">
        <f>'数据-取费表'!B2</f>
        <v>46029</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2185" t="e">
        <f>D7/J7</f>
        <v>#DIV/0!</v>
      </c>
    </row>
    <row r="8" s="1360" customFormat="1" ht="14.75" spans="1:29">
      <c r="A8" s="1909" t="s">
        <v>1747</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7" si="3">D8/F8</f>
        <v>1</v>
      </c>
      <c r="AB8" s="1451">
        <f t="shared" ref="AB8:AB47" si="4">D8/H8</f>
        <v>1</v>
      </c>
      <c r="AC8" s="2185">
        <f t="shared" ref="AC8:AC47" si="5">D8/J8</f>
        <v>1</v>
      </c>
    </row>
    <row r="9" s="1360" customFormat="1" spans="1:29">
      <c r="A9" s="1923" t="s">
        <v>1749</v>
      </c>
      <c r="B9" s="1924" t="s">
        <v>1750</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2185">
        <f t="shared" si="5"/>
        <v>1</v>
      </c>
    </row>
    <row r="10" s="1361" customFormat="1" ht="28" spans="1:29">
      <c r="A10" s="1930"/>
      <c r="B10" s="1931" t="s">
        <v>1753</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2185">
        <f t="shared" si="5"/>
        <v>1</v>
      </c>
    </row>
    <row r="11" ht="15.5" spans="1:29">
      <c r="A11" s="1936"/>
      <c r="B11" s="1931" t="s">
        <v>1754</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2185">
        <f t="shared" si="5"/>
        <v>1</v>
      </c>
    </row>
    <row r="12" s="1360" customFormat="1" ht="15.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2185">
        <f t="shared" si="5"/>
        <v>1</v>
      </c>
    </row>
    <row r="13" ht="15.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2185">
        <f t="shared" si="5"/>
        <v>1</v>
      </c>
    </row>
    <row r="14" ht="16.2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2185">
        <f t="shared" si="5"/>
        <v>1</v>
      </c>
    </row>
    <row r="15" ht="15.5" spans="1:29">
      <c r="A15" s="1947" t="s">
        <v>1755</v>
      </c>
      <c r="B15" s="2063" t="s">
        <v>1831</v>
      </c>
      <c r="C15" s="2188">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1757</v>
      </c>
      <c r="Q15" s="1058" t="str">
        <f t="shared" si="6"/>
        <v>办公集聚程度</v>
      </c>
      <c r="R15" s="1501" t="s">
        <v>1746</v>
      </c>
      <c r="S15" s="1502">
        <f t="shared" si="0"/>
        <v>100</v>
      </c>
      <c r="T15" s="1501" t="s">
        <v>1746</v>
      </c>
      <c r="U15" s="1502">
        <f t="shared" si="1"/>
        <v>100</v>
      </c>
      <c r="V15" s="1501" t="s">
        <v>1746</v>
      </c>
      <c r="W15" s="1502">
        <f t="shared" si="2"/>
        <v>100</v>
      </c>
      <c r="X15" s="1404"/>
      <c r="Y15" s="1503" t="s">
        <v>1757</v>
      </c>
      <c r="Z15" s="1504" t="str">
        <f t="shared" si="7"/>
        <v>办公集聚程度</v>
      </c>
      <c r="AA15" s="1505">
        <f t="shared" si="3"/>
        <v>1</v>
      </c>
      <c r="AB15" s="1505">
        <f t="shared" si="4"/>
        <v>1</v>
      </c>
      <c r="AC15" s="2190">
        <f t="shared" si="5"/>
        <v>1</v>
      </c>
    </row>
    <row r="16" ht="15.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15.5" spans="1:29">
      <c r="A17" s="1936"/>
      <c r="B17" s="2065" t="s">
        <v>1758</v>
      </c>
      <c r="C17" s="2194">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2190">
        <f t="shared" si="5"/>
        <v>1</v>
      </c>
    </row>
    <row r="18" ht="15.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15.5" spans="1:29">
      <c r="A19" s="1936"/>
      <c r="B19" s="2065" t="s">
        <v>1759</v>
      </c>
      <c r="C19" s="2194">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2190">
        <f t="shared" si="5"/>
        <v>1</v>
      </c>
    </row>
    <row r="20" ht="15.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15.5" spans="1:29">
      <c r="A21" s="1936"/>
      <c r="B21" s="2067" t="s">
        <v>1760</v>
      </c>
      <c r="C21" s="2194">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2190">
        <f t="shared" ref="AC21" si="10">D21/J21</f>
        <v>1</v>
      </c>
    </row>
    <row r="22" ht="15.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15.5" spans="1:29">
      <c r="A23" s="1936"/>
      <c r="B23" s="2065" t="s">
        <v>1832</v>
      </c>
      <c r="C23" s="2194">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2190">
        <f t="shared" si="5"/>
        <v>1</v>
      </c>
    </row>
    <row r="24" ht="15.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 spans="1:29">
      <c r="A25" s="1786"/>
      <c r="B25" s="2065" t="s">
        <v>1833</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1746</v>
      </c>
      <c r="S25" s="1502">
        <f>F25</f>
        <v>100</v>
      </c>
      <c r="T25" s="1501" t="s">
        <v>1746</v>
      </c>
      <c r="U25" s="1502">
        <f>H25</f>
        <v>100</v>
      </c>
      <c r="V25" s="1501" t="s">
        <v>1746</v>
      </c>
      <c r="W25" s="1502">
        <f>J25</f>
        <v>100</v>
      </c>
      <c r="X25" s="1404"/>
      <c r="Y25" s="1513"/>
      <c r="Z25" s="1504" t="str">
        <f>Q25</f>
        <v>毗邻道路的类型与等级</v>
      </c>
      <c r="AA25" s="1505">
        <f t="shared" si="3"/>
        <v>1</v>
      </c>
      <c r="AB25" s="1505">
        <f t="shared" si="4"/>
        <v>1</v>
      </c>
      <c r="AC25" s="2190">
        <f t="shared" si="5"/>
        <v>1</v>
      </c>
    </row>
    <row r="26" ht="15.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5" spans="1:29">
      <c r="A27" s="1936"/>
      <c r="B27" s="2066" t="s">
        <v>1823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1746</v>
      </c>
      <c r="S27" s="1502">
        <f>F27</f>
        <v>100</v>
      </c>
      <c r="T27" s="1501" t="s">
        <v>1746</v>
      </c>
      <c r="U27" s="1502">
        <f>H27</f>
        <v>100</v>
      </c>
      <c r="V27" s="1501" t="s">
        <v>1746</v>
      </c>
      <c r="W27" s="1502">
        <f>J27</f>
        <v>100</v>
      </c>
      <c r="X27" s="1404"/>
      <c r="Y27" s="1513"/>
      <c r="Z27" s="1504" t="str">
        <f>Q27</f>
        <v>楼层</v>
      </c>
      <c r="AA27" s="1505">
        <f t="shared" si="3"/>
        <v>1</v>
      </c>
      <c r="AB27" s="1505">
        <f t="shared" si="4"/>
        <v>1</v>
      </c>
      <c r="AC27" s="2190">
        <f t="shared" si="5"/>
        <v>1</v>
      </c>
    </row>
    <row r="28" s="1360" customFormat="1" ht="15.5" spans="1:29">
      <c r="A28" s="1940"/>
      <c r="B28" s="2065" t="s">
        <v>1763</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1746</v>
      </c>
      <c r="S28" s="1447">
        <f>F28</f>
        <v>100</v>
      </c>
      <c r="T28" s="1446" t="s">
        <v>1746</v>
      </c>
      <c r="U28" s="1447">
        <f>H28</f>
        <v>100</v>
      </c>
      <c r="V28" s="1446" t="s">
        <v>1746</v>
      </c>
      <c r="W28" s="1447">
        <f>J28</f>
        <v>100</v>
      </c>
      <c r="X28" s="1448"/>
      <c r="Y28" s="1513"/>
      <c r="Z28" s="1464" t="str">
        <f>Q28</f>
        <v>朝向</v>
      </c>
      <c r="AA28" s="1505">
        <f t="shared" si="3"/>
        <v>1</v>
      </c>
      <c r="AB28" s="1505">
        <f t="shared" si="4"/>
        <v>1</v>
      </c>
      <c r="AC28" s="2190">
        <f t="shared" si="5"/>
        <v>1</v>
      </c>
    </row>
    <row r="29" ht="15.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1746</v>
      </c>
      <c r="S29" s="1502">
        <f t="shared" ref="S29:S47" si="12">F29</f>
        <v>100</v>
      </c>
      <c r="T29" s="1501" t="s">
        <v>1746</v>
      </c>
      <c r="U29" s="1502">
        <f t="shared" ref="U29:U47" si="13">H29</f>
        <v>100</v>
      </c>
      <c r="V29" s="1501" t="s">
        <v>1746</v>
      </c>
      <c r="W29" s="1502">
        <f t="shared" ref="W29:W47" si="14">J29</f>
        <v>100</v>
      </c>
      <c r="X29" s="1404"/>
      <c r="Y29" s="1513"/>
      <c r="Z29" s="1504">
        <f t="shared" ref="Z29:Z47" si="15">Q29</f>
        <v>111</v>
      </c>
      <c r="AA29" s="1505">
        <f t="shared" si="3"/>
        <v>1</v>
      </c>
      <c r="AB29" s="1505">
        <f t="shared" si="4"/>
        <v>1</v>
      </c>
      <c r="AC29" s="2190">
        <f t="shared" si="5"/>
        <v>1</v>
      </c>
    </row>
    <row r="30" ht="15.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2190">
        <f t="shared" si="5"/>
        <v>1</v>
      </c>
    </row>
    <row r="31" ht="15.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2190">
        <f t="shared" si="5"/>
        <v>1</v>
      </c>
    </row>
    <row r="32" ht="16.2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1746</v>
      </c>
      <c r="S32" s="1502">
        <f t="shared" si="12"/>
        <v>100</v>
      </c>
      <c r="T32" s="1501" t="s">
        <v>1746</v>
      </c>
      <c r="U32" s="1502">
        <f t="shared" si="13"/>
        <v>100</v>
      </c>
      <c r="V32" s="1501" t="s">
        <v>1746</v>
      </c>
      <c r="W32" s="1502">
        <f t="shared" si="14"/>
        <v>100</v>
      </c>
      <c r="X32" s="1404"/>
      <c r="Y32" s="1513"/>
      <c r="Z32" s="1504">
        <f t="shared" si="15"/>
        <v>111</v>
      </c>
      <c r="AA32" s="1505">
        <f t="shared" si="3"/>
        <v>1</v>
      </c>
      <c r="AB32" s="1505">
        <f t="shared" si="4"/>
        <v>1</v>
      </c>
      <c r="AC32" s="2190">
        <f t="shared" si="5"/>
        <v>1</v>
      </c>
    </row>
    <row r="33" ht="15.5" spans="1:29">
      <c r="A33" s="1947" t="s">
        <v>1764</v>
      </c>
      <c r="B33" s="1924" t="s">
        <v>1765</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1766</v>
      </c>
      <c r="Q33" s="1058" t="str">
        <f t="shared" si="11"/>
        <v>建筑类型</v>
      </c>
      <c r="R33" s="1501" t="s">
        <v>1746</v>
      </c>
      <c r="S33" s="1502">
        <f t="shared" si="12"/>
        <v>100</v>
      </c>
      <c r="T33" s="1501" t="s">
        <v>1746</v>
      </c>
      <c r="U33" s="1502">
        <f t="shared" si="13"/>
        <v>100</v>
      </c>
      <c r="V33" s="1501" t="s">
        <v>1746</v>
      </c>
      <c r="W33" s="1502">
        <f t="shared" si="14"/>
        <v>100</v>
      </c>
      <c r="X33" s="1404"/>
      <c r="Y33" s="1540" t="s">
        <v>1766</v>
      </c>
      <c r="Z33" s="1504" t="str">
        <f t="shared" si="15"/>
        <v>建筑类型</v>
      </c>
      <c r="AA33" s="1505">
        <f t="shared" si="3"/>
        <v>1</v>
      </c>
      <c r="AB33" s="1505">
        <f t="shared" si="4"/>
        <v>1</v>
      </c>
      <c r="AC33" s="2190">
        <f t="shared" si="5"/>
        <v>1</v>
      </c>
    </row>
    <row r="34" s="1362" customFormat="1" ht="15.5" spans="1:29">
      <c r="A34" s="1992"/>
      <c r="B34" s="1931" t="s">
        <v>1767</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1746</v>
      </c>
      <c r="S34" s="1550" t="e">
        <f t="shared" si="12"/>
        <v>#N/A</v>
      </c>
      <c r="T34" s="1549" t="s">
        <v>1746</v>
      </c>
      <c r="U34" s="1550" t="e">
        <f t="shared" si="13"/>
        <v>#N/A</v>
      </c>
      <c r="V34" s="1549" t="s">
        <v>1746</v>
      </c>
      <c r="W34" s="1550" t="e">
        <f t="shared" si="14"/>
        <v>#N/A</v>
      </c>
      <c r="X34" s="1551"/>
      <c r="Y34" s="1540"/>
      <c r="Z34" s="1552" t="str">
        <f t="shared" si="15"/>
        <v>项目建筑规模</v>
      </c>
      <c r="AA34" s="1505" t="e">
        <f t="shared" si="3"/>
        <v>#N/A</v>
      </c>
      <c r="AB34" s="1505" t="e">
        <f t="shared" si="4"/>
        <v>#N/A</v>
      </c>
      <c r="AC34" s="2190" t="e">
        <f t="shared" si="5"/>
        <v>#N/A</v>
      </c>
    </row>
    <row r="35" ht="15.5" spans="1:29">
      <c r="A35" s="1999"/>
      <c r="B35" s="1931" t="s">
        <v>1768</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1746</v>
      </c>
      <c r="S35" s="1502">
        <f t="shared" si="12"/>
        <v>100</v>
      </c>
      <c r="T35" s="1501" t="s">
        <v>1746</v>
      </c>
      <c r="U35" s="1502">
        <f t="shared" si="13"/>
        <v>100</v>
      </c>
      <c r="V35" s="1501" t="s">
        <v>1746</v>
      </c>
      <c r="W35" s="1502">
        <f t="shared" si="14"/>
        <v>100</v>
      </c>
      <c r="X35" s="1404"/>
      <c r="Y35" s="1540"/>
      <c r="Z35" s="1504" t="str">
        <f t="shared" si="15"/>
        <v>建筑结构</v>
      </c>
      <c r="AA35" s="1505">
        <f t="shared" si="3"/>
        <v>1</v>
      </c>
      <c r="AB35" s="1505">
        <f t="shared" si="4"/>
        <v>1</v>
      </c>
      <c r="AC35" s="2190">
        <f t="shared" si="5"/>
        <v>1</v>
      </c>
    </row>
    <row r="36" ht="15.5" spans="1:29">
      <c r="A36" s="1999"/>
      <c r="B36" s="1931" t="s">
        <v>1770</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5"/>
        <v>公共部分装修</v>
      </c>
      <c r="AA36" s="1505">
        <f t="shared" si="3"/>
        <v>1</v>
      </c>
      <c r="AB36" s="1505">
        <f t="shared" si="4"/>
        <v>1</v>
      </c>
      <c r="AC36" s="2190">
        <f t="shared" si="5"/>
        <v>1</v>
      </c>
    </row>
    <row r="37" ht="15.5" spans="1:29">
      <c r="A37" s="1999"/>
      <c r="B37" s="1931" t="s">
        <v>704</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1746</v>
      </c>
      <c r="S37" s="1502" t="e">
        <f t="shared" si="12"/>
        <v>#N/A</v>
      </c>
      <c r="T37" s="1501" t="s">
        <v>1746</v>
      </c>
      <c r="U37" s="1502" t="e">
        <f t="shared" si="13"/>
        <v>#N/A</v>
      </c>
      <c r="V37" s="1501" t="s">
        <v>1746</v>
      </c>
      <c r="W37" s="1502" t="e">
        <f t="shared" si="14"/>
        <v>#N/A</v>
      </c>
      <c r="X37" s="1404"/>
      <c r="Y37" s="1540"/>
      <c r="Z37" s="1504" t="str">
        <f t="shared" si="15"/>
        <v>成新度</v>
      </c>
      <c r="AA37" s="1505" t="e">
        <f t="shared" si="3"/>
        <v>#N/A</v>
      </c>
      <c r="AB37" s="1505" t="e">
        <f t="shared" si="4"/>
        <v>#N/A</v>
      </c>
      <c r="AC37" s="2190" t="e">
        <f t="shared" si="5"/>
        <v>#N/A</v>
      </c>
    </row>
    <row r="38" s="1360" customFormat="1" ht="15.5" spans="1:29">
      <c r="A38" s="2002"/>
      <c r="B38" s="1931" t="s">
        <v>1834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1746</v>
      </c>
      <c r="S38" s="1447">
        <f t="shared" si="12"/>
        <v>100</v>
      </c>
      <c r="T38" s="1446" t="s">
        <v>1746</v>
      </c>
      <c r="U38" s="1447">
        <f t="shared" si="13"/>
        <v>100</v>
      </c>
      <c r="V38" s="1446" t="s">
        <v>1746</v>
      </c>
      <c r="W38" s="1447">
        <f t="shared" si="14"/>
        <v>100</v>
      </c>
      <c r="X38" s="1448"/>
      <c r="Y38" s="1540"/>
      <c r="Z38" s="1464" t="str">
        <f t="shared" si="15"/>
        <v>写字楼等级</v>
      </c>
      <c r="AA38" s="1451">
        <f t="shared" si="3"/>
        <v>1</v>
      </c>
      <c r="AB38" s="1451">
        <f t="shared" si="4"/>
        <v>1</v>
      </c>
      <c r="AC38" s="2185">
        <f t="shared" si="5"/>
        <v>1</v>
      </c>
    </row>
    <row r="39" ht="15.5" spans="1:29">
      <c r="A39" s="1999"/>
      <c r="B39" s="1931" t="s">
        <v>1771</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1766</v>
      </c>
      <c r="Q39" s="1058" t="str">
        <f t="shared" si="11"/>
        <v>物业管理</v>
      </c>
      <c r="R39" s="1501" t="s">
        <v>1746</v>
      </c>
      <c r="S39" s="1502">
        <f t="shared" si="12"/>
        <v>100</v>
      </c>
      <c r="T39" s="1501" t="s">
        <v>1746</v>
      </c>
      <c r="U39" s="1502">
        <f t="shared" si="13"/>
        <v>100</v>
      </c>
      <c r="V39" s="1501" t="s">
        <v>1746</v>
      </c>
      <c r="W39" s="1502">
        <f t="shared" si="14"/>
        <v>100</v>
      </c>
      <c r="X39" s="1404"/>
      <c r="Y39" s="1540" t="s">
        <v>1766</v>
      </c>
      <c r="Z39" s="1504" t="str">
        <f t="shared" si="15"/>
        <v>物业管理</v>
      </c>
      <c r="AA39" s="1505">
        <f t="shared" si="3"/>
        <v>1</v>
      </c>
      <c r="AB39" s="1505">
        <f t="shared" si="4"/>
        <v>1</v>
      </c>
      <c r="AC39" s="2190">
        <f t="shared" si="5"/>
        <v>1</v>
      </c>
    </row>
    <row r="40" ht="15.5" spans="1:29">
      <c r="A40" s="1999"/>
      <c r="B40" s="1931" t="s">
        <v>1772</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1746</v>
      </c>
      <c r="S40" s="1502">
        <f t="shared" si="12"/>
        <v>100</v>
      </c>
      <c r="T40" s="1501" t="s">
        <v>1746</v>
      </c>
      <c r="U40" s="1502">
        <f t="shared" si="13"/>
        <v>100</v>
      </c>
      <c r="V40" s="1501" t="s">
        <v>1746</v>
      </c>
      <c r="W40" s="1502">
        <f t="shared" si="14"/>
        <v>100</v>
      </c>
      <c r="X40" s="1404"/>
      <c r="Y40" s="1540"/>
      <c r="Z40" s="1504" t="str">
        <f t="shared" si="15"/>
        <v>市政基础设施</v>
      </c>
      <c r="AA40" s="1505">
        <f t="shared" si="3"/>
        <v>1</v>
      </c>
      <c r="AB40" s="1505">
        <f t="shared" si="4"/>
        <v>1</v>
      </c>
      <c r="AC40" s="2190">
        <f t="shared" si="5"/>
        <v>1</v>
      </c>
    </row>
    <row r="41" ht="15.5" spans="1:29">
      <c r="A41" s="1999"/>
      <c r="B41" s="1931" t="s">
        <v>1826</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1746</v>
      </c>
      <c r="S41" s="1502">
        <f t="shared" si="12"/>
        <v>100</v>
      </c>
      <c r="T41" s="1501" t="s">
        <v>1746</v>
      </c>
      <c r="U41" s="1502">
        <f t="shared" si="13"/>
        <v>100</v>
      </c>
      <c r="V41" s="1501" t="s">
        <v>1746</v>
      </c>
      <c r="W41" s="1502">
        <f t="shared" si="14"/>
        <v>100</v>
      </c>
      <c r="X41" s="1404"/>
      <c r="Y41" s="1540"/>
      <c r="Z41" s="1504" t="str">
        <f t="shared" si="15"/>
        <v>层高</v>
      </c>
      <c r="AA41" s="1505">
        <f t="shared" si="3"/>
        <v>1</v>
      </c>
      <c r="AB41" s="1505">
        <f t="shared" si="4"/>
        <v>1</v>
      </c>
      <c r="AC41" s="2190">
        <f t="shared" si="5"/>
        <v>1</v>
      </c>
    </row>
    <row r="42" s="1362" customFormat="1" ht="15.5" spans="1:29">
      <c r="A42" s="1992"/>
      <c r="B42" s="2021" t="s">
        <v>1835</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1746</v>
      </c>
      <c r="S42" s="1550">
        <f t="shared" si="12"/>
        <v>100</v>
      </c>
      <c r="T42" s="1549" t="s">
        <v>1746</v>
      </c>
      <c r="U42" s="1550">
        <f t="shared" si="13"/>
        <v>100</v>
      </c>
      <c r="V42" s="1549" t="s">
        <v>1746</v>
      </c>
      <c r="W42" s="1550">
        <f t="shared" si="14"/>
        <v>100</v>
      </c>
      <c r="X42" s="1551"/>
      <c r="Y42" s="1540"/>
      <c r="Z42" s="1552" t="str">
        <f t="shared" si="15"/>
        <v>单套建筑面积</v>
      </c>
      <c r="AA42" s="1505">
        <f t="shared" si="3"/>
        <v>1</v>
      </c>
      <c r="AB42" s="1505">
        <f t="shared" si="4"/>
        <v>1</v>
      </c>
      <c r="AC42" s="2190">
        <f t="shared" si="5"/>
        <v>1</v>
      </c>
    </row>
    <row r="43" ht="15.5" spans="1:29">
      <c r="A43" s="1999"/>
      <c r="B43" s="1931" t="s">
        <v>1775</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1746</v>
      </c>
      <c r="S43" s="1502">
        <f t="shared" si="12"/>
        <v>100</v>
      </c>
      <c r="T43" s="1501" t="s">
        <v>1746</v>
      </c>
      <c r="U43" s="1502">
        <f t="shared" si="13"/>
        <v>100</v>
      </c>
      <c r="V43" s="1501" t="s">
        <v>1746</v>
      </c>
      <c r="W43" s="1502">
        <f t="shared" si="14"/>
        <v>100</v>
      </c>
      <c r="X43" s="1404"/>
      <c r="Y43" s="1540"/>
      <c r="Z43" s="1504" t="str">
        <f t="shared" si="15"/>
        <v>内部装修</v>
      </c>
      <c r="AA43" s="1505">
        <f t="shared" si="3"/>
        <v>1</v>
      </c>
      <c r="AB43" s="1505">
        <f t="shared" si="4"/>
        <v>1</v>
      </c>
      <c r="AC43" s="2190">
        <f t="shared" si="5"/>
        <v>1</v>
      </c>
    </row>
    <row r="44" ht="28" spans="1:29">
      <c r="A44" s="1999"/>
      <c r="B44" s="1931" t="s">
        <v>1776</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1746</v>
      </c>
      <c r="S44" s="1502">
        <f t="shared" si="12"/>
        <v>100</v>
      </c>
      <c r="T44" s="1501" t="s">
        <v>1746</v>
      </c>
      <c r="U44" s="1502">
        <f t="shared" si="13"/>
        <v>100</v>
      </c>
      <c r="V44" s="1501" t="s">
        <v>1746</v>
      </c>
      <c r="W44" s="1502">
        <f t="shared" si="14"/>
        <v>100</v>
      </c>
      <c r="X44" s="1404"/>
      <c r="Y44" s="1540"/>
      <c r="Z44" s="1504" t="str">
        <f t="shared" si="15"/>
        <v>内部装修维护情况</v>
      </c>
      <c r="AA44" s="1505">
        <f t="shared" si="3"/>
        <v>1</v>
      </c>
      <c r="AB44" s="1505">
        <f t="shared" si="4"/>
        <v>1</v>
      </c>
      <c r="AC44" s="2190">
        <f t="shared" si="5"/>
        <v>1</v>
      </c>
    </row>
    <row r="45" s="1360" customFormat="1" ht="15.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1746</v>
      </c>
      <c r="S45" s="1447">
        <f t="shared" si="12"/>
        <v>100</v>
      </c>
      <c r="T45" s="1446" t="s">
        <v>1746</v>
      </c>
      <c r="U45" s="1447">
        <f t="shared" si="13"/>
        <v>100</v>
      </c>
      <c r="V45" s="1446" t="s">
        <v>1746</v>
      </c>
      <c r="W45" s="1447">
        <f t="shared" si="14"/>
        <v>100</v>
      </c>
      <c r="X45" s="1448"/>
      <c r="Y45" s="1540"/>
      <c r="Z45" s="1464">
        <f t="shared" si="15"/>
        <v>111</v>
      </c>
      <c r="AA45" s="1451">
        <f t="shared" si="3"/>
        <v>1</v>
      </c>
      <c r="AB45" s="1451">
        <f t="shared" si="4"/>
        <v>1</v>
      </c>
      <c r="AC45" s="2185">
        <f t="shared" si="5"/>
        <v>1</v>
      </c>
    </row>
    <row r="46" ht="15.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1746</v>
      </c>
      <c r="S46" s="1502">
        <f t="shared" si="12"/>
        <v>100</v>
      </c>
      <c r="T46" s="1501" t="s">
        <v>1746</v>
      </c>
      <c r="U46" s="1502">
        <f t="shared" si="13"/>
        <v>100</v>
      </c>
      <c r="V46" s="1501" t="s">
        <v>1746</v>
      </c>
      <c r="W46" s="1502">
        <f t="shared" si="14"/>
        <v>100</v>
      </c>
      <c r="X46" s="1404"/>
      <c r="Y46" s="1540"/>
      <c r="Z46" s="1504">
        <f t="shared" si="15"/>
        <v>111</v>
      </c>
      <c r="AA46" s="1505">
        <f t="shared" si="3"/>
        <v>1</v>
      </c>
      <c r="AB46" s="1505">
        <f t="shared" si="4"/>
        <v>1</v>
      </c>
      <c r="AC46" s="2190">
        <f t="shared" si="5"/>
        <v>1</v>
      </c>
    </row>
    <row r="47" ht="16.2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1746</v>
      </c>
      <c r="S47" s="1502">
        <f t="shared" si="12"/>
        <v>100</v>
      </c>
      <c r="T47" s="1501" t="s">
        <v>1746</v>
      </c>
      <c r="U47" s="1502">
        <f t="shared" si="13"/>
        <v>100</v>
      </c>
      <c r="V47" s="1501" t="s">
        <v>1746</v>
      </c>
      <c r="W47" s="1502">
        <f t="shared" si="14"/>
        <v>100</v>
      </c>
      <c r="X47" s="1404"/>
      <c r="Y47" s="2143"/>
      <c r="Z47" s="1504">
        <f t="shared" si="15"/>
        <v>111</v>
      </c>
      <c r="AA47" s="1505">
        <f t="shared" si="3"/>
        <v>1</v>
      </c>
      <c r="AB47" s="1505">
        <f t="shared" si="4"/>
        <v>1</v>
      </c>
      <c r="AC47" s="2190">
        <f t="shared" si="5"/>
        <v>1</v>
      </c>
    </row>
    <row r="48" spans="1:29">
      <c r="A48" s="1566" t="s">
        <v>1777</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4.75" spans="1:29">
      <c r="A49" s="1580" t="s">
        <v>1778</v>
      </c>
      <c r="B49" s="2015"/>
      <c r="C49" s="2016" t="e">
        <f>R50</f>
        <v>#DIV/0!</v>
      </c>
      <c r="D49" s="1820" t="s">
        <v>1779</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4.75" spans="1:29">
      <c r="A50" s="1588" t="s">
        <v>1780</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75" spans="1:29">
      <c r="A58" s="1650" t="s">
        <v>1784</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spans="1:29">
      <c r="A59" s="2025" t="s">
        <v>1744</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4.75" spans="1:29">
      <c r="A61" s="1669" t="s">
        <v>1785</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spans="1:29">
      <c r="A62" s="1675" t="s">
        <v>1747</v>
      </c>
      <c r="B62" s="1676"/>
      <c r="C62" s="1677" t="s">
        <v>1786</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1787</v>
      </c>
      <c r="B64" s="1687" t="s">
        <v>1750</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8.75" spans="1:29">
      <c r="A66" s="1694"/>
      <c r="B66" s="1699" t="s">
        <v>1753</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4.75" spans="1:29">
      <c r="A68" s="1694"/>
      <c r="B68" s="1707" t="s">
        <v>1754</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1755</v>
      </c>
      <c r="B77" s="1687" t="s">
        <v>1831</v>
      </c>
      <c r="C77" s="1737" t="s">
        <v>1788</v>
      </c>
      <c r="D77" s="1737" t="s">
        <v>1789</v>
      </c>
      <c r="E77" s="1737" t="s">
        <v>1790</v>
      </c>
      <c r="F77" s="1737" t="s">
        <v>1791</v>
      </c>
      <c r="G77" s="1737" t="s">
        <v>1792</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4.75" spans="1:29">
      <c r="A79" s="1694"/>
      <c r="B79" s="1699" t="s">
        <v>1758</v>
      </c>
      <c r="C79" s="1743" t="s">
        <v>1788</v>
      </c>
      <c r="D79" s="1743" t="s">
        <v>1789</v>
      </c>
      <c r="E79" s="1743" t="s">
        <v>1790</v>
      </c>
      <c r="F79" s="1743" t="s">
        <v>1791</v>
      </c>
      <c r="G79" s="1743" t="s">
        <v>1792</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4.75" spans="1:29">
      <c r="A81" s="1694"/>
      <c r="B81" s="1699" t="s">
        <v>1759</v>
      </c>
      <c r="C81" s="1743" t="s">
        <v>1788</v>
      </c>
      <c r="D81" s="1743" t="s">
        <v>1789</v>
      </c>
      <c r="E81" s="1743" t="s">
        <v>1790</v>
      </c>
      <c r="F81" s="1743" t="s">
        <v>1791</v>
      </c>
      <c r="G81" s="1743" t="s">
        <v>1792</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4.75" spans="1:29">
      <c r="A83" s="1694"/>
      <c r="B83" s="1707" t="s">
        <v>1760</v>
      </c>
      <c r="C83" s="1753" t="s">
        <v>1793</v>
      </c>
      <c r="D83" s="1753" t="s">
        <v>1794</v>
      </c>
      <c r="E83" s="1753" t="s">
        <v>1795</v>
      </c>
      <c r="F83" s="1753" t="s">
        <v>1796</v>
      </c>
      <c r="G83" s="1753" t="s">
        <v>1797</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4.75" spans="1:29">
      <c r="A85" s="1694"/>
      <c r="B85" s="1699" t="s">
        <v>1832</v>
      </c>
      <c r="C85" s="1743" t="s">
        <v>1788</v>
      </c>
      <c r="D85" s="1743" t="s">
        <v>1789</v>
      </c>
      <c r="E85" s="1743" t="s">
        <v>1790</v>
      </c>
      <c r="F85" s="1743" t="s">
        <v>1791</v>
      </c>
      <c r="G85" s="1743" t="s">
        <v>1792</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8.75" spans="1:29">
      <c r="A87" s="1744"/>
      <c r="B87" s="1699" t="s">
        <v>1833</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4.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1764</v>
      </c>
      <c r="B101" s="1687" t="s">
        <v>1765</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4.75" spans="1:29">
      <c r="A103" s="1694"/>
      <c r="B103" s="1699" t="s">
        <v>1767</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4.75" spans="1:29">
      <c r="A106" s="1775"/>
      <c r="B106" s="1699" t="s">
        <v>1768</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4.75" spans="1:29">
      <c r="A108" s="1775"/>
      <c r="B108" s="1699" t="s">
        <v>1770</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4.75" spans="1:29">
      <c r="A110" s="1775"/>
      <c r="B110" s="1699" t="s">
        <v>704</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4.75" spans="1:29">
      <c r="A113" s="1766"/>
      <c r="B113" s="1699" t="s">
        <v>1834</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4.75" spans="1:29">
      <c r="A115" s="1775"/>
      <c r="B115" s="1699" t="s">
        <v>1771</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4.75" spans="1:29">
      <c r="A117" s="1775"/>
      <c r="B117" s="1699" t="s">
        <v>1772</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4.75" spans="1:29">
      <c r="A119" s="1775"/>
      <c r="B119" s="2039" t="s">
        <v>1836</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4.75" spans="1:29">
      <c r="A121" s="1766"/>
      <c r="B121" s="1699" t="s">
        <v>1827</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4.75" spans="1:29">
      <c r="A123" s="1775"/>
      <c r="B123" s="1699" t="s">
        <v>1775</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8.75" spans="1:29">
      <c r="A125" s="1775"/>
      <c r="B125" s="1699" t="s">
        <v>1776</v>
      </c>
      <c r="C125" s="1743" t="s">
        <v>1788</v>
      </c>
      <c r="D125" s="1743" t="s">
        <v>1789</v>
      </c>
      <c r="E125" s="1743" t="s">
        <v>1790</v>
      </c>
      <c r="F125" s="1743" t="s">
        <v>1791</v>
      </c>
      <c r="G125" s="1743" t="s">
        <v>1792</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1837</v>
      </c>
      <c r="C1" s="1870" t="s">
        <v>1728</v>
      </c>
      <c r="D1" s="1871"/>
      <c r="E1" s="1872"/>
      <c r="F1" s="1873"/>
      <c r="G1" s="1874" t="s">
        <v>1729</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1107</v>
      </c>
      <c r="B3" s="1888">
        <f ca="1">IF(E2="——",C43,ROUND(B2*10000/D3,0))</f>
        <v>0</v>
      </c>
      <c r="C3" s="1889" t="s">
        <v>1730</v>
      </c>
      <c r="D3" s="1888">
        <f>IF(D1="",'数据-汇总表'!E3,SUMIF('数据-汇总表'!$C19:$C33,D1,'数据-汇总表'!$E19:$E33))</f>
        <v>16724.51</v>
      </c>
      <c r="E3" s="1890" t="s">
        <v>1321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2116"/>
      <c r="M4" s="2117"/>
      <c r="N4" s="2117"/>
      <c r="O4" s="2117"/>
      <c r="P4" s="1400" t="s">
        <v>1737</v>
      </c>
      <c r="Q4" s="1401"/>
      <c r="R4" s="1402" t="s">
        <v>1733</v>
      </c>
      <c r="S4" s="1403"/>
      <c r="T4" s="1402" t="s">
        <v>1734</v>
      </c>
      <c r="U4" s="1403"/>
      <c r="V4" s="808" t="s">
        <v>1735</v>
      </c>
      <c r="W4" s="808"/>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2116"/>
      <c r="M5" s="2117"/>
      <c r="N5" s="2117"/>
      <c r="O5" s="2117"/>
      <c r="P5" s="1414"/>
      <c r="Q5" s="1415"/>
      <c r="R5" s="1416"/>
      <c r="S5" s="1417"/>
      <c r="T5" s="1416"/>
      <c r="U5" s="1417"/>
      <c r="V5" s="808"/>
      <c r="W5" s="808"/>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2116"/>
      <c r="M6" s="2117"/>
      <c r="N6" s="2117"/>
      <c r="O6" s="2117"/>
      <c r="P6" s="1426"/>
      <c r="Q6" s="1427"/>
      <c r="R6" s="1416"/>
      <c r="S6" s="1417"/>
      <c r="T6" s="1428"/>
      <c r="U6" s="1429"/>
      <c r="V6" s="808"/>
      <c r="W6" s="808"/>
      <c r="X6" s="1404"/>
      <c r="Y6" s="1430"/>
      <c r="Z6" s="1431"/>
      <c r="AA6" s="1432"/>
      <c r="AB6" s="1432"/>
      <c r="AC6" s="1432"/>
    </row>
    <row r="7" s="1360" customFormat="1" ht="14.75" spans="1:29">
      <c r="A7" s="1909" t="s">
        <v>1744</v>
      </c>
      <c r="B7" s="1910"/>
      <c r="C7" s="1911">
        <f>'数据-取费表'!B2</f>
        <v>46029</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0" si="3">D8/F8</f>
        <v>1</v>
      </c>
      <c r="AB8" s="1451">
        <f t="shared" ref="AB8:AB40" si="4">D8/H8</f>
        <v>1</v>
      </c>
      <c r="AC8" s="1451">
        <f t="shared" ref="AC8:AC40" si="5">D8/J8</f>
        <v>1</v>
      </c>
    </row>
    <row r="9" s="1360" customFormat="1" spans="1:29">
      <c r="A9" s="1923" t="s">
        <v>1749</v>
      </c>
      <c r="B9" s="1924" t="s">
        <v>1750</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931" t="s">
        <v>1753</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1754</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948" t="s">
        <v>1838</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1757</v>
      </c>
      <c r="Q15" s="1058" t="str">
        <f t="shared" si="6"/>
        <v>产业集聚程度</v>
      </c>
      <c r="R15" s="1501" t="s">
        <v>1746</v>
      </c>
      <c r="S15" s="1502">
        <f t="shared" si="0"/>
        <v>100</v>
      </c>
      <c r="T15" s="1501" t="s">
        <v>1746</v>
      </c>
      <c r="U15" s="1502">
        <f t="shared" si="1"/>
        <v>100</v>
      </c>
      <c r="V15" s="1501" t="s">
        <v>1746</v>
      </c>
      <c r="W15" s="1502">
        <f t="shared" si="2"/>
        <v>100</v>
      </c>
      <c r="X15" s="1404"/>
      <c r="Y15" s="1503" t="s">
        <v>1757</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5.5" spans="1:29">
      <c r="A17" s="1936"/>
      <c r="B17" s="1965" t="s">
        <v>1758</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15.5" spans="1:29">
      <c r="A19" s="1936"/>
      <c r="B19" s="1965" t="s">
        <v>1759</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15.5" spans="1:29">
      <c r="A21" s="1936"/>
      <c r="B21" s="1974" t="s">
        <v>1760</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15.5" spans="1:29">
      <c r="A23" s="1936"/>
      <c r="B23" s="1965" t="s">
        <v>1832</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1746</v>
      </c>
      <c r="S25" s="1502">
        <f>F25</f>
        <v>100</v>
      </c>
      <c r="T25" s="1501" t="s">
        <v>1746</v>
      </c>
      <c r="U25" s="1502">
        <f>H25</f>
        <v>100</v>
      </c>
      <c r="V25" s="1501" t="s">
        <v>1746</v>
      </c>
      <c r="W25" s="1502">
        <f>J25</f>
        <v>100</v>
      </c>
      <c r="X25" s="1404"/>
      <c r="Y25" s="1513"/>
      <c r="Z25" s="1504">
        <f>Q25</f>
        <v>111</v>
      </c>
      <c r="AA25" s="1505">
        <f t="shared" si="3"/>
        <v>1</v>
      </c>
      <c r="AB25" s="1505">
        <f t="shared" si="4"/>
        <v>1</v>
      </c>
      <c r="AC25" s="1505">
        <f t="shared" si="5"/>
        <v>1</v>
      </c>
    </row>
    <row r="26" ht="15.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1746</v>
      </c>
      <c r="S26" s="1502">
        <f>F26</f>
        <v>100</v>
      </c>
      <c r="T26" s="1501" t="s">
        <v>1746</v>
      </c>
      <c r="U26" s="1502">
        <f>H26</f>
        <v>100</v>
      </c>
      <c r="V26" s="1501" t="s">
        <v>1746</v>
      </c>
      <c r="W26" s="1502">
        <f>J26</f>
        <v>100</v>
      </c>
      <c r="X26" s="1404"/>
      <c r="Y26" s="1513"/>
      <c r="Z26" s="1504">
        <f>Q26</f>
        <v>111</v>
      </c>
      <c r="AA26" s="1505">
        <f t="shared" si="3"/>
        <v>1</v>
      </c>
      <c r="AB26" s="1505">
        <f t="shared" si="4"/>
        <v>1</v>
      </c>
      <c r="AC26" s="1505">
        <f t="shared" si="5"/>
        <v>1</v>
      </c>
    </row>
    <row r="27" s="1360" customFormat="1" ht="15.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1746</v>
      </c>
      <c r="S27" s="1447">
        <f>F27</f>
        <v>100</v>
      </c>
      <c r="T27" s="1446" t="s">
        <v>1746</v>
      </c>
      <c r="U27" s="1447">
        <f>H27</f>
        <v>100</v>
      </c>
      <c r="V27" s="1446" t="s">
        <v>1746</v>
      </c>
      <c r="W27" s="1447">
        <f>J27</f>
        <v>100</v>
      </c>
      <c r="X27" s="1448"/>
      <c r="Y27" s="1513"/>
      <c r="Z27" s="1464">
        <f>Q27</f>
        <v>111</v>
      </c>
      <c r="AA27" s="1505">
        <f t="shared" si="3"/>
        <v>1</v>
      </c>
      <c r="AB27" s="1505">
        <f t="shared" si="4"/>
        <v>1</v>
      </c>
      <c r="AC27" s="1505">
        <f t="shared" si="5"/>
        <v>1</v>
      </c>
    </row>
    <row r="28" ht="16.2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1746</v>
      </c>
      <c r="S28" s="1502">
        <f t="shared" ref="S28:S40" si="12">F28</f>
        <v>100</v>
      </c>
      <c r="T28" s="1501" t="s">
        <v>1746</v>
      </c>
      <c r="U28" s="1502">
        <f t="shared" ref="U28:U40" si="13">H28</f>
        <v>100</v>
      </c>
      <c r="V28" s="1501" t="s">
        <v>1746</v>
      </c>
      <c r="W28" s="1502">
        <f t="shared" ref="W28:W40" si="14">J28</f>
        <v>100</v>
      </c>
      <c r="X28" s="1404"/>
      <c r="Y28" s="1513"/>
      <c r="Z28" s="1504">
        <f t="shared" ref="Z28:Z40" si="15">Q28</f>
        <v>111</v>
      </c>
      <c r="AA28" s="1505">
        <f t="shared" si="3"/>
        <v>1</v>
      </c>
      <c r="AB28" s="1505">
        <f t="shared" si="4"/>
        <v>1</v>
      </c>
      <c r="AC28" s="1505">
        <f t="shared" si="5"/>
        <v>1</v>
      </c>
    </row>
    <row r="29" ht="15.5" spans="1:29">
      <c r="A29" s="1986" t="s">
        <v>1764</v>
      </c>
      <c r="B29" s="1924" t="s">
        <v>1765</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1766</v>
      </c>
      <c r="Q29" s="1058" t="str">
        <f t="shared" si="11"/>
        <v>建筑类型</v>
      </c>
      <c r="R29" s="1501" t="s">
        <v>1746</v>
      </c>
      <c r="S29" s="1502">
        <f t="shared" si="12"/>
        <v>100</v>
      </c>
      <c r="T29" s="1501" t="s">
        <v>1746</v>
      </c>
      <c r="U29" s="1502">
        <f t="shared" si="13"/>
        <v>100</v>
      </c>
      <c r="V29" s="1501" t="s">
        <v>1746</v>
      </c>
      <c r="W29" s="1502">
        <f t="shared" si="14"/>
        <v>100</v>
      </c>
      <c r="X29" s="1404"/>
      <c r="Y29" s="1540" t="s">
        <v>1766</v>
      </c>
      <c r="Z29" s="1504" t="str">
        <f t="shared" si="15"/>
        <v>建筑类型</v>
      </c>
      <c r="AA29" s="1505">
        <f t="shared" si="3"/>
        <v>1</v>
      </c>
      <c r="AB29" s="1505">
        <f t="shared" si="4"/>
        <v>1</v>
      </c>
      <c r="AC29" s="1505">
        <f t="shared" si="5"/>
        <v>1</v>
      </c>
    </row>
    <row r="30" s="1362" customFormat="1" ht="15.5" spans="1:29">
      <c r="A30" s="1992"/>
      <c r="B30" s="1931" t="s">
        <v>1767</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1746</v>
      </c>
      <c r="S30" s="1550" t="e">
        <f t="shared" si="12"/>
        <v>#N/A</v>
      </c>
      <c r="T30" s="1549" t="s">
        <v>1746</v>
      </c>
      <c r="U30" s="1550" t="e">
        <f t="shared" si="13"/>
        <v>#N/A</v>
      </c>
      <c r="V30" s="1549" t="s">
        <v>1746</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1768</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1746</v>
      </c>
      <c r="S31" s="1502">
        <f t="shared" si="12"/>
        <v>100</v>
      </c>
      <c r="T31" s="1501" t="s">
        <v>1746</v>
      </c>
      <c r="U31" s="1502">
        <f t="shared" si="13"/>
        <v>100</v>
      </c>
      <c r="V31" s="1501" t="s">
        <v>1746</v>
      </c>
      <c r="W31" s="1502">
        <f t="shared" si="14"/>
        <v>100</v>
      </c>
      <c r="X31" s="1404"/>
      <c r="Y31" s="1540"/>
      <c r="Z31" s="1504" t="str">
        <f t="shared" si="15"/>
        <v>建筑结构</v>
      </c>
      <c r="AA31" s="1505">
        <f t="shared" si="3"/>
        <v>1</v>
      </c>
      <c r="AB31" s="1505">
        <f t="shared" si="4"/>
        <v>1</v>
      </c>
      <c r="AC31" s="1505">
        <f t="shared" si="5"/>
        <v>1</v>
      </c>
    </row>
    <row r="32" ht="15.5" spans="1:29">
      <c r="A32" s="1999"/>
      <c r="B32" s="1931" t="s">
        <v>1770</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1746</v>
      </c>
      <c r="S32" s="1502">
        <f t="shared" si="12"/>
        <v>100</v>
      </c>
      <c r="T32" s="1501" t="s">
        <v>1746</v>
      </c>
      <c r="U32" s="1502">
        <f t="shared" si="13"/>
        <v>100</v>
      </c>
      <c r="V32" s="1501" t="s">
        <v>1746</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704</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1746</v>
      </c>
      <c r="S33" s="1502" t="e">
        <f t="shared" si="12"/>
        <v>#N/A</v>
      </c>
      <c r="T33" s="1501" t="s">
        <v>1746</v>
      </c>
      <c r="U33" s="1502" t="e">
        <f t="shared" si="13"/>
        <v>#N/A</v>
      </c>
      <c r="V33" s="1501" t="s">
        <v>1746</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1771</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1746</v>
      </c>
      <c r="S34" s="1447">
        <f t="shared" si="12"/>
        <v>100</v>
      </c>
      <c r="T34" s="1446" t="s">
        <v>1746</v>
      </c>
      <c r="U34" s="1447">
        <f t="shared" si="13"/>
        <v>100</v>
      </c>
      <c r="V34" s="1446" t="s">
        <v>1746</v>
      </c>
      <c r="W34" s="1447">
        <f t="shared" si="14"/>
        <v>100</v>
      </c>
      <c r="X34" s="1448"/>
      <c r="Y34" s="1540"/>
      <c r="Z34" s="1464" t="str">
        <f t="shared" si="15"/>
        <v>物业管理</v>
      </c>
      <c r="AA34" s="1451">
        <f t="shared" si="3"/>
        <v>1</v>
      </c>
      <c r="AB34" s="1451">
        <f t="shared" si="4"/>
        <v>1</v>
      </c>
      <c r="AC34" s="1451">
        <f t="shared" si="5"/>
        <v>1</v>
      </c>
    </row>
    <row r="35" ht="15.5" spans="1:29">
      <c r="A35" s="1999"/>
      <c r="B35" s="1931" t="s">
        <v>1772</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1766</v>
      </c>
      <c r="Q35" s="1058" t="str">
        <f t="shared" si="11"/>
        <v>市政基础设施</v>
      </c>
      <c r="R35" s="1501" t="s">
        <v>1746</v>
      </c>
      <c r="S35" s="1502">
        <f t="shared" si="12"/>
        <v>100</v>
      </c>
      <c r="T35" s="1501" t="s">
        <v>1746</v>
      </c>
      <c r="U35" s="1502">
        <f t="shared" si="13"/>
        <v>100</v>
      </c>
      <c r="V35" s="1501" t="s">
        <v>1746</v>
      </c>
      <c r="W35" s="1502">
        <f t="shared" si="14"/>
        <v>100</v>
      </c>
      <c r="X35" s="1404"/>
      <c r="Y35" s="1540" t="s">
        <v>1766</v>
      </c>
      <c r="Z35" s="1504" t="str">
        <f t="shared" si="15"/>
        <v>市政基础设施</v>
      </c>
      <c r="AA35" s="1505">
        <f t="shared" si="3"/>
        <v>1</v>
      </c>
      <c r="AB35" s="1505">
        <f t="shared" si="4"/>
        <v>1</v>
      </c>
      <c r="AC35" s="1505">
        <f t="shared" si="5"/>
        <v>1</v>
      </c>
    </row>
    <row r="36" ht="15.5" spans="1:29">
      <c r="A36" s="1999"/>
      <c r="B36" s="1931" t="s">
        <v>1775</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1746</v>
      </c>
      <c r="S36" s="1502">
        <f t="shared" si="12"/>
        <v>100</v>
      </c>
      <c r="T36" s="1501" t="s">
        <v>1746</v>
      </c>
      <c r="U36" s="1502">
        <f t="shared" si="13"/>
        <v>100</v>
      </c>
      <c r="V36" s="1501" t="s">
        <v>1746</v>
      </c>
      <c r="W36" s="1502">
        <f t="shared" si="14"/>
        <v>100</v>
      </c>
      <c r="X36" s="1404"/>
      <c r="Y36" s="1540"/>
      <c r="Z36" s="1504" t="str">
        <f t="shared" si="15"/>
        <v>内部装修</v>
      </c>
      <c r="AA36" s="1505">
        <f t="shared" si="3"/>
        <v>1</v>
      </c>
      <c r="AB36" s="1505">
        <f t="shared" si="4"/>
        <v>1</v>
      </c>
      <c r="AC36" s="1505">
        <f t="shared" si="5"/>
        <v>1</v>
      </c>
    </row>
    <row r="37" ht="15.5" spans="1:29">
      <c r="A37" s="1999"/>
      <c r="B37" s="1931" t="s">
        <v>1839</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1746</v>
      </c>
      <c r="S37" s="1502">
        <f t="shared" si="12"/>
        <v>100</v>
      </c>
      <c r="T37" s="1501" t="s">
        <v>1746</v>
      </c>
      <c r="U37" s="1502">
        <f t="shared" si="13"/>
        <v>100</v>
      </c>
      <c r="V37" s="1501" t="s">
        <v>1746</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1746</v>
      </c>
      <c r="S38" s="1550">
        <f t="shared" si="12"/>
        <v>100</v>
      </c>
      <c r="T38" s="1549" t="s">
        <v>1746</v>
      </c>
      <c r="U38" s="1550">
        <f t="shared" si="13"/>
        <v>100</v>
      </c>
      <c r="V38" s="1549" t="s">
        <v>1746</v>
      </c>
      <c r="W38" s="1550">
        <f t="shared" si="14"/>
        <v>100</v>
      </c>
      <c r="X38" s="1551"/>
      <c r="Y38" s="1540"/>
      <c r="Z38" s="1552">
        <f t="shared" si="15"/>
        <v>111</v>
      </c>
      <c r="AA38" s="1505">
        <f t="shared" si="3"/>
        <v>1</v>
      </c>
      <c r="AB38" s="1505">
        <f t="shared" si="4"/>
        <v>1</v>
      </c>
      <c r="AC38" s="1505">
        <f t="shared" si="5"/>
        <v>1</v>
      </c>
    </row>
    <row r="39" ht="15.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1746</v>
      </c>
      <c r="S39" s="1502">
        <f t="shared" si="12"/>
        <v>100</v>
      </c>
      <c r="T39" s="1501" t="s">
        <v>1746</v>
      </c>
      <c r="U39" s="1502">
        <f t="shared" si="13"/>
        <v>100</v>
      </c>
      <c r="V39" s="1501" t="s">
        <v>1746</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1746</v>
      </c>
      <c r="S40" s="1502">
        <f t="shared" si="12"/>
        <v>100</v>
      </c>
      <c r="T40" s="1501" t="s">
        <v>1746</v>
      </c>
      <c r="U40" s="1502">
        <f t="shared" si="13"/>
        <v>100</v>
      </c>
      <c r="V40" s="1501" t="s">
        <v>1746</v>
      </c>
      <c r="W40" s="1502">
        <f t="shared" si="14"/>
        <v>100</v>
      </c>
      <c r="X40" s="1404"/>
      <c r="Y40" s="2143"/>
      <c r="Z40" s="1504">
        <f t="shared" si="15"/>
        <v>111</v>
      </c>
      <c r="AA40" s="1505">
        <f t="shared" si="3"/>
        <v>1</v>
      </c>
      <c r="AB40" s="1505">
        <f t="shared" si="4"/>
        <v>1</v>
      </c>
      <c r="AC40" s="1505">
        <f t="shared" si="5"/>
        <v>1</v>
      </c>
    </row>
    <row r="41" spans="1:29">
      <c r="A41" s="1566" t="s">
        <v>1777</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4.75" spans="1:29">
      <c r="A42" s="1580" t="s">
        <v>1778</v>
      </c>
      <c r="B42" s="2015"/>
      <c r="C42" s="2016" t="e">
        <f>R43</f>
        <v>#DIV/0!</v>
      </c>
      <c r="D42" s="1820" t="s">
        <v>1779</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4.75" spans="1:29">
      <c r="A43" s="1588" t="s">
        <v>1780</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1781</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1782</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1783</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75" spans="1:23">
      <c r="A51" s="1650" t="s">
        <v>1784</v>
      </c>
      <c r="B51" s="1578"/>
      <c r="C51" s="1651"/>
      <c r="D51" s="1651"/>
      <c r="E51" s="1651"/>
      <c r="F51" s="1652"/>
      <c r="G51" s="1652"/>
      <c r="H51" s="1651"/>
      <c r="I51" s="1651"/>
      <c r="J51" s="1651"/>
      <c r="K51" s="2091"/>
      <c r="L51" s="1847"/>
      <c r="M51" s="1655"/>
      <c r="N51" s="1655"/>
      <c r="O51" s="1655"/>
      <c r="P51" s="2150"/>
      <c r="Q51" s="2151"/>
    </row>
    <row r="52" s="1365" customFormat="1" spans="1:23">
      <c r="A52" s="2025" t="s">
        <v>1744</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4.75" spans="1:23">
      <c r="A54" s="1669" t="s">
        <v>1785</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spans="1:23">
      <c r="A55" s="1675" t="s">
        <v>1747</v>
      </c>
      <c r="B55" s="1676"/>
      <c r="C55" s="1677" t="s">
        <v>1786</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1787</v>
      </c>
      <c r="B57" s="1687" t="s">
        <v>1750</v>
      </c>
      <c r="C57" s="1738">
        <f>C9</f>
        <v>0</v>
      </c>
      <c r="D57" s="1688"/>
      <c r="E57" s="1688"/>
      <c r="F57" s="1688"/>
      <c r="G57" s="1688"/>
      <c r="H57" s="1688"/>
      <c r="I57" s="1688"/>
      <c r="J57" s="1688"/>
      <c r="K57" s="1689"/>
      <c r="L57" s="1690"/>
      <c r="M57" s="1691"/>
      <c r="N57" s="2159"/>
      <c r="O57" s="2159"/>
      <c r="P57" s="2160"/>
      <c r="Q57" s="2151"/>
    </row>
    <row r="58" ht="14.75" spans="1:23">
      <c r="A58" s="1694"/>
      <c r="B58" s="1695"/>
      <c r="C58" s="1696">
        <v>100</v>
      </c>
      <c r="D58" s="1696"/>
      <c r="E58" s="1696"/>
      <c r="F58" s="1696"/>
      <c r="G58" s="1696"/>
      <c r="H58" s="1696"/>
      <c r="I58" s="1696"/>
      <c r="J58" s="1696"/>
      <c r="K58" s="1696"/>
      <c r="L58" s="1696"/>
      <c r="M58" s="1697"/>
      <c r="N58" s="2161"/>
      <c r="O58" s="2161"/>
      <c r="P58" s="2160"/>
      <c r="Q58" s="2151"/>
    </row>
    <row r="59" ht="28.75" spans="1:23">
      <c r="A59" s="1694"/>
      <c r="B59" s="1699" t="s">
        <v>1753</v>
      </c>
      <c r="C59" s="1755"/>
      <c r="D59" s="1755"/>
      <c r="E59" s="1755"/>
      <c r="F59" s="1755"/>
      <c r="G59" s="1755"/>
      <c r="H59" s="1755"/>
      <c r="I59" s="1755"/>
      <c r="J59" s="1755"/>
      <c r="K59" s="1756"/>
      <c r="L59" s="1757"/>
      <c r="M59" s="1758"/>
      <c r="N59" s="2159"/>
      <c r="O59" s="2159"/>
      <c r="P59" s="2160"/>
      <c r="Q59" s="2151"/>
    </row>
    <row r="60" ht="14.75" spans="1:23">
      <c r="A60" s="1694"/>
      <c r="B60" s="1704"/>
      <c r="C60" s="1696"/>
      <c r="D60" s="1696"/>
      <c r="E60" s="1696"/>
      <c r="F60" s="1696"/>
      <c r="G60" s="1696"/>
      <c r="H60" s="1696"/>
      <c r="I60" s="1696"/>
      <c r="J60" s="1696"/>
      <c r="K60" s="1696"/>
      <c r="L60" s="1696"/>
      <c r="M60" s="1697"/>
      <c r="N60" s="2161"/>
      <c r="O60" s="2161"/>
      <c r="P60" s="2160"/>
      <c r="Q60" s="2151"/>
    </row>
    <row r="61" ht="14.75" spans="1:23">
      <c r="A61" s="1694"/>
      <c r="B61" s="1707" t="s">
        <v>1754</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1755</v>
      </c>
      <c r="B70" s="1687" t="s">
        <v>1838</v>
      </c>
      <c r="C70" s="1737" t="s">
        <v>1788</v>
      </c>
      <c r="D70" s="1737" t="s">
        <v>1789</v>
      </c>
      <c r="E70" s="1737" t="s">
        <v>1790</v>
      </c>
      <c r="F70" s="1737" t="s">
        <v>1791</v>
      </c>
      <c r="G70" s="1737" t="s">
        <v>1792</v>
      </c>
      <c r="H70" s="1738"/>
      <c r="I70" s="1738"/>
      <c r="J70" s="1738"/>
      <c r="K70" s="1739"/>
      <c r="L70" s="1740"/>
      <c r="M70" s="1741"/>
      <c r="N70" s="2159"/>
      <c r="O70" s="2159"/>
      <c r="P70" s="2160"/>
      <c r="Q70" s="2151"/>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4.75" spans="1:23">
      <c r="A72" s="1694"/>
      <c r="B72" s="1699" t="s">
        <v>1758</v>
      </c>
      <c r="C72" s="1743" t="s">
        <v>1788</v>
      </c>
      <c r="D72" s="1743" t="s">
        <v>1789</v>
      </c>
      <c r="E72" s="1743" t="s">
        <v>1790</v>
      </c>
      <c r="F72" s="1743" t="s">
        <v>1791</v>
      </c>
      <c r="G72" s="1743" t="s">
        <v>1792</v>
      </c>
      <c r="H72" s="1700"/>
      <c r="I72" s="1700"/>
      <c r="J72" s="1700"/>
      <c r="K72" s="1701"/>
      <c r="L72" s="1702"/>
      <c r="M72" s="1703"/>
      <c r="N72" s="2159"/>
      <c r="O72" s="2159"/>
      <c r="P72" s="2160"/>
      <c r="Q72" s="2151"/>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4.75" spans="1:23">
      <c r="A74" s="1694"/>
      <c r="B74" s="1699" t="s">
        <v>1759</v>
      </c>
      <c r="C74" s="1743" t="s">
        <v>1788</v>
      </c>
      <c r="D74" s="1743" t="s">
        <v>1789</v>
      </c>
      <c r="E74" s="1743" t="s">
        <v>1790</v>
      </c>
      <c r="F74" s="1743" t="s">
        <v>1791</v>
      </c>
      <c r="G74" s="1743" t="s">
        <v>1792</v>
      </c>
      <c r="H74" s="1700"/>
      <c r="I74" s="1700"/>
      <c r="J74" s="1700"/>
      <c r="K74" s="1701"/>
      <c r="L74" s="1702"/>
      <c r="M74" s="1703"/>
      <c r="N74" s="2159"/>
      <c r="O74" s="2159"/>
      <c r="P74" s="2160"/>
      <c r="Q74" s="2151"/>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4.75" spans="1:23">
      <c r="A76" s="1694"/>
      <c r="B76" s="1707" t="s">
        <v>1760</v>
      </c>
      <c r="C76" s="1753" t="s">
        <v>1793</v>
      </c>
      <c r="D76" s="1753" t="s">
        <v>1794</v>
      </c>
      <c r="E76" s="1753" t="s">
        <v>1795</v>
      </c>
      <c r="F76" s="1753" t="s">
        <v>1796</v>
      </c>
      <c r="G76" s="1753" t="s">
        <v>1797</v>
      </c>
      <c r="H76" s="1700"/>
      <c r="I76" s="1700"/>
      <c r="J76" s="1700"/>
      <c r="K76" s="1700"/>
      <c r="L76" s="1700"/>
      <c r="M76" s="2032"/>
      <c r="N76" s="2161"/>
      <c r="O76" s="2161"/>
      <c r="P76" s="2160"/>
      <c r="Q76" s="2151"/>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4.75" spans="1:23">
      <c r="A78" s="1694"/>
      <c r="B78" s="1699" t="s">
        <v>1832</v>
      </c>
      <c r="C78" s="1743" t="s">
        <v>1788</v>
      </c>
      <c r="D78" s="1743" t="s">
        <v>1789</v>
      </c>
      <c r="E78" s="1743" t="s">
        <v>1790</v>
      </c>
      <c r="F78" s="1743" t="s">
        <v>1791</v>
      </c>
      <c r="G78" s="1743" t="s">
        <v>1792</v>
      </c>
      <c r="H78" s="1700"/>
      <c r="I78" s="1700"/>
      <c r="J78" s="1700"/>
      <c r="K78" s="1701"/>
      <c r="L78" s="1702"/>
      <c r="M78" s="1703"/>
      <c r="N78" s="2159"/>
      <c r="O78" s="2159"/>
      <c r="P78" s="2160"/>
      <c r="Q78" s="2151"/>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75" spans="1:23">
      <c r="A86" s="1694"/>
      <c r="B86" s="1707">
        <f>B28</f>
        <v>111</v>
      </c>
      <c r="C86" s="1678"/>
      <c r="D86" s="1678"/>
      <c r="E86" s="1678"/>
      <c r="F86" s="1678"/>
      <c r="G86" s="1759"/>
      <c r="H86" s="1759"/>
      <c r="I86" s="1759"/>
      <c r="J86" s="1759"/>
      <c r="K86" s="1760"/>
      <c r="L86" s="1761"/>
      <c r="M86" s="1762"/>
      <c r="N86" s="2159"/>
      <c r="O86" s="2159"/>
      <c r="P86" s="2160"/>
      <c r="Q86" s="2151"/>
    </row>
    <row r="87" ht="14.75" spans="1:23">
      <c r="A87" s="2168"/>
      <c r="B87" s="1733"/>
      <c r="C87" s="1734"/>
      <c r="D87" s="1734"/>
      <c r="E87" s="1734"/>
      <c r="F87" s="1734"/>
      <c r="G87" s="1763"/>
      <c r="H87" s="1763"/>
      <c r="I87" s="1763"/>
      <c r="J87" s="1763"/>
      <c r="K87" s="1763"/>
      <c r="L87" s="1763"/>
      <c r="M87" s="1764"/>
      <c r="N87" s="2161"/>
      <c r="O87" s="2161"/>
      <c r="P87" s="2160"/>
      <c r="Q87" s="2151"/>
    </row>
    <row r="88" spans="1:23">
      <c r="A88" s="1686" t="s">
        <v>1764</v>
      </c>
      <c r="B88" s="1687" t="s">
        <v>1765</v>
      </c>
      <c r="C88" s="1688"/>
      <c r="D88" s="1688"/>
      <c r="E88" s="1688"/>
      <c r="F88" s="1688"/>
      <c r="G88" s="1688"/>
      <c r="H88" s="1688"/>
      <c r="I88" s="1688"/>
      <c r="J88" s="1688"/>
      <c r="K88" s="1689"/>
      <c r="L88" s="1690"/>
      <c r="M88" s="1691"/>
      <c r="N88" s="2159"/>
      <c r="O88" s="2159"/>
      <c r="P88" s="2160"/>
      <c r="Q88" s="2151"/>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4.75" spans="1:23">
      <c r="A90" s="1694"/>
      <c r="B90" s="1699" t="s">
        <v>1767</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4.75" spans="1:23">
      <c r="A93" s="1775"/>
      <c r="B93" s="1699" t="s">
        <v>1768</v>
      </c>
      <c r="C93" s="1716"/>
      <c r="D93" s="1716"/>
      <c r="E93" s="1755"/>
      <c r="F93" s="1755"/>
      <c r="G93" s="1755"/>
      <c r="H93" s="1755"/>
      <c r="I93" s="1755"/>
      <c r="J93" s="1755"/>
      <c r="K93" s="1756"/>
      <c r="L93" s="1757"/>
      <c r="M93" s="1758"/>
      <c r="N93" s="2159"/>
      <c r="O93" s="2159"/>
      <c r="P93" s="2160"/>
      <c r="Q93" s="2151"/>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4.75" spans="1:23">
      <c r="A95" s="1775"/>
      <c r="B95" s="1699" t="s">
        <v>1770</v>
      </c>
      <c r="C95" s="1716"/>
      <c r="D95" s="1716"/>
      <c r="E95" s="1716"/>
      <c r="F95" s="1755"/>
      <c r="G95" s="1755"/>
      <c r="H95" s="1755"/>
      <c r="I95" s="1755"/>
      <c r="J95" s="1755"/>
      <c r="K95" s="1756"/>
      <c r="L95" s="1757"/>
      <c r="M95" s="1758"/>
      <c r="N95" s="2159"/>
      <c r="O95" s="2159"/>
      <c r="P95" s="2160"/>
      <c r="Q95" s="2151"/>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4.75" spans="1:23">
      <c r="A97" s="1775"/>
      <c r="B97" s="1699" t="s">
        <v>704</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4.75" spans="1:23">
      <c r="A100" s="1766"/>
      <c r="B100" s="1699" t="s">
        <v>1771</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4.75" spans="1:23">
      <c r="A102" s="1775"/>
      <c r="B102" s="1699" t="s">
        <v>1772</v>
      </c>
      <c r="C102" s="1716"/>
      <c r="D102" s="1716"/>
      <c r="E102" s="1716"/>
      <c r="F102" s="1716"/>
      <c r="G102" s="1716"/>
      <c r="H102" s="1755"/>
      <c r="I102" s="1755"/>
      <c r="J102" s="1755"/>
      <c r="K102" s="1756"/>
      <c r="L102" s="1757"/>
      <c r="M102" s="1758"/>
      <c r="N102" s="2159"/>
      <c r="O102" s="2159"/>
      <c r="P102" s="2160"/>
      <c r="Q102" s="2151"/>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4.75" spans="1:23">
      <c r="A104" s="1775"/>
      <c r="B104" s="1699" t="s">
        <v>1775</v>
      </c>
      <c r="C104" s="1716"/>
      <c r="D104" s="1716"/>
      <c r="E104" s="1716"/>
      <c r="F104" s="1716"/>
      <c r="G104" s="1716"/>
      <c r="H104" s="1755"/>
      <c r="I104" s="1755"/>
      <c r="J104" s="1755"/>
      <c r="K104" s="1756"/>
      <c r="L104" s="1757"/>
      <c r="M104" s="1758"/>
      <c r="N104" s="2159"/>
      <c r="O104" s="2159"/>
      <c r="P104" s="2160"/>
      <c r="Q104" s="2151"/>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8.75" spans="1:23">
      <c r="A106" s="1775"/>
      <c r="B106" s="2039" t="s">
        <v>1840</v>
      </c>
      <c r="C106" s="1743" t="s">
        <v>1788</v>
      </c>
      <c r="D106" s="1743" t="s">
        <v>1789</v>
      </c>
      <c r="E106" s="1743" t="s">
        <v>1790</v>
      </c>
      <c r="F106" s="1743" t="s">
        <v>1791</v>
      </c>
      <c r="G106" s="1743" t="s">
        <v>1792</v>
      </c>
      <c r="H106" s="1700"/>
      <c r="I106" s="1700"/>
      <c r="J106" s="1700"/>
      <c r="K106" s="1701"/>
      <c r="L106" s="1702"/>
      <c r="M106" s="1703"/>
      <c r="N106" s="2161"/>
      <c r="O106" s="2161"/>
      <c r="P106" s="2169"/>
      <c r="Q106" s="2170"/>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75" spans="1:23">
      <c r="A111" s="1694"/>
      <c r="B111" s="1704"/>
      <c r="C111" s="1724"/>
      <c r="D111" s="1696"/>
      <c r="E111" s="1696"/>
      <c r="F111" s="1696"/>
      <c r="G111" s="1724"/>
      <c r="H111" s="1726"/>
      <c r="I111" s="1726"/>
      <c r="J111" s="1726"/>
      <c r="K111" s="1726"/>
      <c r="L111" s="1726"/>
      <c r="M111" s="1727"/>
      <c r="N111" s="2161"/>
      <c r="O111" s="2161"/>
      <c r="P111" s="2160"/>
      <c r="Q111" s="2151"/>
    </row>
    <row r="112" ht="14.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1842</v>
      </c>
      <c r="C1" s="1870" t="s">
        <v>1728</v>
      </c>
      <c r="D1" s="1871"/>
      <c r="E1" s="1872"/>
      <c r="F1" s="1873"/>
      <c r="G1" s="2046" t="s">
        <v>1729</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1107</v>
      </c>
      <c r="B3" s="1888" t="e">
        <f ca="1">IF(AND(E2="——",B37="元/平方米"),C39,ROUND(B2*10000/D3,0))</f>
        <v>#DIV/0!</v>
      </c>
      <c r="C3" s="1889" t="s">
        <v>1730</v>
      </c>
      <c r="D3" s="1888">
        <f>SUMIF('数据-汇总表'!$C19:$C33,D1,'数据-汇总表'!$E19:$E33)</f>
        <v>0</v>
      </c>
      <c r="E3" s="1889" t="s">
        <v>1843</v>
      </c>
      <c r="F3" s="1385">
        <f>SUMIF('数据-取费表'!A5:A15,D1,'数据-取费表'!AH5:AH15)</f>
        <v>0</v>
      </c>
      <c r="G3" s="1890" t="s">
        <v>1321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6" si="3">D8/F8</f>
        <v>1</v>
      </c>
      <c r="AB8" s="1451">
        <f t="shared" ref="AB8:AB36" si="4">D8/H8</f>
        <v>1</v>
      </c>
      <c r="AC8" s="1451">
        <f t="shared" ref="AC8:AC36" si="5">D8/J8</f>
        <v>1</v>
      </c>
    </row>
    <row r="9" s="1360" customFormat="1" spans="1:29">
      <c r="A9" s="2053" t="s">
        <v>1749</v>
      </c>
      <c r="B9" s="2054" t="s">
        <v>1750</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2056"/>
      <c r="B10" s="2057" t="s">
        <v>1753</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783" t="s">
        <v>1755</v>
      </c>
      <c r="B14" s="2063" t="s">
        <v>1758</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65" t="s">
        <v>1759</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67" t="s">
        <v>1760</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65" t="s">
        <v>1761</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spans="1:29">
      <c r="A22" s="1786"/>
      <c r="B22" s="2065" t="s">
        <v>1823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2075" t="s">
        <v>1764</v>
      </c>
      <c r="B26" s="2076" t="s">
        <v>1844</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1766</v>
      </c>
      <c r="Q26" s="1621" t="str">
        <f t="shared" si="11"/>
        <v>配套类型</v>
      </c>
      <c r="R26" s="1956" t="s">
        <v>1746</v>
      </c>
      <c r="S26" s="1957">
        <f t="shared" ref="S26:S36" si="12">F26</f>
        <v>0</v>
      </c>
      <c r="T26" s="1956" t="s">
        <v>1746</v>
      </c>
      <c r="U26" s="1957">
        <f t="shared" ref="U26:U36" si="13">H26</f>
        <v>0</v>
      </c>
      <c r="V26" s="1956" t="s">
        <v>1746</v>
      </c>
      <c r="W26" s="1957">
        <f t="shared" ref="W26:W36" si="14">J26</f>
        <v>0</v>
      </c>
      <c r="X26" s="1404"/>
      <c r="Y26" s="1540" t="s">
        <v>1766</v>
      </c>
      <c r="Z26" s="1504" t="str">
        <f t="shared" ref="Z26:Z36" si="15">Q26</f>
        <v>配套类型</v>
      </c>
      <c r="AA26" s="1505" t="e">
        <f t="shared" si="3"/>
        <v>#DIV/0!</v>
      </c>
      <c r="AB26" s="1505" t="e">
        <f t="shared" si="4"/>
        <v>#DIV/0!</v>
      </c>
      <c r="AC26" s="1505" t="e">
        <f t="shared" si="5"/>
        <v>#DIV/0!</v>
      </c>
    </row>
    <row r="27" s="1362" customFormat="1" ht="15.5" spans="1:29">
      <c r="A27" s="2078"/>
      <c r="B27" s="2079" t="s">
        <v>1845</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1746</v>
      </c>
      <c r="S27" s="1998">
        <f t="shared" si="12"/>
        <v>100</v>
      </c>
      <c r="T27" s="1997" t="s">
        <v>1746</v>
      </c>
      <c r="U27" s="1998">
        <f t="shared" si="13"/>
        <v>100</v>
      </c>
      <c r="V27" s="1997" t="s">
        <v>1746</v>
      </c>
      <c r="W27" s="1998">
        <f t="shared" si="14"/>
        <v>100</v>
      </c>
      <c r="X27" s="1551"/>
      <c r="Y27" s="1540"/>
      <c r="Z27" s="1552" t="str">
        <f t="shared" si="15"/>
        <v>项目停车位配比</v>
      </c>
      <c r="AA27" s="1505">
        <f t="shared" si="3"/>
        <v>1</v>
      </c>
      <c r="AB27" s="1505">
        <f t="shared" si="4"/>
        <v>1</v>
      </c>
      <c r="AC27" s="1505">
        <f t="shared" si="5"/>
        <v>1</v>
      </c>
    </row>
    <row r="28" ht="15.5" spans="1:29">
      <c r="A28" s="2081"/>
      <c r="B28" s="2079" t="s">
        <v>1770</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1746</v>
      </c>
      <c r="S28" s="1957">
        <f t="shared" si="12"/>
        <v>100</v>
      </c>
      <c r="T28" s="1956" t="s">
        <v>1746</v>
      </c>
      <c r="U28" s="1957">
        <f t="shared" si="13"/>
        <v>100</v>
      </c>
      <c r="V28" s="1956" t="s">
        <v>1746</v>
      </c>
      <c r="W28" s="1957">
        <f t="shared" si="14"/>
        <v>100</v>
      </c>
      <c r="X28" s="1404"/>
      <c r="Y28" s="1540"/>
      <c r="Z28" s="1504" t="str">
        <f t="shared" si="15"/>
        <v>公共部分装修</v>
      </c>
      <c r="AA28" s="1505">
        <f t="shared" si="3"/>
        <v>1</v>
      </c>
      <c r="AB28" s="1505">
        <f t="shared" si="4"/>
        <v>1</v>
      </c>
      <c r="AC28" s="1505">
        <f t="shared" si="5"/>
        <v>1</v>
      </c>
    </row>
    <row r="29" ht="15.5" spans="1:29">
      <c r="A29" s="2081"/>
      <c r="B29" s="2079" t="s">
        <v>1846</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1746</v>
      </c>
      <c r="S29" s="1957" t="e">
        <f t="shared" si="12"/>
        <v>#N/A</v>
      </c>
      <c r="T29" s="1956" t="s">
        <v>1746</v>
      </c>
      <c r="U29" s="1957" t="e">
        <f t="shared" si="13"/>
        <v>#N/A</v>
      </c>
      <c r="V29" s="1956" t="s">
        <v>1746</v>
      </c>
      <c r="W29" s="1957" t="e">
        <f t="shared" si="14"/>
        <v>#N/A</v>
      </c>
      <c r="X29" s="1404"/>
      <c r="Y29" s="1540"/>
      <c r="Z29" s="1504" t="str">
        <f t="shared" si="15"/>
        <v>成新率</v>
      </c>
      <c r="AA29" s="1505" t="e">
        <f t="shared" si="3"/>
        <v>#N/A</v>
      </c>
      <c r="AB29" s="1505" t="e">
        <f t="shared" si="4"/>
        <v>#N/A</v>
      </c>
      <c r="AC29" s="1505" t="e">
        <f t="shared" si="5"/>
        <v>#N/A</v>
      </c>
    </row>
    <row r="30" ht="15.5" spans="1:29">
      <c r="A30" s="2081"/>
      <c r="B30" s="2079" t="s">
        <v>1847</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1746</v>
      </c>
      <c r="S30" s="1957">
        <f t="shared" si="12"/>
        <v>100</v>
      </c>
      <c r="T30" s="1956" t="s">
        <v>1746</v>
      </c>
      <c r="U30" s="1957">
        <f t="shared" si="13"/>
        <v>100</v>
      </c>
      <c r="V30" s="1956" t="s">
        <v>1746</v>
      </c>
      <c r="W30" s="1957">
        <f t="shared" si="14"/>
        <v>100</v>
      </c>
      <c r="X30" s="1404"/>
      <c r="Y30" s="1540"/>
      <c r="Z30" s="1504" t="str">
        <f t="shared" si="15"/>
        <v>物业等级</v>
      </c>
      <c r="AA30" s="1505">
        <f t="shared" si="3"/>
        <v>1</v>
      </c>
      <c r="AB30" s="1505">
        <f t="shared" si="4"/>
        <v>1</v>
      </c>
      <c r="AC30" s="1505">
        <f t="shared" si="5"/>
        <v>1</v>
      </c>
    </row>
    <row r="31" s="1360" customFormat="1" ht="15.5" spans="1:29">
      <c r="A31" s="2082"/>
      <c r="B31" s="2079" t="s">
        <v>1848</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1746</v>
      </c>
      <c r="S31" s="1919" t="e">
        <f t="shared" si="12"/>
        <v>#N/A</v>
      </c>
      <c r="T31" s="1918" t="s">
        <v>1746</v>
      </c>
      <c r="U31" s="1919" t="e">
        <f t="shared" si="13"/>
        <v>#N/A</v>
      </c>
      <c r="V31" s="1918" t="s">
        <v>1746</v>
      </c>
      <c r="W31" s="1919" t="e">
        <f t="shared" si="14"/>
        <v>#N/A</v>
      </c>
      <c r="X31" s="1448"/>
      <c r="Y31" s="1540"/>
      <c r="Z31" s="1464" t="str">
        <f t="shared" si="15"/>
        <v>停车位面积</v>
      </c>
      <c r="AA31" s="1451" t="e">
        <f t="shared" si="3"/>
        <v>#N/A</v>
      </c>
      <c r="AB31" s="1451" t="e">
        <f t="shared" si="4"/>
        <v>#N/A</v>
      </c>
      <c r="AC31" s="1451" t="e">
        <f t="shared" si="5"/>
        <v>#N/A</v>
      </c>
    </row>
    <row r="32" ht="15.5" spans="1:29">
      <c r="A32" s="2081"/>
      <c r="B32" s="2079" t="s">
        <v>1849</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1766</v>
      </c>
      <c r="Q32" s="1621" t="str">
        <f t="shared" si="11"/>
        <v>车位类型</v>
      </c>
      <c r="R32" s="1956" t="s">
        <v>1746</v>
      </c>
      <c r="S32" s="1957">
        <f t="shared" si="12"/>
        <v>100</v>
      </c>
      <c r="T32" s="1956" t="s">
        <v>1746</v>
      </c>
      <c r="U32" s="1957">
        <f t="shared" si="13"/>
        <v>100</v>
      </c>
      <c r="V32" s="1956" t="s">
        <v>1746</v>
      </c>
      <c r="W32" s="1957">
        <f t="shared" si="14"/>
        <v>100</v>
      </c>
      <c r="X32" s="1404"/>
      <c r="Y32" s="1540" t="s">
        <v>1766</v>
      </c>
      <c r="Z32" s="1504" t="str">
        <f t="shared" si="15"/>
        <v>车位类型</v>
      </c>
      <c r="AA32" s="1505">
        <f t="shared" si="3"/>
        <v>1</v>
      </c>
      <c r="AB32" s="1505">
        <f t="shared" si="4"/>
        <v>1</v>
      </c>
      <c r="AC32" s="1505">
        <f t="shared" si="5"/>
        <v>1</v>
      </c>
    </row>
    <row r="33" ht="15.5" spans="1:29">
      <c r="A33" s="2081"/>
      <c r="B33" s="2079" t="s">
        <v>1850</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1746</v>
      </c>
      <c r="S33" s="1957">
        <f t="shared" si="12"/>
        <v>100</v>
      </c>
      <c r="T33" s="1956" t="s">
        <v>1746</v>
      </c>
      <c r="U33" s="1957">
        <f t="shared" si="13"/>
        <v>100</v>
      </c>
      <c r="V33" s="1956" t="s">
        <v>1746</v>
      </c>
      <c r="W33" s="1957">
        <f t="shared" si="14"/>
        <v>100</v>
      </c>
      <c r="X33" s="1404"/>
      <c r="Y33" s="1540"/>
      <c r="Z33" s="1504" t="str">
        <f t="shared" si="15"/>
        <v>是否直接入户</v>
      </c>
      <c r="AA33" s="1505">
        <f t="shared" si="3"/>
        <v>1</v>
      </c>
      <c r="AB33" s="1505">
        <f t="shared" si="4"/>
        <v>1</v>
      </c>
      <c r="AC33" s="1505">
        <f t="shared" si="5"/>
        <v>1</v>
      </c>
    </row>
    <row r="34" ht="15.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1362" customFormat="1" ht="15.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1746</v>
      </c>
      <c r="S35" s="1998">
        <f t="shared" si="12"/>
        <v>100</v>
      </c>
      <c r="T35" s="1997" t="s">
        <v>1746</v>
      </c>
      <c r="U35" s="1998">
        <f t="shared" si="13"/>
        <v>100</v>
      </c>
      <c r="V35" s="1997" t="s">
        <v>1746</v>
      </c>
      <c r="W35" s="1998">
        <f t="shared" si="14"/>
        <v>100</v>
      </c>
      <c r="X35" s="1551"/>
      <c r="Y35" s="1540"/>
      <c r="Z35" s="1552">
        <f t="shared" si="15"/>
        <v>111</v>
      </c>
      <c r="AA35" s="1505">
        <f t="shared" si="3"/>
        <v>1</v>
      </c>
      <c r="AB35" s="1505">
        <f t="shared" si="4"/>
        <v>1</v>
      </c>
      <c r="AC35" s="1505">
        <f t="shared" si="5"/>
        <v>1</v>
      </c>
    </row>
    <row r="36" ht="16.2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1746</v>
      </c>
      <c r="S36" s="1957">
        <f t="shared" si="12"/>
        <v>100</v>
      </c>
      <c r="T36" s="1956" t="s">
        <v>1746</v>
      </c>
      <c r="U36" s="1957">
        <f t="shared" si="13"/>
        <v>100</v>
      </c>
      <c r="V36" s="1956" t="s">
        <v>1746</v>
      </c>
      <c r="W36" s="1957">
        <f t="shared" si="14"/>
        <v>100</v>
      </c>
      <c r="X36" s="1404"/>
      <c r="Y36" s="1540"/>
      <c r="Z36" s="1504">
        <f t="shared" si="15"/>
        <v>111</v>
      </c>
      <c r="AA36" s="1505">
        <f t="shared" si="3"/>
        <v>1</v>
      </c>
      <c r="AB36" s="1505">
        <f t="shared" si="4"/>
        <v>1</v>
      </c>
      <c r="AC36" s="1505">
        <f t="shared" si="5"/>
        <v>1</v>
      </c>
    </row>
    <row r="37" spans="1:29">
      <c r="A37" s="1566" t="s">
        <v>1851</v>
      </c>
      <c r="B37" s="2084" t="s">
        <v>1852</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4.75" spans="1:29">
      <c r="A38" s="1580" t="s">
        <v>1778</v>
      </c>
      <c r="B38" s="2015" t="str">
        <f>B37</f>
        <v>元/平方米</v>
      </c>
      <c r="C38" s="2016" t="e">
        <f>R39</f>
        <v>#DIV/0!</v>
      </c>
      <c r="D38" s="1820" t="s">
        <v>1779</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4.75" spans="1:29">
      <c r="A39" s="1588" t="s">
        <v>1853</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1781</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1782</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1783</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75" spans="1:29">
      <c r="A47" s="2089" t="s">
        <v>1784</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spans="1:29">
      <c r="A48" s="2025" t="s">
        <v>1744</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4.75" spans="1:29">
      <c r="A50" s="1669" t="s">
        <v>1785</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spans="1:29">
      <c r="A51" s="1675" t="s">
        <v>1747</v>
      </c>
      <c r="B51" s="1676"/>
      <c r="C51" s="1677" t="s">
        <v>1786</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1787</v>
      </c>
      <c r="B53" s="1687" t="s">
        <v>1750</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8.75" spans="1:29">
      <c r="A55" s="1694"/>
      <c r="B55" s="1699" t="s">
        <v>1753</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4.75" spans="1:29">
      <c r="A63" s="1686" t="s">
        <v>1755</v>
      </c>
      <c r="B63" s="1687" t="s">
        <v>1758</v>
      </c>
      <c r="C63" s="1737" t="s">
        <v>1788</v>
      </c>
      <c r="D63" s="1737" t="s">
        <v>1789</v>
      </c>
      <c r="E63" s="1737" t="s">
        <v>1790</v>
      </c>
      <c r="F63" s="1737" t="s">
        <v>1791</v>
      </c>
      <c r="G63" s="1737" t="s">
        <v>1792</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4.75" spans="1:29">
      <c r="A65" s="1694"/>
      <c r="B65" s="1699" t="s">
        <v>1759</v>
      </c>
      <c r="C65" s="1743" t="s">
        <v>1788</v>
      </c>
      <c r="D65" s="1743" t="s">
        <v>1789</v>
      </c>
      <c r="E65" s="1743" t="s">
        <v>1790</v>
      </c>
      <c r="F65" s="1743" t="s">
        <v>1791</v>
      </c>
      <c r="G65" s="1743" t="s">
        <v>1792</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4.75" spans="1:29">
      <c r="A67" s="1694"/>
      <c r="B67" s="1707" t="s">
        <v>1760</v>
      </c>
      <c r="C67" s="1753" t="s">
        <v>1793</v>
      </c>
      <c r="D67" s="1753" t="s">
        <v>1794</v>
      </c>
      <c r="E67" s="1753" t="s">
        <v>1795</v>
      </c>
      <c r="F67" s="1753" t="s">
        <v>1796</v>
      </c>
      <c r="G67" s="1753" t="s">
        <v>1797</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4.75" spans="1:29">
      <c r="A69" s="1694"/>
      <c r="B69" s="1699" t="s">
        <v>1761</v>
      </c>
      <c r="C69" s="1743" t="s">
        <v>1788</v>
      </c>
      <c r="D69" s="1743" t="s">
        <v>1789</v>
      </c>
      <c r="E69" s="1743" t="s">
        <v>1790</v>
      </c>
      <c r="F69" s="1743" t="s">
        <v>1791</v>
      </c>
      <c r="G69" s="1743" t="s">
        <v>1792</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4.75" spans="1:29">
      <c r="A71" s="1694"/>
      <c r="B71" s="1699" t="s">
        <v>1823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8.75" spans="1:29">
      <c r="A79" s="1686" t="s">
        <v>1764</v>
      </c>
      <c r="B79" s="1687" t="s">
        <v>1854</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4.75" spans="1:29">
      <c r="A81" s="1694"/>
      <c r="B81" s="1699" t="s">
        <v>1845</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4.75" spans="1:29">
      <c r="A83" s="1775"/>
      <c r="B83" s="1699" t="s">
        <v>1770</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4.75" spans="1:29">
      <c r="A85" s="1775"/>
      <c r="B85" s="1699" t="s">
        <v>1846</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4.75" spans="1:29">
      <c r="A88" s="1775"/>
      <c r="B88" s="1707" t="s">
        <v>1847</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4.75" spans="1:29">
      <c r="A90" s="1766"/>
      <c r="B90" s="1699" t="s">
        <v>1848</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4.75" spans="1:29">
      <c r="A93" s="1775"/>
      <c r="B93" s="1699" t="s">
        <v>1849</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4.75" spans="1:29">
      <c r="A95" s="1775"/>
      <c r="B95" s="1699" t="s">
        <v>1850</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7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617</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t="e">
        <f ca="1">IF(E2="——",C37,ROUND(B2*10000/D3,0))</f>
        <v>#DIV/0!</v>
      </c>
      <c r="C3" s="1889" t="s">
        <v>1730</v>
      </c>
      <c r="D3" s="1888">
        <f>SUMIF('数据-汇总表'!$C19:$C33,D1,'数据-汇总表'!$E19:$E33)</f>
        <v>0</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4" si="3">D8/F8</f>
        <v>1</v>
      </c>
      <c r="AB8" s="1451">
        <f t="shared" ref="AB8:AB34" si="4">D8/H8</f>
        <v>1</v>
      </c>
      <c r="AC8" s="1451">
        <f t="shared" ref="AC8:AC34" si="5">D8/J8</f>
        <v>1</v>
      </c>
    </row>
    <row r="9" s="1360" customFormat="1" spans="1:29">
      <c r="A9" s="1923" t="s">
        <v>1749</v>
      </c>
      <c r="B9" s="1924" t="s">
        <v>1750</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1930"/>
      <c r="B10" s="1931" t="s">
        <v>1753</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947" t="s">
        <v>1755</v>
      </c>
      <c r="B14" s="1948" t="s">
        <v>1758</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1759</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1760</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1761</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1823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1986" t="s">
        <v>1764</v>
      </c>
      <c r="B26" s="1924" t="s">
        <v>1770</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1766</v>
      </c>
      <c r="Q26" s="1621" t="str">
        <f t="shared" si="11"/>
        <v>公共部分装修</v>
      </c>
      <c r="R26" s="1956" t="s">
        <v>1746</v>
      </c>
      <c r="S26" s="1957">
        <f t="shared" ref="S26:S34" si="12">F26</f>
        <v>100</v>
      </c>
      <c r="T26" s="1956" t="s">
        <v>1746</v>
      </c>
      <c r="U26" s="1957">
        <f t="shared" ref="U26:U34" si="13">H26</f>
        <v>100</v>
      </c>
      <c r="V26" s="1956" t="s">
        <v>1746</v>
      </c>
      <c r="W26" s="1957">
        <f t="shared" ref="W26:W34" si="14">J26</f>
        <v>100</v>
      </c>
      <c r="X26" s="1404"/>
      <c r="Y26" s="1540" t="s">
        <v>1766</v>
      </c>
      <c r="Z26" s="1504" t="str">
        <f t="shared" ref="Z26:Z34" si="15">Q26</f>
        <v>公共部分装修</v>
      </c>
      <c r="AA26" s="1505">
        <f t="shared" si="3"/>
        <v>1</v>
      </c>
      <c r="AB26" s="1505">
        <f t="shared" si="4"/>
        <v>1</v>
      </c>
      <c r="AC26" s="1505">
        <f t="shared" si="5"/>
        <v>1</v>
      </c>
    </row>
    <row r="27" s="1362" customFormat="1" ht="15.5" spans="1:29">
      <c r="A27" s="1992"/>
      <c r="B27" s="1931" t="s">
        <v>1846</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1746</v>
      </c>
      <c r="S27" s="1998" t="e">
        <f t="shared" si="12"/>
        <v>#N/A</v>
      </c>
      <c r="T27" s="1997" t="s">
        <v>1746</v>
      </c>
      <c r="U27" s="1998" t="e">
        <f t="shared" si="13"/>
        <v>#N/A</v>
      </c>
      <c r="V27" s="1997" t="s">
        <v>1746</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1847</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1746</v>
      </c>
      <c r="S28" s="1957">
        <f t="shared" si="12"/>
        <v>100</v>
      </c>
      <c r="T28" s="1956" t="s">
        <v>1746</v>
      </c>
      <c r="U28" s="1957">
        <f t="shared" si="13"/>
        <v>100</v>
      </c>
      <c r="V28" s="1956" t="s">
        <v>1746</v>
      </c>
      <c r="W28" s="1957">
        <f t="shared" si="14"/>
        <v>100</v>
      </c>
      <c r="X28" s="1404"/>
      <c r="Y28" s="1540"/>
      <c r="Z28" s="1504" t="str">
        <f t="shared" si="15"/>
        <v>物业等级</v>
      </c>
      <c r="AA28" s="1505">
        <f t="shared" si="3"/>
        <v>1</v>
      </c>
      <c r="AB28" s="1505">
        <f t="shared" si="4"/>
        <v>1</v>
      </c>
      <c r="AC28" s="1505">
        <f t="shared" si="5"/>
        <v>1</v>
      </c>
    </row>
    <row r="29" ht="15.5" spans="1:29">
      <c r="A29" s="1999"/>
      <c r="B29" s="1931" t="s">
        <v>1855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1746</v>
      </c>
      <c r="S29" s="1957">
        <f t="shared" si="12"/>
        <v>100</v>
      </c>
      <c r="T29" s="1956" t="s">
        <v>1746</v>
      </c>
      <c r="U29" s="1957">
        <f t="shared" si="13"/>
        <v>100</v>
      </c>
      <c r="V29" s="1956" t="s">
        <v>1746</v>
      </c>
      <c r="W29" s="1957">
        <f t="shared" si="14"/>
        <v>100</v>
      </c>
      <c r="X29" s="1404"/>
      <c r="Y29" s="1540"/>
      <c r="Z29" s="1504" t="str">
        <f t="shared" si="15"/>
        <v>有无电梯</v>
      </c>
      <c r="AA29" s="1505">
        <f t="shared" si="3"/>
        <v>1</v>
      </c>
      <c r="AB29" s="1505">
        <f t="shared" si="4"/>
        <v>1</v>
      </c>
      <c r="AC29" s="1505">
        <f t="shared" si="5"/>
        <v>1</v>
      </c>
    </row>
    <row r="30" ht="15.5" spans="1:29">
      <c r="A30" s="1999"/>
      <c r="B30" s="1931" t="s">
        <v>665</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1746</v>
      </c>
      <c r="S30" s="1957" t="e">
        <f t="shared" si="12"/>
        <v>#N/A</v>
      </c>
      <c r="T30" s="1956" t="s">
        <v>1746</v>
      </c>
      <c r="U30" s="1957" t="e">
        <f t="shared" si="13"/>
        <v>#N/A</v>
      </c>
      <c r="V30" s="1956" t="s">
        <v>1746</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1856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1746</v>
      </c>
      <c r="S31" s="1919">
        <f t="shared" si="12"/>
        <v>100</v>
      </c>
      <c r="T31" s="1918" t="s">
        <v>1746</v>
      </c>
      <c r="U31" s="1919">
        <f t="shared" si="13"/>
        <v>100</v>
      </c>
      <c r="V31" s="1918" t="s">
        <v>1746</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1766</v>
      </c>
      <c r="Q32" s="1621">
        <f t="shared" si="11"/>
        <v>111</v>
      </c>
      <c r="R32" s="1956" t="s">
        <v>1746</v>
      </c>
      <c r="S32" s="1957">
        <f t="shared" si="12"/>
        <v>100</v>
      </c>
      <c r="T32" s="1956" t="s">
        <v>1746</v>
      </c>
      <c r="U32" s="1957">
        <f t="shared" si="13"/>
        <v>100</v>
      </c>
      <c r="V32" s="1956" t="s">
        <v>1746</v>
      </c>
      <c r="W32" s="1957">
        <f t="shared" si="14"/>
        <v>100</v>
      </c>
      <c r="X32" s="1404"/>
      <c r="Y32" s="1540" t="s">
        <v>1766</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1746</v>
      </c>
      <c r="S33" s="1957">
        <f t="shared" si="12"/>
        <v>100</v>
      </c>
      <c r="T33" s="1956" t="s">
        <v>1746</v>
      </c>
      <c r="U33" s="1957">
        <f t="shared" si="13"/>
        <v>100</v>
      </c>
      <c r="V33" s="1956" t="s">
        <v>1746</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pans="1:30">
      <c r="A35" s="1566" t="s">
        <v>1777</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1778</v>
      </c>
      <c r="B36" s="2015"/>
      <c r="C36" s="2016" t="e">
        <f>R37</f>
        <v>#DIV/0!</v>
      </c>
      <c r="D36" s="1820" t="s">
        <v>1779</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1780</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1781</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1782</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1783</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1784</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1744</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1785</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1747</v>
      </c>
      <c r="B49" s="1676"/>
      <c r="C49" s="1677" t="s">
        <v>1786</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1787</v>
      </c>
      <c r="B51" s="1687" t="s">
        <v>1750</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1753</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1755</v>
      </c>
      <c r="B61" s="1687" t="s">
        <v>1758</v>
      </c>
      <c r="C61" s="1737" t="s">
        <v>1788</v>
      </c>
      <c r="D61" s="1737" t="s">
        <v>1789</v>
      </c>
      <c r="E61" s="1737" t="s">
        <v>1790</v>
      </c>
      <c r="F61" s="1737" t="s">
        <v>1791</v>
      </c>
      <c r="G61" s="1737" t="s">
        <v>1792</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1857</v>
      </c>
      <c r="C63" s="1743" t="s">
        <v>1788</v>
      </c>
      <c r="D63" s="1743" t="s">
        <v>1789</v>
      </c>
      <c r="E63" s="1743" t="s">
        <v>1790</v>
      </c>
      <c r="F63" s="1743" t="s">
        <v>1791</v>
      </c>
      <c r="G63" s="1743" t="s">
        <v>1792</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1760</v>
      </c>
      <c r="C65" s="1753" t="s">
        <v>1793</v>
      </c>
      <c r="D65" s="1753" t="s">
        <v>1794</v>
      </c>
      <c r="E65" s="1753" t="s">
        <v>1795</v>
      </c>
      <c r="F65" s="1753" t="s">
        <v>1796</v>
      </c>
      <c r="G65" s="1753" t="s">
        <v>1797</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1761</v>
      </c>
      <c r="C67" s="1743" t="s">
        <v>1788</v>
      </c>
      <c r="D67" s="1743" t="s">
        <v>1789</v>
      </c>
      <c r="E67" s="1743" t="s">
        <v>1790</v>
      </c>
      <c r="F67" s="1743" t="s">
        <v>1791</v>
      </c>
      <c r="G67" s="1743" t="s">
        <v>1792</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1823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1764</v>
      </c>
      <c r="B77" s="1687" t="s">
        <v>1770</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1846</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1847</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1855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665</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1856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1858</v>
      </c>
      <c r="B1" s="1370"/>
      <c r="C1" s="1371" t="s">
        <v>1859</v>
      </c>
      <c r="D1" s="1372"/>
      <c r="E1" s="1372"/>
      <c r="F1" s="1373" t="s">
        <v>1729</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1105</v>
      </c>
      <c r="B2" s="627">
        <f>F67</f>
        <v>17471</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1107</v>
      </c>
      <c r="B3" s="1385">
        <f>ROUND(IF(D3="",B2*10000/'数据-汇总表'!E3,B2*10000/D3),0)</f>
        <v>10446</v>
      </c>
      <c r="C3" s="424" t="s">
        <v>1730</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1860</v>
      </c>
      <c r="B4" s="1389">
        <f>IF(B48="单位面积地价",C50,ROUND(B2*10000/'数据-汇总表'!D3,0))</f>
        <v>17473</v>
      </c>
      <c r="C4" s="727" t="s">
        <v>1108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1165</v>
      </c>
      <c r="C5" s="728" t="s">
        <v>1861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1731</v>
      </c>
      <c r="B6" s="1784"/>
      <c r="C6" s="1393" t="s">
        <v>1732</v>
      </c>
      <c r="D6" s="1394"/>
      <c r="E6" s="1395" t="s">
        <v>1733</v>
      </c>
      <c r="F6" s="1396"/>
      <c r="G6" s="1393" t="s">
        <v>1734</v>
      </c>
      <c r="H6" s="1394"/>
      <c r="I6" s="1393" t="s">
        <v>1735</v>
      </c>
      <c r="J6" s="1394"/>
      <c r="K6" s="1785"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30">
      <c r="A7" s="1786"/>
      <c r="B7" s="1787"/>
      <c r="C7" s="1410" t="s">
        <v>1738</v>
      </c>
      <c r="D7" s="1411"/>
      <c r="E7" s="1412" t="s">
        <v>1739</v>
      </c>
      <c r="F7" s="1413"/>
      <c r="G7" s="1410" t="s">
        <v>1740</v>
      </c>
      <c r="H7" s="1411"/>
      <c r="I7" s="1410" t="s">
        <v>1741</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1742</v>
      </c>
      <c r="D8" s="1791"/>
      <c r="E8" s="1792" t="s">
        <v>1742</v>
      </c>
      <c r="F8" s="1793"/>
      <c r="G8" s="1790" t="s">
        <v>1742</v>
      </c>
      <c r="H8" s="1791"/>
      <c r="I8" s="1790" t="s">
        <v>1742</v>
      </c>
      <c r="J8" s="1791"/>
      <c r="K8" s="1785" t="s">
        <v>1743</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1744</v>
      </c>
      <c r="B9" s="1434"/>
      <c r="C9" s="1435">
        <f>'数据-取费表'!B2</f>
        <v>46029</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1745</v>
      </c>
      <c r="Q9" s="1445"/>
      <c r="R9" s="1446" t="s">
        <v>1746</v>
      </c>
      <c r="S9" s="1447">
        <f t="shared" ref="S9:S17" si="0">F9</f>
        <v>100.62</v>
      </c>
      <c r="T9" s="1446" t="s">
        <v>1746</v>
      </c>
      <c r="U9" s="1447">
        <f t="shared" ref="U9:U17" si="1">H9</f>
        <v>102.01</v>
      </c>
      <c r="V9" s="1446" t="s">
        <v>1746</v>
      </c>
      <c r="W9" s="1447">
        <f t="shared" ref="W9:W17" si="2">J9</f>
        <v>103.83</v>
      </c>
      <c r="X9" s="1448"/>
      <c r="Y9" s="1449" t="s">
        <v>1745</v>
      </c>
      <c r="Z9" s="1450"/>
      <c r="AA9" s="1451">
        <f>D9/F9</f>
        <v>0.993838203140529</v>
      </c>
      <c r="AB9" s="1451">
        <f>D9/H9</f>
        <v>0.980296049406921</v>
      </c>
      <c r="AC9" s="1451">
        <f>D9/J9</f>
        <v>0.963112780506597</v>
      </c>
    </row>
    <row r="10" s="1360" customFormat="1" ht="14.75" spans="1:30">
      <c r="A10" s="1433" t="s">
        <v>1747</v>
      </c>
      <c r="B10" s="1434"/>
      <c r="C10" s="1452" t="s">
        <v>1786</v>
      </c>
      <c r="D10" s="1436">
        <v>100</v>
      </c>
      <c r="E10" s="1452" t="s">
        <v>1862</v>
      </c>
      <c r="F10" s="1453">
        <f>SUMIF(74:74,E10,75:75)-SUMIF(74:74,C10,75:75)+100</f>
        <v>100</v>
      </c>
      <c r="G10" s="1452" t="s">
        <v>1862</v>
      </c>
      <c r="H10" s="1454">
        <f>SUMIF(74:74,G10,75:75)-SUMIF(74:74,C10,75:75)+100</f>
        <v>100</v>
      </c>
      <c r="I10" s="1452" t="s">
        <v>1862</v>
      </c>
      <c r="J10" s="1454">
        <f>SUMIF(74:74,I10,75:75)-SUMIF(74:74,C10,75:75)+100</f>
        <v>100</v>
      </c>
      <c r="K10" s="1794"/>
      <c r="L10" s="1442"/>
      <c r="M10" s="1443"/>
      <c r="N10" s="1443"/>
      <c r="O10" s="1443"/>
      <c r="P10" s="1444" t="s">
        <v>1748</v>
      </c>
      <c r="Q10" s="1455"/>
      <c r="R10" s="1446" t="s">
        <v>1746</v>
      </c>
      <c r="S10" s="1447">
        <f t="shared" si="0"/>
        <v>100</v>
      </c>
      <c r="T10" s="1446" t="s">
        <v>1746</v>
      </c>
      <c r="U10" s="1447">
        <f t="shared" si="1"/>
        <v>100</v>
      </c>
      <c r="V10" s="1446" t="s">
        <v>1746</v>
      </c>
      <c r="W10" s="1447">
        <f t="shared" si="2"/>
        <v>100</v>
      </c>
      <c r="X10" s="1448"/>
      <c r="Y10" s="1449" t="s">
        <v>1748</v>
      </c>
      <c r="Z10" s="1450"/>
      <c r="AA10" s="1451">
        <f t="shared" ref="AA10:AA47" si="3">D10/F10</f>
        <v>1</v>
      </c>
      <c r="AB10" s="1451">
        <f t="shared" ref="AB10:AB47" si="4">D10/H10</f>
        <v>1</v>
      </c>
      <c r="AC10" s="1451">
        <f t="shared" ref="AC10:AC47" si="5">D10/J10</f>
        <v>1</v>
      </c>
    </row>
    <row r="11" s="1360" customFormat="1" spans="1:30">
      <c r="A11" s="1456" t="s">
        <v>1749</v>
      </c>
      <c r="B11" s="1457" t="s">
        <v>1750</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30">
      <c r="A12" s="1465"/>
      <c r="B12" s="1466" t="s">
        <v>1753</v>
      </c>
      <c r="C12" s="1467"/>
      <c r="D12" s="1468">
        <v>100</v>
      </c>
      <c r="E12" s="1795"/>
      <c r="F12" s="1469">
        <f>ROUND(100/'数据-取费表'!G16,1)</f>
        <v>118.1</v>
      </c>
      <c r="G12" s="1796"/>
      <c r="H12" s="1469">
        <f>ROUND(100/'数据-取费表'!G16,1)</f>
        <v>118.1</v>
      </c>
      <c r="I12" s="1796"/>
      <c r="J12" s="1469">
        <f>ROUND(100/'数据-取费表'!G16,1)</f>
        <v>118.1</v>
      </c>
      <c r="K12" s="1797"/>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30">
      <c r="A13" s="1474"/>
      <c r="B13" s="1466" t="s">
        <v>1754</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1746</v>
      </c>
      <c r="S13" s="1447">
        <f t="shared" si="0"/>
        <v>100</v>
      </c>
      <c r="T13" s="1446" t="s">
        <v>1746</v>
      </c>
      <c r="U13" s="1447">
        <f t="shared" si="1"/>
        <v>100</v>
      </c>
      <c r="V13" s="1446" t="s">
        <v>1746</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1863</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1746</v>
      </c>
      <c r="S14" s="1447">
        <f t="shared" si="0"/>
        <v>100</v>
      </c>
      <c r="T14" s="1446" t="s">
        <v>1746</v>
      </c>
      <c r="U14" s="1447">
        <f t="shared" si="1"/>
        <v>100</v>
      </c>
      <c r="V14" s="1446" t="s">
        <v>1746</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800" t="s">
        <v>1756</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1757</v>
      </c>
      <c r="Q17" s="1058" t="str">
        <f t="shared" si="6"/>
        <v>居住社区成熟度</v>
      </c>
      <c r="R17" s="1501" t="s">
        <v>1746</v>
      </c>
      <c r="S17" s="1502">
        <f t="shared" si="0"/>
        <v>105</v>
      </c>
      <c r="T17" s="1501" t="s">
        <v>1746</v>
      </c>
      <c r="U17" s="1502">
        <f t="shared" si="1"/>
        <v>100</v>
      </c>
      <c r="V17" s="1501" t="s">
        <v>1746</v>
      </c>
      <c r="W17" s="1502">
        <f t="shared" si="2"/>
        <v>100</v>
      </c>
      <c r="X17" s="1404"/>
      <c r="Y17" s="1503" t="s">
        <v>1757</v>
      </c>
      <c r="Z17" s="1504" t="str">
        <f t="shared" si="7"/>
        <v>居住社区成熟度</v>
      </c>
      <c r="AA17" s="1505">
        <f t="shared" si="3"/>
        <v>0.952380952380952</v>
      </c>
      <c r="AB17" s="1505">
        <f t="shared" si="4"/>
        <v>1</v>
      </c>
      <c r="AC17" s="1505">
        <f t="shared" si="5"/>
        <v>1</v>
      </c>
    </row>
    <row r="18" ht="15.5" spans="1:29">
      <c r="A18" s="1474"/>
      <c r="B18" s="1802"/>
      <c r="C18" s="1507" t="s">
        <v>1864</v>
      </c>
      <c r="D18" s="1508"/>
      <c r="E18" s="1521" t="s">
        <v>1865</v>
      </c>
      <c r="F18" s="1510"/>
      <c r="G18" s="1521" t="s">
        <v>1864</v>
      </c>
      <c r="H18" s="1511"/>
      <c r="I18" s="1522" t="s">
        <v>1864</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1819</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1746</v>
      </c>
      <c r="S19" s="1502">
        <f>F19</f>
        <v>100</v>
      </c>
      <c r="T19" s="1501" t="s">
        <v>1746</v>
      </c>
      <c r="U19" s="1502">
        <f>H19</f>
        <v>100</v>
      </c>
      <c r="V19" s="1501" t="s">
        <v>1746</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1831</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1746</v>
      </c>
      <c r="S21" s="1502">
        <f>F21</f>
        <v>100</v>
      </c>
      <c r="T21" s="1501" t="s">
        <v>1746</v>
      </c>
      <c r="U21" s="1502">
        <f>H21</f>
        <v>100</v>
      </c>
      <c r="V21" s="1501" t="s">
        <v>1746</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1758</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1746</v>
      </c>
      <c r="S23" s="1502">
        <f>F23</f>
        <v>105</v>
      </c>
      <c r="T23" s="1501" t="s">
        <v>1746</v>
      </c>
      <c r="U23" s="1502">
        <f>H23</f>
        <v>100</v>
      </c>
      <c r="V23" s="1501" t="s">
        <v>1746</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1864</v>
      </c>
      <c r="D24" s="1516"/>
      <c r="E24" s="1521" t="s">
        <v>1865</v>
      </c>
      <c r="F24" s="1510"/>
      <c r="G24" s="1521" t="s">
        <v>1864</v>
      </c>
      <c r="H24" s="1510"/>
      <c r="I24" s="1522" t="s">
        <v>1864</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1866</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1746</v>
      </c>
      <c r="S25" s="1502">
        <f>F25</f>
        <v>100</v>
      </c>
      <c r="T25" s="1501" t="s">
        <v>1746</v>
      </c>
      <c r="U25" s="1502">
        <f>H25</f>
        <v>100</v>
      </c>
      <c r="V25" s="1501" t="s">
        <v>1746</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1867</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1746</v>
      </c>
      <c r="S27" s="1502">
        <f>F27</f>
        <v>100</v>
      </c>
      <c r="T27" s="1501" t="s">
        <v>1746</v>
      </c>
      <c r="U27" s="1502">
        <f>H27</f>
        <v>100</v>
      </c>
      <c r="V27" s="1501" t="s">
        <v>1746</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1759</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1746</v>
      </c>
      <c r="S29" s="1447">
        <f>F29</f>
        <v>105</v>
      </c>
      <c r="T29" s="1446" t="s">
        <v>1746</v>
      </c>
      <c r="U29" s="1447">
        <f>H29</f>
        <v>100</v>
      </c>
      <c r="V29" s="1446" t="s">
        <v>1746</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1864</v>
      </c>
      <c r="D30" s="1508"/>
      <c r="E30" s="1509" t="s">
        <v>1865</v>
      </c>
      <c r="F30" s="1510"/>
      <c r="G30" s="1509" t="s">
        <v>1864</v>
      </c>
      <c r="H30" s="1510"/>
      <c r="I30" s="1507" t="s">
        <v>1864</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1760</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1746</v>
      </c>
      <c r="S31" s="1447">
        <f>F31</f>
        <v>100</v>
      </c>
      <c r="T31" s="1446" t="s">
        <v>1746</v>
      </c>
      <c r="U31" s="1447">
        <f>H31</f>
        <v>100</v>
      </c>
      <c r="V31" s="1446" t="s">
        <v>1746</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1820</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1746</v>
      </c>
      <c r="S33" s="1502">
        <f t="shared" ref="S33:S47" si="10">F33</f>
        <v>100</v>
      </c>
      <c r="T33" s="1501" t="s">
        <v>1746</v>
      </c>
      <c r="U33" s="1502">
        <f t="shared" ref="U33:U47" si="11">H33</f>
        <v>100</v>
      </c>
      <c r="V33" s="1501" t="s">
        <v>1746</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1833</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1746</v>
      </c>
      <c r="S34" s="1502">
        <f t="shared" si="10"/>
        <v>100</v>
      </c>
      <c r="T34" s="1501" t="s">
        <v>1746</v>
      </c>
      <c r="U34" s="1502">
        <f t="shared" si="11"/>
        <v>100</v>
      </c>
      <c r="V34" s="1501" t="s">
        <v>1746</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1868</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1746</v>
      </c>
      <c r="S36" s="1502">
        <f t="shared" si="10"/>
        <v>100</v>
      </c>
      <c r="T36" s="1501" t="s">
        <v>1746</v>
      </c>
      <c r="U36" s="1502">
        <f t="shared" si="11"/>
        <v>100</v>
      </c>
      <c r="V36" s="1501" t="s">
        <v>1746</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1746</v>
      </c>
      <c r="S37" s="1502">
        <f t="shared" si="10"/>
        <v>100</v>
      </c>
      <c r="T37" s="1501" t="s">
        <v>1746</v>
      </c>
      <c r="U37" s="1502">
        <f t="shared" si="11"/>
        <v>100</v>
      </c>
      <c r="V37" s="1501" t="s">
        <v>1746</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1766</v>
      </c>
      <c r="Q38" s="1058">
        <f t="shared" si="8"/>
        <v>111</v>
      </c>
      <c r="R38" s="1501" t="s">
        <v>1746</v>
      </c>
      <c r="S38" s="1502">
        <f t="shared" si="10"/>
        <v>100</v>
      </c>
      <c r="T38" s="1501" t="s">
        <v>1746</v>
      </c>
      <c r="U38" s="1502">
        <f t="shared" si="11"/>
        <v>100</v>
      </c>
      <c r="V38" s="1501" t="s">
        <v>1746</v>
      </c>
      <c r="W38" s="1502">
        <f t="shared" si="12"/>
        <v>100</v>
      </c>
      <c r="X38" s="1404"/>
      <c r="Y38" s="1540" t="s">
        <v>1766</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1746</v>
      </c>
      <c r="S39" s="1550">
        <f t="shared" si="10"/>
        <v>100</v>
      </c>
      <c r="T39" s="1549" t="s">
        <v>1746</v>
      </c>
      <c r="U39" s="1550">
        <f t="shared" si="11"/>
        <v>100</v>
      </c>
      <c r="V39" s="1549" t="s">
        <v>1746</v>
      </c>
      <c r="W39" s="1550">
        <f t="shared" si="12"/>
        <v>100</v>
      </c>
      <c r="X39" s="1551"/>
      <c r="Y39" s="1540"/>
      <c r="Z39" s="1552">
        <f t="shared" si="13"/>
        <v>111</v>
      </c>
      <c r="AA39" s="1505">
        <f t="shared" si="3"/>
        <v>1</v>
      </c>
      <c r="AB39" s="1505">
        <f t="shared" si="4"/>
        <v>1</v>
      </c>
      <c r="AC39" s="1505">
        <f t="shared" si="5"/>
        <v>1</v>
      </c>
    </row>
    <row r="40" ht="15.5" spans="1:29">
      <c r="A40" s="1558" t="s">
        <v>1764</v>
      </c>
      <c r="B40" s="1553" t="s">
        <v>1869</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1746</v>
      </c>
      <c r="S40" s="1502">
        <f t="shared" si="10"/>
        <v>100</v>
      </c>
      <c r="T40" s="1501" t="s">
        <v>1746</v>
      </c>
      <c r="U40" s="1502">
        <f t="shared" si="11"/>
        <v>99</v>
      </c>
      <c r="V40" s="1501" t="s">
        <v>1746</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1870</v>
      </c>
      <c r="C41" s="1559" t="s">
        <v>1871</v>
      </c>
      <c r="D41" s="1486">
        <v>100</v>
      </c>
      <c r="E41" s="1559" t="s">
        <v>1871</v>
      </c>
      <c r="F41" s="1487">
        <f>SUMIF(120:120,E41,121:121)-SUMIF(120:120,C41,121:121)+100</f>
        <v>100</v>
      </c>
      <c r="G41" s="1559" t="s">
        <v>1872</v>
      </c>
      <c r="H41" s="1487">
        <f>SUMIF(120:120,G41,121:121)-SUMIF(120:120,C41,121:121)+100</f>
        <v>98</v>
      </c>
      <c r="I41" s="1559" t="s">
        <v>1871</v>
      </c>
      <c r="J41" s="1487">
        <f>SUMIF(120:120,I41,121:121)-SUMIF(120:120,C41,121:121)+100</f>
        <v>100</v>
      </c>
      <c r="K41" s="1814">
        <v>2</v>
      </c>
      <c r="L41" s="1488"/>
      <c r="M41" s="1399"/>
      <c r="N41" s="1399"/>
      <c r="O41" s="1479"/>
      <c r="P41" s="1548"/>
      <c r="Q41" s="1058" t="str">
        <f t="shared" ref="Q41:Q47" si="14">B41</f>
        <v>宗地形状</v>
      </c>
      <c r="R41" s="1501" t="s">
        <v>1746</v>
      </c>
      <c r="S41" s="1502">
        <f t="shared" si="10"/>
        <v>100</v>
      </c>
      <c r="T41" s="1501" t="s">
        <v>1746</v>
      </c>
      <c r="U41" s="1502">
        <f t="shared" si="11"/>
        <v>98</v>
      </c>
      <c r="V41" s="1501" t="s">
        <v>1746</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1873</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1746</v>
      </c>
      <c r="S42" s="1502">
        <f t="shared" si="10"/>
        <v>100</v>
      </c>
      <c r="T42" s="1501" t="s">
        <v>1746</v>
      </c>
      <c r="U42" s="1502">
        <f t="shared" si="11"/>
        <v>100</v>
      </c>
      <c r="V42" s="1501" t="s">
        <v>1746</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1874</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1746</v>
      </c>
      <c r="S43" s="1447">
        <f t="shared" si="10"/>
        <v>100</v>
      </c>
      <c r="T43" s="1446" t="s">
        <v>1746</v>
      </c>
      <c r="U43" s="1447">
        <f t="shared" si="11"/>
        <v>98</v>
      </c>
      <c r="V43" s="1446" t="s">
        <v>1746</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1875</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1766</v>
      </c>
      <c r="Q44" s="1058" t="str">
        <f t="shared" si="14"/>
        <v>工程地质条件</v>
      </c>
      <c r="R44" s="1501" t="s">
        <v>1746</v>
      </c>
      <c r="S44" s="1502">
        <f t="shared" si="10"/>
        <v>100</v>
      </c>
      <c r="T44" s="1501" t="s">
        <v>1746</v>
      </c>
      <c r="U44" s="1502">
        <f t="shared" si="11"/>
        <v>100</v>
      </c>
      <c r="V44" s="1501" t="s">
        <v>1746</v>
      </c>
      <c r="W44" s="1502">
        <f t="shared" si="12"/>
        <v>100</v>
      </c>
      <c r="X44" s="1404"/>
      <c r="Y44" s="1540" t="s">
        <v>1766</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1746</v>
      </c>
      <c r="S45" s="1502">
        <f t="shared" si="10"/>
        <v>100</v>
      </c>
      <c r="T45" s="1501" t="s">
        <v>1746</v>
      </c>
      <c r="U45" s="1502">
        <f t="shared" si="11"/>
        <v>100</v>
      </c>
      <c r="V45" s="1501" t="s">
        <v>1746</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1746</v>
      </c>
      <c r="S46" s="1502">
        <f t="shared" si="10"/>
        <v>100</v>
      </c>
      <c r="T46" s="1501" t="s">
        <v>1746</v>
      </c>
      <c r="U46" s="1502">
        <f t="shared" si="11"/>
        <v>100</v>
      </c>
      <c r="V46" s="1501" t="s">
        <v>1746</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1746</v>
      </c>
      <c r="S47" s="1550">
        <f t="shared" si="10"/>
        <v>100</v>
      </c>
      <c r="T47" s="1549" t="s">
        <v>1746</v>
      </c>
      <c r="U47" s="1550">
        <f t="shared" si="11"/>
        <v>100</v>
      </c>
      <c r="V47" s="1549" t="s">
        <v>1746</v>
      </c>
      <c r="W47" s="1550">
        <f t="shared" si="12"/>
        <v>100</v>
      </c>
      <c r="X47" s="1551"/>
      <c r="Y47" s="1540"/>
      <c r="Z47" s="1552">
        <f t="shared" si="13"/>
        <v>111</v>
      </c>
      <c r="AA47" s="1505">
        <f t="shared" si="3"/>
        <v>1</v>
      </c>
      <c r="AB47" s="1505">
        <f t="shared" si="4"/>
        <v>1</v>
      </c>
      <c r="AC47" s="1505">
        <f t="shared" si="5"/>
        <v>1</v>
      </c>
    </row>
    <row r="48" spans="1:29">
      <c r="A48" s="1566" t="s">
        <v>1851</v>
      </c>
      <c r="B48" s="1567" t="s">
        <v>1876</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1778</v>
      </c>
      <c r="B49" s="1581"/>
      <c r="C49" s="1582">
        <f>R50</f>
        <v>10810</v>
      </c>
      <c r="D49" s="1820" t="s">
        <v>1779</v>
      </c>
      <c r="E49" s="1582">
        <f>R49</f>
        <v>11375</v>
      </c>
      <c r="F49" s="1584"/>
      <c r="G49" s="1585">
        <f>T49</f>
        <v>10478</v>
      </c>
      <c r="H49" s="1584"/>
      <c r="I49" s="1582">
        <f>V49</f>
        <v>10577</v>
      </c>
      <c r="J49" s="1584"/>
      <c r="K49" s="1586">
        <f>F49+H49+J49</f>
        <v>0</v>
      </c>
      <c r="L49" s="1575"/>
      <c r="M49" s="1576"/>
      <c r="N49" s="1576"/>
      <c r="O49" s="1576"/>
      <c r="P49" s="1058" t="str">
        <f>A49</f>
        <v>比较价值（元/平方米）</v>
      </c>
      <c r="Q49" s="1058"/>
      <c r="R49" s="1587">
        <f>ROUND(PRODUCT(R48,AA9:AA47),0)</f>
        <v>11375</v>
      </c>
      <c r="S49" s="1587"/>
      <c r="T49" s="1587">
        <f>ROUND(PRODUCT(T48,AB9:AB47),0)</f>
        <v>10478</v>
      </c>
      <c r="U49" s="1587"/>
      <c r="V49" s="1587">
        <f>ROUND(PRODUCT(V48,AC9:AC47),0)</f>
        <v>10577</v>
      </c>
      <c r="W49" s="1587"/>
      <c r="X49" s="1578"/>
      <c r="Y49" s="1578"/>
      <c r="Z49" s="1578"/>
      <c r="AA49" s="1578"/>
      <c r="AB49" s="1578"/>
      <c r="AC49" s="1578"/>
    </row>
    <row r="50" ht="14.75" spans="1:29">
      <c r="A50" s="1588" t="s">
        <v>1877</v>
      </c>
      <c r="B50" s="1589"/>
      <c r="C50" s="1590">
        <f>R50</f>
        <v>10810</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10810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f>IF(E48&lt;E49,E49/E48-1,E48/E49-1)</f>
        <v>0.375648351648352</v>
      </c>
      <c r="F53" s="1599" t="str">
        <f>IF(OR(E53&gt;=0.3,E53&lt;=-0.3),"超过30%","")</f>
        <v>超过30%</v>
      </c>
      <c r="G53" s="1598">
        <f>IF(G48&lt;G49,G49/G48-1,G48/G49-1)</f>
        <v>0.145447604504676</v>
      </c>
      <c r="H53" s="1599" t="str">
        <f>IF(OR(G53&gt;=0.3,G53&lt;=-0.3),"超过30%","")</f>
        <v/>
      </c>
      <c r="I53" s="1598">
        <f>IF(I48&lt;I49,I49/I48-1,I48/I49-1)</f>
        <v>0.201758532665217</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f>IF(E49&lt;G49,G49/E49-1,E49/G49-1)</f>
        <v>0.0856079404466501</v>
      </c>
      <c r="F54" s="1599" t="str">
        <f>IF(OR(E54&gt;=0.2,E54&lt;=-0.2),"超过20%","")</f>
        <v/>
      </c>
      <c r="G54" s="1598">
        <f>IF(G49&lt;I49,I49/G49-1,G49/I49-1)</f>
        <v>0.00944836800916216</v>
      </c>
      <c r="H54" s="1599" t="str">
        <f>IF(OR(G54&gt;=0.2,G54&lt;=-0.2),"超过20%","")</f>
        <v/>
      </c>
      <c r="I54" s="1598">
        <f>IF(I49&lt;E49,E49/I49-1,I49/E49-1)</f>
        <v>0.0754467240238252</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1878</v>
      </c>
      <c r="B57" s="1607" t="s">
        <v>1879</v>
      </c>
      <c r="C57" s="1608" t="s">
        <v>1880</v>
      </c>
      <c r="D57" s="1609" t="s">
        <v>1881</v>
      </c>
      <c r="E57" s="1610" t="s">
        <v>1882</v>
      </c>
      <c r="F57" s="1825" t="s">
        <v>1883</v>
      </c>
      <c r="G57" s="1612" t="s">
        <v>1884</v>
      </c>
      <c r="H57" s="1051"/>
      <c r="I57" s="1826" t="s">
        <v>1885</v>
      </c>
      <c r="J57" s="1827">
        <f>项目基本情况!F35</f>
        <v>0</v>
      </c>
      <c r="K57" s="1613" t="s">
        <v>1886</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1887</v>
      </c>
      <c r="B58" s="1615">
        <f>C50</f>
        <v>10810</v>
      </c>
      <c r="C58" s="1828">
        <v>1</v>
      </c>
      <c r="D58" s="1617">
        <v>1</v>
      </c>
      <c r="E58" s="1618">
        <f>'数据-汇总表'!E8+'数据-汇总表'!E9</f>
        <v>16162.07</v>
      </c>
      <c r="F58" s="1829">
        <f t="shared" ref="F58:F66" si="15">ROUND(B58*E58/10000,0)</f>
        <v>17471</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1888</v>
      </c>
      <c r="B59" s="1625">
        <f>ROUND($C$50*C59*D59,0)</f>
        <v>0</v>
      </c>
      <c r="C59" s="1626">
        <f t="shared" ref="C59:C66" si="16">IF($C$57="北京市系数",I59,J59)</f>
        <v>0</v>
      </c>
      <c r="D59" s="1627">
        <v>0.25</v>
      </c>
      <c r="E59" s="1628">
        <v>594.01</v>
      </c>
      <c r="F59" s="1829">
        <f t="shared" si="15"/>
        <v>0</v>
      </c>
      <c r="G59" s="1833" t="s">
        <v>1889</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1890</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1891</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1892</v>
      </c>
      <c r="B62" s="1625">
        <f t="shared" si="17"/>
        <v>0</v>
      </c>
      <c r="C62" s="1626">
        <f t="shared" si="16"/>
        <v>0</v>
      </c>
      <c r="D62" s="1627">
        <v>0.25</v>
      </c>
      <c r="E62" s="1634">
        <f>'数据-汇总表'!E11</f>
        <v>0</v>
      </c>
      <c r="F62" s="1829">
        <f t="shared" si="15"/>
        <v>0</v>
      </c>
      <c r="G62" s="1635" t="s">
        <v>1893</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1894</v>
      </c>
      <c r="B63" s="1625">
        <f t="shared" si="17"/>
        <v>0</v>
      </c>
      <c r="C63" s="1626">
        <f t="shared" si="16"/>
        <v>0</v>
      </c>
      <c r="D63" s="1627">
        <v>0.25</v>
      </c>
      <c r="E63" s="1634">
        <f>'数据-汇总表'!E12</f>
        <v>562.44</v>
      </c>
      <c r="F63" s="1829">
        <f t="shared" si="15"/>
        <v>0</v>
      </c>
      <c r="G63" s="1636" t="s">
        <v>1895</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1896</v>
      </c>
      <c r="B64" s="1625">
        <f t="shared" si="17"/>
        <v>0</v>
      </c>
      <c r="C64" s="1626">
        <f t="shared" si="16"/>
        <v>0</v>
      </c>
      <c r="D64" s="1627">
        <v>0.25</v>
      </c>
      <c r="E64" s="1634">
        <f>'数据-汇总表'!E13</f>
        <v>0</v>
      </c>
      <c r="F64" s="1829">
        <f t="shared" si="15"/>
        <v>0</v>
      </c>
      <c r="G64" s="1636" t="s">
        <v>1897</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1898</v>
      </c>
      <c r="B65" s="1625">
        <f t="shared" si="17"/>
        <v>0</v>
      </c>
      <c r="C65" s="1626">
        <f t="shared" si="16"/>
        <v>0</v>
      </c>
      <c r="D65" s="1627">
        <v>0.25</v>
      </c>
      <c r="E65" s="1634">
        <f>'数据-汇总表'!E14</f>
        <v>0</v>
      </c>
      <c r="F65" s="1829">
        <f t="shared" si="15"/>
        <v>0</v>
      </c>
      <c r="G65" s="1635" t="s">
        <v>1889</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1899</v>
      </c>
      <c r="B66" s="1625">
        <f t="shared" si="17"/>
        <v>0</v>
      </c>
      <c r="C66" s="1626">
        <f t="shared" si="16"/>
        <v>0</v>
      </c>
      <c r="D66" s="1627">
        <v>0.25</v>
      </c>
      <c r="E66" s="1634">
        <f>'数据-汇总表'!E15</f>
        <v>0</v>
      </c>
      <c r="F66" s="1829">
        <f t="shared" si="15"/>
        <v>0</v>
      </c>
      <c r="G66" s="1637" t="s">
        <v>1893</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1900</v>
      </c>
      <c r="B67" s="1640" t="s">
        <v>1901</v>
      </c>
      <c r="C67" s="1640" t="s">
        <v>1901</v>
      </c>
      <c r="D67" s="1841" t="s">
        <v>1901</v>
      </c>
      <c r="E67" s="1641">
        <f>IF(B48="楼面地价",SUM(E58:E66),'数据-汇总表'!D3)</f>
        <v>17318.52</v>
      </c>
      <c r="F67" s="1642">
        <f>IF(B48="楼面地价",SUM(F58:F66),ROUND(C50*E67/10000,0))</f>
        <v>17471</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1784</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1902</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1903</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1785</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1747</v>
      </c>
      <c r="B74" s="1676"/>
      <c r="C74" s="1677" t="s">
        <v>1786</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1787</v>
      </c>
      <c r="B76" s="1687" t="s">
        <v>1750</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1753</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1754</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1755</v>
      </c>
      <c r="B89" s="1687" t="s">
        <v>1756</v>
      </c>
      <c r="C89" s="1737" t="s">
        <v>1788</v>
      </c>
      <c r="D89" s="1737" t="s">
        <v>1789</v>
      </c>
      <c r="E89" s="1737" t="s">
        <v>1790</v>
      </c>
      <c r="F89" s="1737" t="s">
        <v>1791</v>
      </c>
      <c r="G89" s="1737" t="s">
        <v>1792</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1819</v>
      </c>
      <c r="C91" s="1743" t="s">
        <v>1788</v>
      </c>
      <c r="D91" s="1743" t="s">
        <v>1789</v>
      </c>
      <c r="E91" s="1743" t="s">
        <v>1790</v>
      </c>
      <c r="F91" s="1743" t="s">
        <v>1791</v>
      </c>
      <c r="G91" s="1743" t="s">
        <v>1792</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1831</v>
      </c>
      <c r="C93" s="1743" t="s">
        <v>1788</v>
      </c>
      <c r="D93" s="1743" t="s">
        <v>1789</v>
      </c>
      <c r="E93" s="1743" t="s">
        <v>1790</v>
      </c>
      <c r="F93" s="1743" t="s">
        <v>1791</v>
      </c>
      <c r="G93" s="1743" t="s">
        <v>1792</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1758</v>
      </c>
      <c r="C95" s="1743" t="s">
        <v>1788</v>
      </c>
      <c r="D95" s="1743" t="s">
        <v>1789</v>
      </c>
      <c r="E95" s="1743" t="s">
        <v>1790</v>
      </c>
      <c r="F95" s="1743" t="s">
        <v>1791</v>
      </c>
      <c r="G95" s="1743" t="s">
        <v>1792</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1866</v>
      </c>
      <c r="C97" s="1743" t="s">
        <v>1788</v>
      </c>
      <c r="D97" s="1743" t="s">
        <v>1789</v>
      </c>
      <c r="E97" s="1743" t="s">
        <v>1790</v>
      </c>
      <c r="F97" s="1743" t="s">
        <v>1791</v>
      </c>
      <c r="G97" s="1743" t="s">
        <v>1792</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1867</v>
      </c>
      <c r="C99" s="1737" t="s">
        <v>1788</v>
      </c>
      <c r="D99" s="1737" t="s">
        <v>1789</v>
      </c>
      <c r="E99" s="1737" t="s">
        <v>1790</v>
      </c>
      <c r="F99" s="1737" t="s">
        <v>1791</v>
      </c>
      <c r="G99" s="1737" t="s">
        <v>1792</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1759</v>
      </c>
      <c r="C101" s="1737" t="s">
        <v>1788</v>
      </c>
      <c r="D101" s="1737" t="s">
        <v>1789</v>
      </c>
      <c r="E101" s="1737" t="s">
        <v>1790</v>
      </c>
      <c r="F101" s="1737" t="s">
        <v>1791</v>
      </c>
      <c r="G101" s="1737" t="s">
        <v>1792</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1760</v>
      </c>
      <c r="C103" s="1753" t="s">
        <v>1793</v>
      </c>
      <c r="D103" s="1753" t="s">
        <v>1794</v>
      </c>
      <c r="E103" s="1753" t="s">
        <v>1795</v>
      </c>
      <c r="F103" s="1753" t="s">
        <v>1796</v>
      </c>
      <c r="G103" s="1753" t="s">
        <v>1797</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1904</v>
      </c>
      <c r="D105" s="1700" t="s">
        <v>1905</v>
      </c>
      <c r="E105" s="1700" t="s">
        <v>1906</v>
      </c>
      <c r="F105" s="1700" t="s">
        <v>1907</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1833</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1868</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1764</v>
      </c>
      <c r="B117" s="1687" t="s">
        <v>1869</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1870</v>
      </c>
      <c r="C120" s="1755" t="s">
        <v>1908</v>
      </c>
      <c r="D120" s="1755" t="s">
        <v>1871</v>
      </c>
      <c r="E120" s="1755" t="s">
        <v>1872</v>
      </c>
      <c r="F120" s="1755" t="s">
        <v>1909</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1873</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1874</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1875</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1858</v>
      </c>
      <c r="B1" s="1370"/>
      <c r="C1" s="1371" t="s">
        <v>1837</v>
      </c>
      <c r="D1" s="1372"/>
      <c r="E1" s="1372"/>
      <c r="F1" s="1373" t="s">
        <v>1729</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385" t="e">
        <f>ROUND(IF(D3="",B2*10000/'数据-汇总表'!E3,B2*10000/D3),0)</f>
        <v>#DIV/0!</v>
      </c>
      <c r="C3" s="424" t="s">
        <v>1730</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1860</v>
      </c>
      <c r="B4" s="1389" t="e">
        <f>IF(B43="单位面积地价",C45,ROUND(B2*10000/'数据-汇总表'!D3,0))</f>
        <v>#DIV/0!</v>
      </c>
      <c r="C4" s="727" t="s">
        <v>1108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1861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1731</v>
      </c>
      <c r="B6" s="1392"/>
      <c r="C6" s="1393" t="s">
        <v>1732</v>
      </c>
      <c r="D6" s="1394"/>
      <c r="E6" s="1395" t="s">
        <v>1733</v>
      </c>
      <c r="F6" s="1396"/>
      <c r="G6" s="1393" t="s">
        <v>1734</v>
      </c>
      <c r="H6" s="1394"/>
      <c r="I6" s="1393" t="s">
        <v>1735</v>
      </c>
      <c r="J6" s="1394"/>
      <c r="K6" s="1397"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29">
      <c r="A7" s="1408"/>
      <c r="B7" s="1409"/>
      <c r="C7" s="1410" t="s">
        <v>1738</v>
      </c>
      <c r="D7" s="1411"/>
      <c r="E7" s="1412" t="s">
        <v>1739</v>
      </c>
      <c r="F7" s="1413"/>
      <c r="G7" s="1410" t="s">
        <v>1740</v>
      </c>
      <c r="H7" s="1411"/>
      <c r="I7" s="1410" t="s">
        <v>1741</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1910</v>
      </c>
      <c r="D8" s="1423"/>
      <c r="E8" s="1424" t="s">
        <v>1910</v>
      </c>
      <c r="F8" s="1425"/>
      <c r="G8" s="1422" t="s">
        <v>1910</v>
      </c>
      <c r="H8" s="1423"/>
      <c r="I8" s="1422" t="s">
        <v>1910</v>
      </c>
      <c r="J8" s="1423"/>
      <c r="K8" s="1397" t="s">
        <v>1743</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1744</v>
      </c>
      <c r="B9" s="1434"/>
      <c r="C9" s="1435">
        <f>'数据-取费表'!B2</f>
        <v>46029</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1745</v>
      </c>
      <c r="Q9" s="1445"/>
      <c r="R9" s="1446" t="s">
        <v>1746</v>
      </c>
      <c r="S9" s="1447">
        <f t="shared" ref="S9:S17" si="0">F9</f>
        <v>0</v>
      </c>
      <c r="T9" s="1446" t="s">
        <v>1746</v>
      </c>
      <c r="U9" s="1447">
        <f t="shared" ref="U9:U17" si="1">H9</f>
        <v>0</v>
      </c>
      <c r="V9" s="1446" t="s">
        <v>1746</v>
      </c>
      <c r="W9" s="1447">
        <f t="shared" ref="W9:W17" si="2">J9</f>
        <v>0</v>
      </c>
      <c r="X9" s="1448"/>
      <c r="Y9" s="1449" t="s">
        <v>1745</v>
      </c>
      <c r="Z9" s="1450"/>
      <c r="AA9" s="1451" t="e">
        <f>D9/F9</f>
        <v>#DIV/0!</v>
      </c>
      <c r="AB9" s="1451" t="e">
        <f>D9/H9</f>
        <v>#DIV/0!</v>
      </c>
      <c r="AC9" s="1451" t="e">
        <f>D9/J9</f>
        <v>#DIV/0!</v>
      </c>
    </row>
    <row r="10" s="1360" customFormat="1" ht="14.75" spans="1:29">
      <c r="A10" s="1433" t="s">
        <v>1747</v>
      </c>
      <c r="B10" s="1434"/>
      <c r="C10" s="1452" t="s">
        <v>1786</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1748</v>
      </c>
      <c r="Q10" s="1455"/>
      <c r="R10" s="1446" t="s">
        <v>1746</v>
      </c>
      <c r="S10" s="1447">
        <f t="shared" si="0"/>
        <v>0</v>
      </c>
      <c r="T10" s="1446" t="s">
        <v>1746</v>
      </c>
      <c r="U10" s="1447">
        <f t="shared" si="1"/>
        <v>0</v>
      </c>
      <c r="V10" s="1446" t="s">
        <v>1746</v>
      </c>
      <c r="W10" s="1447">
        <f t="shared" si="2"/>
        <v>0</v>
      </c>
      <c r="X10" s="1448"/>
      <c r="Y10" s="1449" t="s">
        <v>1748</v>
      </c>
      <c r="Z10" s="1450"/>
      <c r="AA10" s="1451" t="e">
        <f t="shared" ref="AA10:AA42" si="3">D10/F10</f>
        <v>#DIV/0!</v>
      </c>
      <c r="AB10" s="1451" t="e">
        <f t="shared" ref="AB10:AB42" si="4">D10/H10</f>
        <v>#DIV/0!</v>
      </c>
      <c r="AC10" s="1451" t="e">
        <f t="shared" ref="AC10:AC42" si="5">D10/J10</f>
        <v>#DIV/0!</v>
      </c>
    </row>
    <row r="11" s="1360" customFormat="1" spans="1:29">
      <c r="A11" s="1456" t="s">
        <v>1749</v>
      </c>
      <c r="B11" s="1457" t="s">
        <v>1750</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29">
      <c r="A12" s="1465"/>
      <c r="B12" s="1466" t="s">
        <v>1753</v>
      </c>
      <c r="C12" s="1467"/>
      <c r="D12" s="1468">
        <v>100</v>
      </c>
      <c r="E12" s="1467"/>
      <c r="F12" s="1469">
        <f>ROUND(100/'数据-取费表'!G16,1)</f>
        <v>118.1</v>
      </c>
      <c r="G12" s="1467"/>
      <c r="H12" s="1469">
        <f>ROUND(100/'数据-取费表'!G16,1)</f>
        <v>118.1</v>
      </c>
      <c r="I12" s="1467"/>
      <c r="J12" s="1469">
        <f>ROUND(100/'数据-取费表'!G16,1)</f>
        <v>118.1</v>
      </c>
      <c r="K12" s="1470"/>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29">
      <c r="A13" s="1474"/>
      <c r="B13" s="1466" t="s">
        <v>1754</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1746</v>
      </c>
      <c r="S13" s="1447" t="e">
        <f t="shared" si="0"/>
        <v>#N/A</v>
      </c>
      <c r="T13" s="1446" t="s">
        <v>1746</v>
      </c>
      <c r="U13" s="1447" t="e">
        <f t="shared" si="1"/>
        <v>#N/A</v>
      </c>
      <c r="V13" s="1446" t="s">
        <v>1746</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495" t="s">
        <v>1838</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1757</v>
      </c>
      <c r="Q17" s="1058" t="str">
        <f t="shared" si="6"/>
        <v>产业集聚程度</v>
      </c>
      <c r="R17" s="1501" t="s">
        <v>1746</v>
      </c>
      <c r="S17" s="1502">
        <f t="shared" si="0"/>
        <v>100</v>
      </c>
      <c r="T17" s="1501" t="s">
        <v>1746</v>
      </c>
      <c r="U17" s="1502">
        <f t="shared" si="1"/>
        <v>100</v>
      </c>
      <c r="V17" s="1501" t="s">
        <v>1746</v>
      </c>
      <c r="W17" s="1502">
        <f t="shared" si="2"/>
        <v>100</v>
      </c>
      <c r="X17" s="1404"/>
      <c r="Y17" s="1503" t="s">
        <v>1757</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1758</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1746</v>
      </c>
      <c r="S19" s="1502">
        <f>F19</f>
        <v>100</v>
      </c>
      <c r="T19" s="1501" t="s">
        <v>1746</v>
      </c>
      <c r="U19" s="1502">
        <f>H19</f>
        <v>100</v>
      </c>
      <c r="V19" s="1501" t="s">
        <v>1746</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1866</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1746</v>
      </c>
      <c r="S21" s="1502">
        <f>F21</f>
        <v>100</v>
      </c>
      <c r="T21" s="1501" t="s">
        <v>1746</v>
      </c>
      <c r="U21" s="1502">
        <f>H21</f>
        <v>100</v>
      </c>
      <c r="V21" s="1501" t="s">
        <v>1746</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1911</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1746</v>
      </c>
      <c r="S23" s="1502">
        <f>F23</f>
        <v>100</v>
      </c>
      <c r="T23" s="1501" t="s">
        <v>1746</v>
      </c>
      <c r="U23" s="1502">
        <f>H23</f>
        <v>100</v>
      </c>
      <c r="V23" s="1501" t="s">
        <v>1746</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1759</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1746</v>
      </c>
      <c r="S25" s="1447">
        <f>F25</f>
        <v>100</v>
      </c>
      <c r="T25" s="1446" t="s">
        <v>1746</v>
      </c>
      <c r="U25" s="1447">
        <f>H25</f>
        <v>100</v>
      </c>
      <c r="V25" s="1446" t="s">
        <v>1746</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1760</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1746</v>
      </c>
      <c r="S27" s="1447">
        <f>F27</f>
        <v>100</v>
      </c>
      <c r="T27" s="1446" t="s">
        <v>1746</v>
      </c>
      <c r="U27" s="1447">
        <f>H27</f>
        <v>100</v>
      </c>
      <c r="V27" s="1446" t="s">
        <v>1746</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1820</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1746</v>
      </c>
      <c r="S29" s="1502">
        <f t="shared" ref="S29:S42" si="10">F29</f>
        <v>100</v>
      </c>
      <c r="T29" s="1501" t="s">
        <v>1746</v>
      </c>
      <c r="U29" s="1502">
        <f t="shared" ref="U29:U42" si="11">H29</f>
        <v>100</v>
      </c>
      <c r="V29" s="1501" t="s">
        <v>1746</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1833</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1746</v>
      </c>
      <c r="S30" s="1502">
        <f t="shared" si="10"/>
        <v>100</v>
      </c>
      <c r="T30" s="1501" t="s">
        <v>1746</v>
      </c>
      <c r="U30" s="1502">
        <f t="shared" si="11"/>
        <v>100</v>
      </c>
      <c r="V30" s="1501" t="s">
        <v>1746</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1868</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1746</v>
      </c>
      <c r="S32" s="1502">
        <f t="shared" si="10"/>
        <v>100</v>
      </c>
      <c r="T32" s="1501" t="s">
        <v>1746</v>
      </c>
      <c r="U32" s="1502">
        <f t="shared" si="11"/>
        <v>100</v>
      </c>
      <c r="V32" s="1501" t="s">
        <v>1746</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1746</v>
      </c>
      <c r="S33" s="1502">
        <f t="shared" si="10"/>
        <v>100</v>
      </c>
      <c r="T33" s="1501" t="s">
        <v>1746</v>
      </c>
      <c r="U33" s="1502">
        <f t="shared" si="11"/>
        <v>100</v>
      </c>
      <c r="V33" s="1501" t="s">
        <v>1746</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1766</v>
      </c>
      <c r="Q34" s="1058">
        <f t="shared" si="8"/>
        <v>111</v>
      </c>
      <c r="R34" s="1501" t="s">
        <v>1746</v>
      </c>
      <c r="S34" s="1502">
        <f t="shared" si="10"/>
        <v>100</v>
      </c>
      <c r="T34" s="1501" t="s">
        <v>1746</v>
      </c>
      <c r="U34" s="1502">
        <f t="shared" si="11"/>
        <v>100</v>
      </c>
      <c r="V34" s="1501" t="s">
        <v>1746</v>
      </c>
      <c r="W34" s="1502">
        <f t="shared" si="12"/>
        <v>100</v>
      </c>
      <c r="X34" s="1404"/>
      <c r="Y34" s="1540" t="s">
        <v>1766</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1746</v>
      </c>
      <c r="S35" s="1550">
        <f t="shared" si="10"/>
        <v>100</v>
      </c>
      <c r="T35" s="1549" t="s">
        <v>1746</v>
      </c>
      <c r="U35" s="1550">
        <f t="shared" si="11"/>
        <v>100</v>
      </c>
      <c r="V35" s="1549" t="s">
        <v>1746</v>
      </c>
      <c r="W35" s="1550">
        <f t="shared" si="12"/>
        <v>100</v>
      </c>
      <c r="X35" s="1551"/>
      <c r="Y35" s="1540"/>
      <c r="Z35" s="1552">
        <f t="shared" si="13"/>
        <v>111</v>
      </c>
      <c r="AA35" s="1505">
        <f t="shared" si="3"/>
        <v>1</v>
      </c>
      <c r="AB35" s="1505">
        <f t="shared" si="4"/>
        <v>1</v>
      </c>
      <c r="AC35" s="1505">
        <f t="shared" si="5"/>
        <v>1</v>
      </c>
    </row>
    <row r="36" ht="15.5" spans="1:31">
      <c r="A36" s="1494" t="s">
        <v>1764</v>
      </c>
      <c r="B36" s="1553" t="s">
        <v>1869</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1746</v>
      </c>
      <c r="S36" s="1502" t="e">
        <f t="shared" si="10"/>
        <v>#N/A</v>
      </c>
      <c r="T36" s="1501" t="s">
        <v>1746</v>
      </c>
      <c r="U36" s="1502" t="e">
        <f t="shared" si="11"/>
        <v>#N/A</v>
      </c>
      <c r="V36" s="1501" t="s">
        <v>1746</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1870</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1746</v>
      </c>
      <c r="S37" s="1502">
        <f t="shared" si="10"/>
        <v>100</v>
      </c>
      <c r="T37" s="1501" t="s">
        <v>1746</v>
      </c>
      <c r="U37" s="1502">
        <f t="shared" si="11"/>
        <v>100</v>
      </c>
      <c r="V37" s="1501" t="s">
        <v>1746</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1874</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1746</v>
      </c>
      <c r="S38" s="1447">
        <f t="shared" si="10"/>
        <v>100</v>
      </c>
      <c r="T38" s="1446" t="s">
        <v>1746</v>
      </c>
      <c r="U38" s="1447">
        <f t="shared" si="11"/>
        <v>100</v>
      </c>
      <c r="V38" s="1446" t="s">
        <v>1746</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1875</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1766</v>
      </c>
      <c r="Q39" s="1058" t="str">
        <f t="shared" si="14"/>
        <v>工程地质条件</v>
      </c>
      <c r="R39" s="1501" t="s">
        <v>1746</v>
      </c>
      <c r="S39" s="1502">
        <f t="shared" si="10"/>
        <v>100</v>
      </c>
      <c r="T39" s="1501" t="s">
        <v>1746</v>
      </c>
      <c r="U39" s="1502">
        <f t="shared" si="11"/>
        <v>100</v>
      </c>
      <c r="V39" s="1501" t="s">
        <v>1746</v>
      </c>
      <c r="W39" s="1502">
        <f t="shared" si="12"/>
        <v>100</v>
      </c>
      <c r="X39" s="1404"/>
      <c r="Y39" s="1540" t="s">
        <v>1766</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1746</v>
      </c>
      <c r="S40" s="1502">
        <f t="shared" si="10"/>
        <v>100</v>
      </c>
      <c r="T40" s="1501" t="s">
        <v>1746</v>
      </c>
      <c r="U40" s="1502">
        <f t="shared" si="11"/>
        <v>100</v>
      </c>
      <c r="V40" s="1501" t="s">
        <v>1746</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1746</v>
      </c>
      <c r="S41" s="1502">
        <f t="shared" si="10"/>
        <v>100</v>
      </c>
      <c r="T41" s="1501" t="s">
        <v>1746</v>
      </c>
      <c r="U41" s="1502">
        <f t="shared" si="11"/>
        <v>100</v>
      </c>
      <c r="V41" s="1501" t="s">
        <v>1746</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1746</v>
      </c>
      <c r="S42" s="1550">
        <f t="shared" si="10"/>
        <v>100</v>
      </c>
      <c r="T42" s="1549" t="s">
        <v>1746</v>
      </c>
      <c r="U42" s="1550">
        <f t="shared" si="11"/>
        <v>100</v>
      </c>
      <c r="V42" s="1549" t="s">
        <v>1746</v>
      </c>
      <c r="W42" s="1550">
        <f t="shared" si="12"/>
        <v>100</v>
      </c>
      <c r="X42" s="1551"/>
      <c r="Y42" s="1540"/>
      <c r="Z42" s="1552">
        <f t="shared" si="13"/>
        <v>111</v>
      </c>
      <c r="AA42" s="1505">
        <f t="shared" si="3"/>
        <v>1</v>
      </c>
      <c r="AB42" s="1505">
        <f t="shared" si="4"/>
        <v>1</v>
      </c>
      <c r="AC42" s="1505">
        <f t="shared" si="5"/>
        <v>1</v>
      </c>
    </row>
    <row r="43" spans="1:31">
      <c r="A43" s="1566" t="s">
        <v>1851</v>
      </c>
      <c r="B43" s="1567" t="s">
        <v>1912</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1778</v>
      </c>
      <c r="B44" s="1581"/>
      <c r="C44" s="1582" t="e">
        <f>R45</f>
        <v>#DIV/0!</v>
      </c>
      <c r="D44" s="1583" t="s">
        <v>1779</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1780</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1781</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1782</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1783</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1878</v>
      </c>
      <c r="B52" s="1607" t="s">
        <v>1879</v>
      </c>
      <c r="C52" s="1608" t="s">
        <v>1880</v>
      </c>
      <c r="D52" s="1609" t="s">
        <v>1881</v>
      </c>
      <c r="E52" s="1610" t="s">
        <v>1882</v>
      </c>
      <c r="F52" s="1611" t="s">
        <v>1883</v>
      </c>
      <c r="G52" s="1612" t="s">
        <v>1884</v>
      </c>
      <c r="H52" s="1051"/>
      <c r="I52" s="808" t="s">
        <v>1913</v>
      </c>
      <c r="J52" s="808">
        <f>项目基本情况!F35</f>
        <v>0</v>
      </c>
      <c r="K52" s="1613" t="s">
        <v>1886</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1887</v>
      </c>
      <c r="B53" s="1615" t="e">
        <f>C45</f>
        <v>#DIV/0!</v>
      </c>
      <c r="C53" s="1616">
        <v>1</v>
      </c>
      <c r="D53" s="1617">
        <v>1</v>
      </c>
      <c r="E53" s="1618">
        <f>'数据-汇总表'!E8+'数据-汇总表'!E9</f>
        <v>16162.07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1888</v>
      </c>
      <c r="B54" s="1625" t="e">
        <f>ROUND($C$45*C54*D54,0)</f>
        <v>#DIV/0!</v>
      </c>
      <c r="C54" s="1626">
        <f t="shared" ref="C54:C62" si="16">IF($C$52="北京市系数",I54,J54)</f>
        <v>0</v>
      </c>
      <c r="D54" s="1627">
        <v>0.25</v>
      </c>
      <c r="E54" s="1628"/>
      <c r="F54" s="1619" t="e">
        <f t="shared" si="15"/>
        <v>#DIV/0!</v>
      </c>
      <c r="G54" s="1629" t="s">
        <v>1889</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1890</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1891</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1892</v>
      </c>
      <c r="B58" s="1625" t="e">
        <f t="shared" si="17"/>
        <v>#DIV/0!</v>
      </c>
      <c r="C58" s="1626">
        <f t="shared" si="16"/>
        <v>0</v>
      </c>
      <c r="D58" s="1627">
        <v>0.25</v>
      </c>
      <c r="E58" s="1634">
        <f>'数据-汇总表'!E11</f>
        <v>0</v>
      </c>
      <c r="F58" s="1619" t="e">
        <f t="shared" si="15"/>
        <v>#DIV/0!</v>
      </c>
      <c r="G58" s="1635" t="s">
        <v>1893</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1894</v>
      </c>
      <c r="B59" s="1625" t="e">
        <f t="shared" si="17"/>
        <v>#DIV/0!</v>
      </c>
      <c r="C59" s="1626">
        <f t="shared" si="16"/>
        <v>0</v>
      </c>
      <c r="D59" s="1627">
        <v>0.25</v>
      </c>
      <c r="E59" s="1634">
        <f>'数据-汇总表'!E12</f>
        <v>562.44</v>
      </c>
      <c r="F59" s="1619" t="e">
        <f t="shared" si="15"/>
        <v>#DIV/0!</v>
      </c>
      <c r="G59" s="1636" t="s">
        <v>1895</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1896</v>
      </c>
      <c r="B60" s="1625" t="e">
        <f t="shared" si="17"/>
        <v>#DIV/0!</v>
      </c>
      <c r="C60" s="1626">
        <f t="shared" si="16"/>
        <v>0</v>
      </c>
      <c r="D60" s="1627">
        <v>0.25</v>
      </c>
      <c r="E60" s="1634">
        <f>'数据-汇总表'!E13</f>
        <v>0</v>
      </c>
      <c r="F60" s="1619" t="e">
        <f t="shared" si="15"/>
        <v>#DIV/0!</v>
      </c>
      <c r="G60" s="1636" t="s">
        <v>1897</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1898</v>
      </c>
      <c r="B61" s="1625" t="e">
        <f t="shared" si="17"/>
        <v>#DIV/0!</v>
      </c>
      <c r="C61" s="1626">
        <f t="shared" si="16"/>
        <v>0</v>
      </c>
      <c r="D61" s="1627">
        <v>0.25</v>
      </c>
      <c r="E61" s="1634">
        <f>'数据-汇总表'!E14</f>
        <v>0</v>
      </c>
      <c r="F61" s="1619" t="e">
        <f t="shared" si="15"/>
        <v>#DIV/0!</v>
      </c>
      <c r="G61" s="1635" t="s">
        <v>1889</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1899</v>
      </c>
      <c r="B62" s="1625" t="e">
        <f t="shared" si="17"/>
        <v>#DIV/0!</v>
      </c>
      <c r="C62" s="1626">
        <f t="shared" si="16"/>
        <v>0</v>
      </c>
      <c r="D62" s="1627">
        <v>0.25</v>
      </c>
      <c r="E62" s="1634">
        <f>'数据-汇总表'!E15</f>
        <v>0</v>
      </c>
      <c r="F62" s="1619" t="e">
        <f t="shared" si="15"/>
        <v>#DIV/0!</v>
      </c>
      <c r="G62" s="1637" t="s">
        <v>1893</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1900</v>
      </c>
      <c r="B63" s="1640" t="s">
        <v>1901</v>
      </c>
      <c r="C63" s="1640" t="s">
        <v>1901</v>
      </c>
      <c r="D63" s="1640" t="s">
        <v>1901</v>
      </c>
      <c r="E63" s="1641">
        <f>IF(B43="楼面地价",SUM(E53:E62),'数据-汇总表'!D3)</f>
        <v>9999.1</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1784</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1902</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1914</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1785</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1747</v>
      </c>
      <c r="B70" s="1676"/>
      <c r="C70" s="1677" t="s">
        <v>1786</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1787</v>
      </c>
      <c r="B72" s="1687" t="s">
        <v>1750</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1753</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1754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1755</v>
      </c>
      <c r="B85" s="1687" t="s">
        <v>1838</v>
      </c>
      <c r="C85" s="1737" t="s">
        <v>1788</v>
      </c>
      <c r="D85" s="1737" t="s">
        <v>1789</v>
      </c>
      <c r="E85" s="1737" t="s">
        <v>1790</v>
      </c>
      <c r="F85" s="1737" t="s">
        <v>1791</v>
      </c>
      <c r="G85" s="1737" t="s">
        <v>1792</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1758</v>
      </c>
      <c r="C87" s="1743" t="s">
        <v>1788</v>
      </c>
      <c r="D87" s="1743" t="s">
        <v>1789</v>
      </c>
      <c r="E87" s="1743" t="s">
        <v>1790</v>
      </c>
      <c r="F87" s="1743" t="s">
        <v>1791</v>
      </c>
      <c r="G87" s="1743" t="s">
        <v>1792</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1866</v>
      </c>
      <c r="C89" s="1737" t="s">
        <v>1788</v>
      </c>
      <c r="D89" s="1737" t="s">
        <v>1789</v>
      </c>
      <c r="E89" s="1737" t="s">
        <v>1790</v>
      </c>
      <c r="F89" s="1737" t="s">
        <v>1791</v>
      </c>
      <c r="G89" s="1737" t="s">
        <v>1792</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1867</v>
      </c>
      <c r="C91" s="1737" t="s">
        <v>1788</v>
      </c>
      <c r="D91" s="1737" t="s">
        <v>1789</v>
      </c>
      <c r="E91" s="1737" t="s">
        <v>1790</v>
      </c>
      <c r="F91" s="1737" t="s">
        <v>1791</v>
      </c>
      <c r="G91" s="1737" t="s">
        <v>1792</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1759</v>
      </c>
      <c r="C93" s="1737" t="s">
        <v>1788</v>
      </c>
      <c r="D93" s="1737" t="s">
        <v>1789</v>
      </c>
      <c r="E93" s="1737" t="s">
        <v>1790</v>
      </c>
      <c r="F93" s="1737" t="s">
        <v>1791</v>
      </c>
      <c r="G93" s="1737" t="s">
        <v>1792</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1760</v>
      </c>
      <c r="C95" s="1753" t="s">
        <v>1793</v>
      </c>
      <c r="D95" s="1753" t="s">
        <v>1794</v>
      </c>
      <c r="E95" s="1753" t="s">
        <v>1795</v>
      </c>
      <c r="F95" s="1753" t="s">
        <v>1796</v>
      </c>
      <c r="G95" s="1753" t="s">
        <v>1797</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1904</v>
      </c>
      <c r="D97" s="1700" t="s">
        <v>1905</v>
      </c>
      <c r="E97" s="1700" t="s">
        <v>1906</v>
      </c>
      <c r="F97" s="1700" t="s">
        <v>1907</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1833</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1868</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1764</v>
      </c>
      <c r="B109" s="1687" t="s">
        <v>1869</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1870</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1874</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1875</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9" sqref="C19"/>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1915</v>
      </c>
      <c r="B1" s="720"/>
      <c r="C1" s="721"/>
      <c r="D1" s="722"/>
      <c r="E1" s="723"/>
      <c r="F1" s="723"/>
      <c r="G1" s="724"/>
      <c r="H1" s="723"/>
      <c r="I1" s="723"/>
      <c r="J1" s="723"/>
      <c r="K1" s="725">
        <f>MATCH(C1,'数据-取费表'!A6:A16,0)+5</f>
        <v>7</v>
      </c>
    </row>
    <row r="2" ht="18" customHeight="1" spans="1:33">
      <c r="A2" s="421" t="s">
        <v>1105</v>
      </c>
      <c r="B2" s="615">
        <f ca="1">IF(D2="含税",C37,C36)</f>
        <v>0</v>
      </c>
      <c r="C2" s="726" t="s">
        <v>1916</v>
      </c>
      <c r="D2" s="1272"/>
      <c r="E2" s="723"/>
      <c r="G2" s="723"/>
      <c r="H2" s="723"/>
      <c r="I2" s="723"/>
      <c r="J2" s="723"/>
      <c r="K2" s="723"/>
    </row>
    <row r="3" ht="18" customHeight="1" spans="1:33">
      <c r="A3" s="424" t="s">
        <v>1107</v>
      </c>
      <c r="B3" s="615">
        <f ca="1">ROUND(B2*10000/IF(C1="",'数据-汇总表'!E3,INDIRECT("'数据-取费表'!K"&amp;$K$1)),0)</f>
        <v>0</v>
      </c>
      <c r="C3" s="726" t="s">
        <v>1917</v>
      </c>
      <c r="E3" s="718"/>
      <c r="I3" s="723"/>
      <c r="J3" s="723"/>
      <c r="K3" s="723"/>
    </row>
    <row r="4" ht="18" customHeight="1" spans="1:33">
      <c r="A4" s="1273" t="s">
        <v>1918</v>
      </c>
      <c r="B4" s="1274">
        <f ca="1">ROUND(B2*10000/IF(C1="",'数据-汇总表'!D3,INDIRECT("'数据-取费表'!R"&amp;$K$1)),0)</f>
        <v>0</v>
      </c>
      <c r="C4" s="1275" t="s">
        <v>1917</v>
      </c>
      <c r="E4" s="718"/>
      <c r="I4" s="723"/>
      <c r="J4" s="723"/>
      <c r="K4" s="723"/>
    </row>
    <row r="5" ht="18" customHeight="1" spans="1:33">
      <c r="A5" s="420"/>
      <c r="B5" s="1276">
        <f ca="1">ROUND(B2/(IF(C1="",'数据-汇总表'!D3,INDIRECT("'数据-取费表'!R"&amp;$K$1))/666.67),0)</f>
        <v>0</v>
      </c>
      <c r="C5" s="1277" t="s">
        <v>1919</v>
      </c>
      <c r="E5" s="718"/>
      <c r="I5" s="723"/>
      <c r="J5" s="723"/>
      <c r="K5" s="723"/>
    </row>
    <row r="6" s="709" customFormat="1" ht="16.5" customHeight="1" spans="1:33">
      <c r="A6" s="729" t="s">
        <v>1920</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1926</v>
      </c>
      <c r="B11" s="1279"/>
      <c r="C11" s="1279"/>
      <c r="D11" s="1279"/>
      <c r="E11" s="1279"/>
      <c r="F11" s="1279"/>
      <c r="G11" s="1279"/>
      <c r="H11" s="1279"/>
      <c r="I11" s="1279"/>
      <c r="J11" s="1279"/>
      <c r="K11" s="1280"/>
    </row>
    <row r="12" s="712" customFormat="1" ht="13.5" customHeight="1" spans="1:33">
      <c r="A12" s="753" t="s">
        <v>991</v>
      </c>
      <c r="B12" s="754" t="s">
        <v>1923</v>
      </c>
      <c r="C12" s="755" t="s">
        <v>1927</v>
      </c>
      <c r="D12" s="756" t="s">
        <v>1928</v>
      </c>
      <c r="E12" s="756" t="s">
        <v>1929</v>
      </c>
      <c r="F12" s="756" t="s">
        <v>1930</v>
      </c>
      <c r="G12" s="1281" t="s">
        <v>1112</v>
      </c>
      <c r="H12" s="754"/>
      <c r="I12" s="754"/>
      <c r="J12" s="754"/>
      <c r="K12" s="1282"/>
    </row>
    <row r="13" s="712" customFormat="1" ht="13.5" customHeight="1" spans="1:33">
      <c r="A13" s="733">
        <v>1</v>
      </c>
      <c r="B13" s="760" t="s">
        <v>1920</v>
      </c>
      <c r="C13" s="761">
        <f>SUM(C10:K10)</f>
        <v>0</v>
      </c>
      <c r="D13" s="762"/>
      <c r="E13" s="762"/>
      <c r="F13" s="762"/>
      <c r="G13" s="767"/>
      <c r="H13" s="767"/>
      <c r="I13" s="767"/>
      <c r="J13" s="767"/>
      <c r="K13" s="1283"/>
    </row>
    <row r="14" s="713" customFormat="1" ht="13.5" customHeight="1" spans="1:33">
      <c r="A14" s="733">
        <v>2</v>
      </c>
      <c r="B14" s="770" t="s">
        <v>1931</v>
      </c>
      <c r="C14" s="1284" t="str">
        <f>F14&amp;"V"</f>
        <v>0.0305V</v>
      </c>
      <c r="D14" s="771"/>
      <c r="E14" s="771"/>
      <c r="F14" s="1285">
        <f>IF(项目基本情况!B8="出让",0,'数据-取费表'!B49+'数据-取费表'!B50)</f>
        <v>0.0305</v>
      </c>
      <c r="G14" s="1286" t="s">
        <v>1932</v>
      </c>
      <c r="H14" s="1287"/>
      <c r="I14" s="1287"/>
      <c r="J14" s="1287"/>
      <c r="K14" s="1288"/>
    </row>
    <row r="15" s="713" customFormat="1" ht="13.5" customHeight="1" spans="1:33">
      <c r="A15" s="733">
        <v>3</v>
      </c>
      <c r="B15" s="1289" t="s">
        <v>1933</v>
      </c>
      <c r="C15" s="1290">
        <f ca="1">SUM(C16:C19)+C25+C26</f>
        <v>0</v>
      </c>
      <c r="D15" s="770"/>
      <c r="E15" s="771"/>
      <c r="F15" s="1290"/>
      <c r="G15" s="1291" t="s">
        <v>1934</v>
      </c>
      <c r="H15" s="1292"/>
      <c r="I15" s="1292"/>
      <c r="J15" s="1292"/>
      <c r="K15" s="1293"/>
    </row>
    <row r="16" s="713" customFormat="1" ht="13.5" customHeight="1" spans="1:33">
      <c r="A16" s="1294" t="s">
        <v>1001</v>
      </c>
      <c r="B16" s="1295" t="s">
        <v>1935</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1006</v>
      </c>
      <c r="B17" s="1295" t="s">
        <v>1126</v>
      </c>
      <c r="C17" s="1299">
        <f ca="1">ROUND(C16*F17,0)</f>
        <v>0</v>
      </c>
      <c r="D17" s="1297"/>
      <c r="E17" s="1292"/>
      <c r="F17" s="1298">
        <f>'数据-取费表'!B33</f>
        <v>0.03</v>
      </c>
      <c r="G17" s="659" t="s">
        <v>1936</v>
      </c>
      <c r="H17" s="767"/>
      <c r="I17" s="767"/>
      <c r="J17" s="767"/>
      <c r="K17" s="1283"/>
    </row>
    <row r="18" s="713" customFormat="1" ht="13.5" customHeight="1" spans="1:33">
      <c r="A18" s="1294" t="s">
        <v>1057</v>
      </c>
      <c r="B18" s="1295" t="s">
        <v>1129</v>
      </c>
      <c r="C18" s="1299">
        <f ca="1">ROUND(IF(C1="",SUMIF('数据-取费表'!C:C,"住宅",'数据-取费表'!P:P)*F18,IF(INDIRECT("'数据-取费表'!c"&amp;$K$1)="住宅",INDIRECT("'数据-取费表'!P"&amp;$K$1)*F18,0)),0)</f>
        <v>0</v>
      </c>
      <c r="D18" s="1300"/>
      <c r="E18" s="1292"/>
      <c r="F18" s="1298">
        <f>'数据-取费表'!B34</f>
        <v>0</v>
      </c>
      <c r="G18" s="767" t="s">
        <v>1937</v>
      </c>
      <c r="H18" s="767"/>
      <c r="I18" s="767"/>
      <c r="J18" s="767"/>
      <c r="K18" s="1283"/>
    </row>
    <row r="19" s="713" customFormat="1" ht="13.5" customHeight="1" spans="1:33">
      <c r="A19" s="1294" t="s">
        <v>1938</v>
      </c>
      <c r="B19" s="1295" t="s">
        <v>1132</v>
      </c>
      <c r="C19" s="1299">
        <f ca="1">C20+C23+C24</f>
        <v>0</v>
      </c>
      <c r="D19" s="1300"/>
      <c r="E19" s="1292"/>
      <c r="F19" s="1298"/>
      <c r="G19" s="767"/>
      <c r="H19" s="767"/>
      <c r="I19" s="767"/>
      <c r="J19" s="767"/>
      <c r="K19" s="1283"/>
    </row>
    <row r="20" s="713" customFormat="1" ht="13.5" customHeight="1" spans="1:33">
      <c r="A20" s="1301" t="s">
        <v>1939</v>
      </c>
      <c r="B20" s="1302" t="s">
        <v>1940</v>
      </c>
      <c r="C20" s="1299">
        <f ca="1">C21+C22-IF(C1="",'数据-取费表'!B29,IF(G20="已全部缴纳",C21+C22,H20))</f>
        <v>0</v>
      </c>
      <c r="D20" s="1300"/>
      <c r="E20" s="1303"/>
      <c r="F20" s="1304"/>
      <c r="G20" s="1305"/>
      <c r="H20" s="1306"/>
      <c r="I20" s="1307" t="s">
        <v>1941</v>
      </c>
      <c r="J20" s="1292"/>
      <c r="K20" s="1293"/>
    </row>
    <row r="21" s="713" customFormat="1" ht="13.5" customHeight="1" spans="1:33">
      <c r="A21" s="1308" t="s">
        <v>1133</v>
      </c>
      <c r="B21" s="1309" t="s">
        <v>1942</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1141</v>
      </c>
      <c r="B22" s="1309" t="s">
        <v>1943</v>
      </c>
      <c r="C22" s="1310">
        <f ca="1">ROUND(D22*E22/10000,0)</f>
        <v>334</v>
      </c>
      <c r="D22" s="1311">
        <f ca="1">IF(C1="",'数据-汇总表'!E6,IF(INDIRECT("'数据-取费表'!c"&amp;$K$1)="住宅",INDIRECT("'数据-取费表'!s"&amp;$K$1),INDIRECT("'数据-取费表'!k"&amp;$K$1)+INDIRECT("'数据-取费表'!s"&amp;$K$1)))</f>
        <v>16724.51</v>
      </c>
      <c r="E22" s="1310">
        <f>'数据-取费表'!B28</f>
        <v>200</v>
      </c>
      <c r="F22" s="1312"/>
      <c r="G22" s="1313"/>
      <c r="H22" s="1313"/>
      <c r="I22" s="1313"/>
      <c r="J22" s="1313"/>
      <c r="K22" s="1314"/>
    </row>
    <row r="23" s="714" customFormat="1" ht="13.5" customHeight="1" spans="1:33">
      <c r="A23" s="1301" t="s">
        <v>1944</v>
      </c>
      <c r="B23" s="1302" t="s">
        <v>1945</v>
      </c>
      <c r="C23" s="1299">
        <f ca="1">ROUND(D23*E23*F16/10000,0)</f>
        <v>0</v>
      </c>
      <c r="D23" s="1315">
        <f ca="1">IF(C1="",'数据-汇总表'!E3,INDIRECT("'数据-取费表'!K"&amp;$K$1)+INDIRECT("'数据-取费表'!S"&amp;$K$1))</f>
        <v>16724.51</v>
      </c>
      <c r="E23" s="1299">
        <f>'数据-取费表'!B35</f>
        <v>185</v>
      </c>
      <c r="F23" s="1304"/>
      <c r="G23" s="760" t="s">
        <v>1946</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1947</v>
      </c>
      <c r="B24" s="1302" t="s">
        <v>1948</v>
      </c>
      <c r="C24" s="1299">
        <f ca="1">ROUND(D24*E24/10000,0)</f>
        <v>0</v>
      </c>
      <c r="D24" s="1315">
        <f ca="1">D23</f>
        <v>16724.51</v>
      </c>
      <c r="E24" s="1299">
        <f>'数据-取费表'!B32</f>
        <v>0</v>
      </c>
      <c r="F24" s="1316"/>
      <c r="G24" s="1292" t="s">
        <v>1949</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1950</v>
      </c>
      <c r="B25" s="1318" t="s">
        <v>1148</v>
      </c>
      <c r="C25" s="1319">
        <f ca="1">ROUND(C16*F25,0)</f>
        <v>0</v>
      </c>
      <c r="D25" s="1320"/>
      <c r="E25" s="1321"/>
      <c r="F25" s="1298">
        <f>'数据-取费表'!B36</f>
        <v>0.01</v>
      </c>
      <c r="G25" s="1320"/>
      <c r="H25" s="1320"/>
      <c r="I25" s="1320"/>
      <c r="J25" s="1320"/>
      <c r="K25" s="1322"/>
    </row>
    <row r="26" s="714" customFormat="1" ht="13.5" customHeight="1" spans="1:33">
      <c r="A26" s="1317" t="s">
        <v>1951</v>
      </c>
      <c r="B26" s="1295" t="s">
        <v>1952</v>
      </c>
      <c r="C26" s="1316">
        <f ca="1">ROUND(C16*F26,0)</f>
        <v>0</v>
      </c>
      <c r="D26" s="1323"/>
      <c r="E26" s="1324"/>
      <c r="F26" s="1298">
        <f>'数据-取费表'!B37</f>
        <v>0.01</v>
      </c>
      <c r="G26" s="1292" t="s">
        <v>1953</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1954</v>
      </c>
      <c r="C27" s="1290">
        <f ca="1">ROUND(C15*F27,0)</f>
        <v>0</v>
      </c>
      <c r="D27" s="771"/>
      <c r="E27" s="771"/>
      <c r="F27" s="1285">
        <f>'数据-取费表'!B38</f>
        <v>0.03</v>
      </c>
      <c r="G27" s="767" t="s">
        <v>1955</v>
      </c>
      <c r="H27" s="767"/>
      <c r="I27" s="767"/>
      <c r="J27" s="767"/>
      <c r="K27" s="1283"/>
    </row>
    <row r="28" s="713" customFormat="1" ht="13.5" customHeight="1" spans="1:33">
      <c r="A28" s="733">
        <v>5</v>
      </c>
      <c r="B28" s="770" t="s">
        <v>1956</v>
      </c>
      <c r="C28" s="1290">
        <f ca="1">ROUND(C13*F28*F16,0)</f>
        <v>0</v>
      </c>
      <c r="D28" s="771"/>
      <c r="E28" s="771"/>
      <c r="F28" s="1285">
        <f>'数据-取费表'!B39</f>
        <v>0.03</v>
      </c>
      <c r="G28" s="767" t="s">
        <v>1957</v>
      </c>
      <c r="H28" s="767"/>
      <c r="I28" s="767"/>
      <c r="J28" s="767"/>
      <c r="K28" s="1283"/>
    </row>
    <row r="29" s="713" customFormat="1" ht="13.5" customHeight="1" spans="1:33">
      <c r="A29" s="733">
        <v>6</v>
      </c>
      <c r="B29" s="1289" t="s">
        <v>1159</v>
      </c>
      <c r="C29" s="1284" t="str">
        <f ca="1">C31&amp;"+"&amp;C30&amp;"V"</f>
        <v>0+0V</v>
      </c>
      <c r="D29" s="1325"/>
      <c r="E29" s="771"/>
      <c r="F29" s="1326">
        <f ca="1">'数据-取费表'!B41</f>
        <v>0.0306</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1001</v>
      </c>
      <c r="B30" s="1302" t="s">
        <v>1958</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1006</v>
      </c>
      <c r="B31" s="1302" t="s">
        <v>1959</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1960</v>
      </c>
      <c r="C32" s="1332">
        <f>ROUND(C13*F32/(1+'数据-取费表'!C43),0)</f>
        <v>0</v>
      </c>
      <c r="D32" s="767"/>
      <c r="E32" s="1333"/>
      <c r="F32" s="1326"/>
      <c r="G32" s="1334" t="s">
        <v>1961</v>
      </c>
      <c r="H32" s="1334"/>
      <c r="I32" s="1334"/>
      <c r="J32" s="1334"/>
      <c r="K32" s="1335"/>
    </row>
    <row r="33" s="716" customFormat="1" ht="13.5" customHeight="1" spans="1:11">
      <c r="A33" s="733">
        <v>8</v>
      </c>
      <c r="B33" s="1336" t="s">
        <v>1962</v>
      </c>
      <c r="C33" s="1337" t="str">
        <f ca="1">C35&amp;"+"&amp;C34&amp;"V"</f>
        <v>0+0V</v>
      </c>
      <c r="D33" s="1325"/>
      <c r="E33" s="771"/>
      <c r="F33" s="1338">
        <f ca="1">IF(C1="",'数据-取费表'!Q16,INDIRECT("'数据-取费表'!q"&amp;$K$1))</f>
        <v>0.08</v>
      </c>
      <c r="G33" s="1287"/>
      <c r="H33" s="1287"/>
      <c r="I33" s="1287"/>
      <c r="J33" s="1287"/>
      <c r="K33" s="1288"/>
    </row>
    <row r="34" s="1269" customFormat="1" ht="13.5" customHeight="1" spans="1:11">
      <c r="A34" s="1327" t="s">
        <v>1001</v>
      </c>
      <c r="B34" s="1302" t="s">
        <v>1963</v>
      </c>
      <c r="C34" s="1328">
        <f ca="1">ROUND((1+F14)*F33*'数据-取费表'!B24/'数据-取费表'!B22,4)</f>
        <v>0</v>
      </c>
      <c r="D34" s="1329"/>
      <c r="E34" s="1323"/>
      <c r="F34" s="1339"/>
      <c r="G34" s="1292" t="s">
        <v>1964</v>
      </c>
      <c r="H34" s="1292"/>
      <c r="I34" s="1292"/>
      <c r="J34" s="1292"/>
      <c r="K34" s="1293"/>
    </row>
    <row r="35" s="1269" customFormat="1" ht="13.5" customHeight="1" spans="1:11">
      <c r="A35" s="1327" t="s">
        <v>1006</v>
      </c>
      <c r="B35" s="1302" t="s">
        <v>1959</v>
      </c>
      <c r="C35" s="1340">
        <f ca="1">ROUND((C15+C27+C28)*F33,0)</f>
        <v>0</v>
      </c>
      <c r="D35" s="1329"/>
      <c r="E35" s="1323"/>
      <c r="F35" s="1339"/>
      <c r="G35" s="1292"/>
      <c r="H35" s="1292"/>
      <c r="I35" s="1292"/>
      <c r="J35" s="1292"/>
      <c r="K35" s="1293"/>
    </row>
    <row r="36" s="712" customFormat="1" ht="15" spans="1:11">
      <c r="A36" s="733">
        <v>9</v>
      </c>
      <c r="B36" s="760" t="s">
        <v>1965</v>
      </c>
      <c r="C36" s="761">
        <f ca="1">ROUND((C13-C15-C27-C28-C31-C35-C32)/(1+F14+C30+C34),0)</f>
        <v>0</v>
      </c>
      <c r="D36" s="767"/>
      <c r="E36" s="767"/>
      <c r="F36" s="1325"/>
      <c r="G36" s="1341" t="s">
        <v>1966</v>
      </c>
      <c r="H36" s="767"/>
      <c r="I36" s="767"/>
      <c r="J36" s="767"/>
      <c r="K36" s="1283"/>
    </row>
    <row r="37" s="1270" customFormat="1" ht="14.75" spans="1:11">
      <c r="A37" s="1342">
        <v>10</v>
      </c>
      <c r="B37" s="1343" t="s">
        <v>1967</v>
      </c>
      <c r="C37" s="1344">
        <f ca="1">ROUND(C36*(1+F37),0)</f>
        <v>0</v>
      </c>
      <c r="D37" s="1345"/>
      <c r="E37" s="1346"/>
      <c r="F37" s="1347">
        <v>0.09</v>
      </c>
      <c r="G37" s="760" t="s">
        <v>1968</v>
      </c>
      <c r="H37" s="767"/>
      <c r="I37" s="767"/>
      <c r="J37" s="767"/>
      <c r="K37" s="1283"/>
    </row>
    <row r="38" ht="12.75" customHeight="1"/>
    <row r="44" s="1271" customFormat="1" ht="18.25" spans="1:11">
      <c r="A44" s="1348" t="s">
        <v>1969</v>
      </c>
      <c r="B44" s="1349"/>
      <c r="C44" s="1350"/>
      <c r="D44" s="1349"/>
      <c r="E44" s="1349"/>
      <c r="F44" s="1349"/>
      <c r="G44" s="1349"/>
    </row>
    <row r="45" s="1271" customFormat="1" ht="14" spans="1:11">
      <c r="A45" s="753" t="s">
        <v>991</v>
      </c>
      <c r="B45" s="754" t="s">
        <v>1923</v>
      </c>
      <c r="C45" s="755" t="s">
        <v>1927</v>
      </c>
      <c r="D45" s="756" t="s">
        <v>1928</v>
      </c>
      <c r="E45" s="756" t="s">
        <v>1929</v>
      </c>
      <c r="F45" s="756" t="s">
        <v>1930</v>
      </c>
      <c r="G45" s="1281" t="s">
        <v>1112</v>
      </c>
    </row>
    <row r="46" s="1271" customFormat="1" ht="13" spans="1:11">
      <c r="A46" s="1351">
        <v>1</v>
      </c>
      <c r="B46" s="1318" t="s">
        <v>1970</v>
      </c>
      <c r="C46" s="1319">
        <f>C13</f>
        <v>0</v>
      </c>
      <c r="D46" s="1351"/>
      <c r="E46" s="1351"/>
      <c r="F46" s="1351"/>
      <c r="G46" s="1351"/>
    </row>
    <row r="47" s="1271" customFormat="1" ht="13" spans="1:11">
      <c r="A47" s="1351">
        <v>2</v>
      </c>
      <c r="B47" s="1318" t="s">
        <v>1971</v>
      </c>
      <c r="C47" s="1319" t="str">
        <f>C14</f>
        <v>0.0305V</v>
      </c>
      <c r="D47" s="1351"/>
      <c r="E47" s="1351"/>
      <c r="F47" s="1351"/>
      <c r="G47" s="1351"/>
    </row>
    <row r="48" s="1271" customFormat="1" ht="13" spans="1:11">
      <c r="A48" s="1351">
        <v>3</v>
      </c>
      <c r="B48" s="1318" t="s">
        <v>1972</v>
      </c>
      <c r="C48" s="1319" t="e">
        <f ca="1">C49+C59+C60+C63</f>
        <v>#VALUE!</v>
      </c>
      <c r="D48" s="1351"/>
      <c r="E48" s="1351"/>
      <c r="F48" s="1351"/>
      <c r="G48" s="1351"/>
    </row>
    <row r="49" s="1271" customFormat="1" ht="13" spans="1:7">
      <c r="A49" s="1352" t="s">
        <v>1001</v>
      </c>
      <c r="B49" s="1318" t="s">
        <v>1973</v>
      </c>
      <c r="C49" s="1319">
        <f ca="1">C50+C51+C52+C53+C57+C58</f>
        <v>0</v>
      </c>
      <c r="D49" s="1351"/>
      <c r="E49" s="1351"/>
      <c r="F49" s="1351"/>
      <c r="G49" s="1351"/>
    </row>
    <row r="50" s="1271" customFormat="1" ht="13" spans="1:7">
      <c r="A50" s="1353" t="s">
        <v>1030</v>
      </c>
      <c r="B50" s="1318" t="s">
        <v>1974</v>
      </c>
      <c r="C50" s="1319">
        <f ca="1">C16</f>
        <v>0</v>
      </c>
      <c r="D50" s="1351"/>
      <c r="E50" s="1351"/>
      <c r="F50" s="1351"/>
      <c r="G50" s="1351"/>
    </row>
    <row r="51" s="1271" customFormat="1" ht="13" spans="1:7">
      <c r="A51" s="1353" t="s">
        <v>1975</v>
      </c>
      <c r="B51" s="1351" t="s">
        <v>1126</v>
      </c>
      <c r="C51" s="1319">
        <f ca="1" t="shared" ref="C51:C54" si="0">C17</f>
        <v>0</v>
      </c>
      <c r="D51" s="1351"/>
      <c r="E51" s="1351"/>
      <c r="F51" s="1351"/>
      <c r="G51" s="1351"/>
    </row>
    <row r="52" s="1271" customFormat="1" ht="13" spans="1:7">
      <c r="A52" s="1353" t="s">
        <v>1976</v>
      </c>
      <c r="B52" s="1351" t="s">
        <v>1129</v>
      </c>
      <c r="C52" s="1319">
        <f ca="1" t="shared" si="0"/>
        <v>0</v>
      </c>
      <c r="D52" s="1351"/>
      <c r="E52" s="1351"/>
      <c r="F52" s="1351"/>
      <c r="G52" s="1351"/>
    </row>
    <row r="53" s="1271" customFormat="1" ht="13" spans="1:7">
      <c r="A53" s="1353" t="s">
        <v>1977</v>
      </c>
      <c r="B53" s="1351" t="s">
        <v>1132</v>
      </c>
      <c r="C53" s="1319">
        <f ca="1" t="shared" si="0"/>
        <v>0</v>
      </c>
      <c r="D53" s="1351"/>
      <c r="E53" s="1351"/>
      <c r="F53" s="1351"/>
      <c r="G53" s="1351"/>
    </row>
    <row r="54" s="1271" customFormat="1" spans="1:7">
      <c r="A54" s="1354" t="s">
        <v>1133</v>
      </c>
      <c r="B54" s="1355" t="s">
        <v>1134</v>
      </c>
      <c r="C54" s="1356">
        <f ca="1" t="shared" si="0"/>
        <v>0</v>
      </c>
      <c r="D54" s="1351"/>
      <c r="E54" s="1351"/>
      <c r="F54" s="1351"/>
      <c r="G54" s="1351"/>
    </row>
    <row r="55" s="1271" customFormat="1" spans="1:7">
      <c r="A55" s="1354" t="s">
        <v>1141</v>
      </c>
      <c r="B55" s="1355" t="s">
        <v>1978</v>
      </c>
      <c r="C55" s="1356">
        <f ca="1">C23</f>
        <v>0</v>
      </c>
      <c r="D55" s="1351"/>
      <c r="E55" s="1351"/>
      <c r="F55" s="1351"/>
      <c r="G55" s="1351"/>
    </row>
    <row r="56" s="1271" customFormat="1" spans="1:7">
      <c r="A56" s="1354" t="s">
        <v>1144</v>
      </c>
      <c r="B56" s="1355" t="s">
        <v>1979</v>
      </c>
      <c r="C56" s="1356">
        <f ca="1">C24</f>
        <v>0</v>
      </c>
      <c r="D56" s="1351"/>
      <c r="E56" s="1351"/>
      <c r="F56" s="1351"/>
      <c r="G56" s="1351"/>
    </row>
    <row r="57" s="1271" customFormat="1" ht="13" spans="1:7">
      <c r="A57" s="1353" t="s">
        <v>1376</v>
      </c>
      <c r="B57" s="1351" t="s">
        <v>1148</v>
      </c>
      <c r="C57" s="1319">
        <f ca="1">C25</f>
        <v>0</v>
      </c>
      <c r="D57" s="1351"/>
      <c r="E57" s="1351"/>
      <c r="F57" s="1351"/>
      <c r="G57" s="1351"/>
    </row>
    <row r="58" s="1271" customFormat="1" ht="13" spans="1:7">
      <c r="A58" s="1353" t="s">
        <v>1980</v>
      </c>
      <c r="B58" s="1351" t="s">
        <v>1952</v>
      </c>
      <c r="C58" s="1319">
        <f ca="1">C26</f>
        <v>0</v>
      </c>
      <c r="D58" s="1351"/>
      <c r="E58" s="1351"/>
      <c r="F58" s="1351"/>
      <c r="G58" s="1351"/>
    </row>
    <row r="59" s="1271" customFormat="1" ht="13" spans="1:7">
      <c r="A59" s="1352" t="s">
        <v>1981</v>
      </c>
      <c r="B59" s="1318" t="s">
        <v>1982</v>
      </c>
      <c r="C59" s="1319">
        <f ca="1">C27</f>
        <v>0</v>
      </c>
      <c r="D59" s="1351"/>
      <c r="E59" s="1351"/>
      <c r="F59" s="1351"/>
      <c r="G59" s="1351"/>
    </row>
    <row r="60" s="1271" customFormat="1" ht="13" spans="1:7">
      <c r="A60" s="1352" t="s">
        <v>1983</v>
      </c>
      <c r="B60" s="1318" t="s">
        <v>1984</v>
      </c>
      <c r="C60" s="1319">
        <f ca="1">C61+C62</f>
        <v>0</v>
      </c>
      <c r="D60" s="1351"/>
      <c r="E60" s="1351"/>
      <c r="F60" s="1351"/>
      <c r="G60" s="1351"/>
    </row>
    <row r="61" s="1271" customFormat="1" ht="13" spans="1:7">
      <c r="A61" s="1353" t="s">
        <v>1030</v>
      </c>
      <c r="B61" s="1318" t="s">
        <v>1985</v>
      </c>
      <c r="C61" s="1319">
        <f ca="1">C28</f>
        <v>0</v>
      </c>
      <c r="D61" s="1351"/>
      <c r="E61" s="1351"/>
      <c r="F61" s="1351"/>
      <c r="G61" s="1351"/>
    </row>
    <row r="62" s="1271" customFormat="1" ht="13" spans="1:7">
      <c r="A62" s="1353" t="s">
        <v>1034</v>
      </c>
      <c r="B62" s="1318" t="s">
        <v>1984</v>
      </c>
      <c r="C62" s="1319">
        <f>C32</f>
        <v>0</v>
      </c>
      <c r="D62" s="1351"/>
      <c r="E62" s="1351"/>
      <c r="F62" s="1351"/>
      <c r="G62" s="1351"/>
    </row>
    <row r="63" s="1271" customFormat="1" ht="13" spans="1:7">
      <c r="A63" s="1352" t="s">
        <v>1986</v>
      </c>
      <c r="B63" s="1318" t="s">
        <v>1159</v>
      </c>
      <c r="C63" s="1319" t="str">
        <f ca="1">C29</f>
        <v>0+0V</v>
      </c>
      <c r="D63" s="1351"/>
      <c r="E63" s="1351"/>
      <c r="F63" s="1351"/>
      <c r="G63" s="1351"/>
    </row>
    <row r="64" s="1271" customFormat="1" ht="13" spans="1:7">
      <c r="A64" s="1351">
        <v>4</v>
      </c>
      <c r="B64" s="1318" t="s">
        <v>1987</v>
      </c>
      <c r="C64" s="1319" t="str">
        <f ca="1">C33</f>
        <v>0+0V</v>
      </c>
      <c r="D64" s="1351"/>
      <c r="E64" s="1351"/>
      <c r="F64" s="1351"/>
      <c r="G64" s="1351"/>
    </row>
    <row r="65" s="1271" customFormat="1" ht="13" spans="1:7">
      <c r="A65" s="1351">
        <v>5</v>
      </c>
      <c r="B65" s="1318" t="s">
        <v>1988</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1989</v>
      </c>
      <c r="B1" s="1258"/>
      <c r="C1" s="1258"/>
      <c r="D1" s="1258"/>
      <c r="E1" s="1258"/>
      <c r="F1" s="1259"/>
      <c r="G1" s="1259"/>
      <c r="H1" s="1259"/>
      <c r="I1" s="1259"/>
      <c r="J1" s="1259"/>
      <c r="K1" s="1259"/>
      <c r="L1" s="1259"/>
      <c r="M1" s="1259"/>
      <c r="N1" s="1259"/>
      <c r="O1" s="1259"/>
      <c r="P1" s="1259"/>
    </row>
    <row r="2" ht="15" spans="1:16">
      <c r="A2" s="1260" t="s">
        <v>97</v>
      </c>
      <c r="B2" s="1261">
        <f ca="1">SUMIF(B6:B13,"&lt;&gt;#ref!",B6:B13)</f>
        <v>3611</v>
      </c>
      <c r="C2" s="1260" t="s">
        <v>1990</v>
      </c>
      <c r="D2" s="1260" t="s">
        <v>1991</v>
      </c>
      <c r="E2" s="1262">
        <f ca="1">SUMIF(E6:E13,"&lt;&gt;#ref!",E6:E13)</f>
        <v>16724.51</v>
      </c>
      <c r="F2" s="1259"/>
      <c r="G2" s="1259"/>
      <c r="H2" s="1259"/>
      <c r="I2" s="1259"/>
      <c r="J2" s="1259"/>
      <c r="K2" s="1259"/>
      <c r="L2" s="1259"/>
      <c r="M2" s="1259"/>
      <c r="N2" s="1259"/>
      <c r="O2" s="1259"/>
      <c r="P2" s="1259"/>
    </row>
    <row r="3" ht="15.5" spans="1:16">
      <c r="A3" s="1260" t="s">
        <v>1992</v>
      </c>
      <c r="B3" s="1261">
        <f ca="1">ROUND(B2*10000/E2,0)</f>
        <v>2159</v>
      </c>
      <c r="C3" s="1260" t="s">
        <v>1993</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1994</v>
      </c>
      <c r="B5" s="1265" t="s">
        <v>1995</v>
      </c>
      <c r="C5" s="1266"/>
      <c r="D5" s="1259"/>
      <c r="E5" s="1267" t="s">
        <v>1996</v>
      </c>
      <c r="F5" s="1259"/>
      <c r="G5" s="1259"/>
      <c r="H5" s="1259"/>
      <c r="I5" s="1259"/>
      <c r="J5" s="1259"/>
      <c r="K5" s="1259"/>
      <c r="L5" s="1259"/>
      <c r="M5" s="1259"/>
      <c r="N5" s="1259"/>
      <c r="O5" s="1259"/>
      <c r="P5" s="1259"/>
    </row>
    <row r="6" ht="15" spans="1:16">
      <c r="A6" s="1268" t="s">
        <v>1997</v>
      </c>
      <c r="B6" s="1261">
        <f ca="1">SUMIF(INDIRECT("'"&amp;A6&amp;"'"&amp;"!A:A"),"总价",INDIRECT("'"&amp;A6&amp;"'"&amp;"!B:B"))</f>
        <v>3611</v>
      </c>
      <c r="C6" s="1260" t="s">
        <v>1990</v>
      </c>
      <c r="D6" s="1259"/>
      <c r="E6" s="1262">
        <f ca="1">SUMIF(INDIRECT("'"&amp;A6&amp;"'"&amp;"!C:C"),"建筑面积",INDIRECT("'"&amp;A6&amp;"'"&amp;"!D:D"))</f>
        <v>16724.51</v>
      </c>
      <c r="F6" s="1259"/>
      <c r="G6" s="1259"/>
      <c r="H6" s="1259"/>
      <c r="I6" s="1259"/>
      <c r="J6" s="1259"/>
      <c r="K6" s="1259"/>
      <c r="L6" s="1259"/>
      <c r="M6" s="1259"/>
      <c r="N6" s="1259"/>
      <c r="O6" s="1259"/>
      <c r="P6" s="1259"/>
    </row>
    <row r="7" ht="15.5" spans="1:16">
      <c r="A7" s="1268"/>
      <c r="B7" s="1261" t="e">
        <f ca="1">SUMIF(INDIRECT("'"&amp;A7&amp;"'"&amp;"!A:A"),"总价",INDIRECT("'"&amp;A7&amp;"'"&amp;"!B:B"))</f>
        <v>#REF!</v>
      </c>
      <c r="C7" s="1260" t="s">
        <v>1990</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1990</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1990</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1990</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1990</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1990</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1990</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K45" sqref="K45"/>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1998</v>
      </c>
      <c r="B1" s="418"/>
      <c r="C1" s="421" t="s">
        <v>1730</v>
      </c>
      <c r="D1" s="844">
        <f>SUM(D33:D34,D37:D42)</f>
        <v>16724.51</v>
      </c>
      <c r="E1" s="845"/>
      <c r="F1" s="845"/>
      <c r="G1" s="845"/>
      <c r="H1" s="845"/>
      <c r="I1" s="845"/>
      <c r="J1" s="845"/>
      <c r="K1" s="837"/>
      <c r="L1" s="846" t="s">
        <v>1999</v>
      </c>
      <c r="M1" s="847">
        <f>SUMPRODUCT((区片价!B5:B9=I2)*(区片价!C3:G3=E2)*(区片价!C5:G9))</f>
        <v>0</v>
      </c>
      <c r="N1" s="848">
        <f>SUMPRODUCT((因素修正幅度!B5:B9=I2)*(因素修正幅度!C3:G3=E2)*(因素修正幅度!C5:G9))</f>
        <v>0</v>
      </c>
      <c r="O1" s="838"/>
      <c r="P1" s="838"/>
      <c r="Q1" s="837"/>
      <c r="R1" s="849" t="s">
        <v>2000</v>
      </c>
      <c r="S1" s="849" t="s">
        <v>2001</v>
      </c>
      <c r="T1" s="849" t="s">
        <v>2002</v>
      </c>
      <c r="U1" s="849" t="s">
        <v>2003</v>
      </c>
      <c r="V1" s="849" t="s">
        <v>2004</v>
      </c>
      <c r="W1" s="850"/>
      <c r="X1" s="850"/>
      <c r="Y1" s="850"/>
      <c r="Z1" s="850"/>
      <c r="AA1" s="850"/>
      <c r="AB1" s="850"/>
      <c r="AC1" s="851"/>
      <c r="AD1" s="852"/>
      <c r="AE1" s="852"/>
      <c r="AF1" s="852"/>
      <c r="AG1" s="852"/>
      <c r="AH1" s="852"/>
      <c r="AI1" s="852"/>
      <c r="AJ1" s="853"/>
    </row>
    <row r="2" ht="15.5" spans="1:36">
      <c r="A2" s="421" t="s">
        <v>1105</v>
      </c>
      <c r="B2" s="615">
        <f>C30</f>
        <v>3611</v>
      </c>
      <c r="C2" s="854" t="s">
        <v>1106</v>
      </c>
      <c r="D2" s="855" t="s">
        <v>2005</v>
      </c>
      <c r="E2" s="856" t="s">
        <v>233</v>
      </c>
      <c r="F2" s="855" t="s">
        <v>2006</v>
      </c>
      <c r="G2" s="857" t="str">
        <f>IF(E2="商业",项目基本情况!B37,IF(E2="办公",项目基本情况!C37,IF(E2="住宅",项目基本情况!D37,IF(E2="工业",项目基本情况!E37,项目基本情况!F37))))</f>
        <v>七级</v>
      </c>
      <c r="H2" s="855" t="s">
        <v>2007</v>
      </c>
      <c r="I2" s="857" t="str">
        <f>IF(E2="商业",项目基本情况!B38,IF(E2="办公",项目基本情况!C38,IF(E2="住宅",项目基本情况!D38,IF(E2="工业",项目基本情况!E38,项目基本情况!F38))))</f>
        <v>Ⅶ-顺2</v>
      </c>
      <c r="J2" s="858"/>
      <c r="K2" s="837"/>
      <c r="L2" s="859" t="s">
        <v>2008</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3741</v>
      </c>
      <c r="U2" s="862"/>
      <c r="V2" s="861">
        <f>ROUND(T2*U2/10000,0)</f>
        <v>0</v>
      </c>
      <c r="W2" s="850"/>
      <c r="X2" s="850"/>
      <c r="Y2" s="850"/>
      <c r="Z2" s="850"/>
      <c r="AA2" s="850"/>
      <c r="AB2" s="850"/>
      <c r="AC2" s="851"/>
      <c r="AD2" s="852"/>
      <c r="AE2" s="852"/>
      <c r="AF2" s="852"/>
      <c r="AG2" s="852"/>
      <c r="AH2" s="852"/>
      <c r="AI2" s="852"/>
      <c r="AJ2" s="853"/>
    </row>
    <row r="3" ht="15.5" spans="1:36">
      <c r="A3" s="424" t="s">
        <v>1107</v>
      </c>
      <c r="B3" s="615">
        <f>ROUND(B2*10000/D1,0)</f>
        <v>2159</v>
      </c>
      <c r="C3" s="854" t="s">
        <v>1108</v>
      </c>
      <c r="D3" s="855" t="s">
        <v>2009</v>
      </c>
      <c r="E3" s="863" t="s">
        <v>272</v>
      </c>
      <c r="F3" s="864" t="s">
        <v>413</v>
      </c>
      <c r="G3" s="865">
        <f>IF(F3="宗地容积率",'数据-汇总表'!I4,IF(F3="估价对象容积率",'数据-汇总表'!I6,'数据-汇总表'!I7))</f>
        <v>1.62</v>
      </c>
      <c r="H3" s="866" t="s">
        <v>2010</v>
      </c>
      <c r="I3" s="867"/>
      <c r="J3" s="858" t="s">
        <v>2011</v>
      </c>
      <c r="K3" s="837"/>
      <c r="L3" s="859" t="s">
        <v>2012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2948</v>
      </c>
      <c r="U3" s="862"/>
      <c r="V3" s="861">
        <f t="shared" ref="V3:V16" si="1">ROUND(T3*U3/10000,0)</f>
        <v>0</v>
      </c>
      <c r="W3" s="850"/>
      <c r="X3" s="850"/>
      <c r="Y3" s="850"/>
      <c r="Z3" s="850"/>
      <c r="AA3" s="850"/>
      <c r="AB3" s="850"/>
      <c r="AC3" s="851"/>
      <c r="AD3" s="852"/>
      <c r="AE3" s="852"/>
      <c r="AF3" s="852"/>
      <c r="AG3" s="852"/>
      <c r="AH3" s="852"/>
      <c r="AI3" s="852"/>
      <c r="AJ3" s="853"/>
    </row>
    <row r="4" ht="15.5" spans="1:36">
      <c r="A4" s="868" t="s">
        <v>883</v>
      </c>
      <c r="B4" s="869" t="e">
        <f>ROUND(B2*10000/F1,0)</f>
        <v>#DIV/0!</v>
      </c>
      <c r="C4" s="870" t="s">
        <v>1852</v>
      </c>
      <c r="D4" s="869" t="e">
        <f>ROUND(B2/(F1/666.67),0)</f>
        <v>#DIV/0!</v>
      </c>
      <c r="E4" s="870" t="s">
        <v>2013</v>
      </c>
      <c r="F4" s="871"/>
      <c r="G4" s="871"/>
      <c r="H4" s="871"/>
      <c r="I4" s="871"/>
      <c r="J4" s="872"/>
      <c r="K4" s="837"/>
      <c r="L4" s="859" t="s">
        <v>2014</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2492</v>
      </c>
      <c r="U4" s="862"/>
      <c r="V4" s="861">
        <f t="shared" si="1"/>
        <v>0</v>
      </c>
      <c r="W4" s="850"/>
      <c r="X4" s="850"/>
      <c r="Y4" s="850"/>
      <c r="Z4" s="850"/>
      <c r="AA4" s="850"/>
      <c r="AB4" s="850"/>
      <c r="AC4" s="851"/>
      <c r="AD4" s="852"/>
      <c r="AE4" s="852"/>
      <c r="AF4" s="852"/>
      <c r="AG4" s="852"/>
      <c r="AH4" s="852"/>
      <c r="AI4" s="852"/>
      <c r="AJ4" s="853"/>
    </row>
    <row r="5" s="836" customFormat="1" ht="16.25" spans="1:36">
      <c r="A5" s="873" t="s">
        <v>996</v>
      </c>
      <c r="B5" s="874" t="s">
        <v>2015</v>
      </c>
      <c r="C5" s="875">
        <f>ROUND(IF(E2="商业",C6*C7*C17+C20,(IF(E2="住宅",C6*C13*C17+C20,IF(E2="办公",C6*C12*C17+C20,C6+C20)))),0)</f>
        <v>1688</v>
      </c>
      <c r="D5" s="876">
        <f>ROUND(C6*C17+C20,0)</f>
        <v>1688</v>
      </c>
      <c r="E5" s="877"/>
      <c r="F5" s="878"/>
      <c r="G5" s="879"/>
      <c r="H5" s="879"/>
      <c r="I5" s="879"/>
      <c r="J5" s="880"/>
      <c r="K5" s="881"/>
      <c r="L5" s="859" t="s">
        <v>2016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2198</v>
      </c>
      <c r="U5" s="862"/>
      <c r="V5" s="861">
        <f t="shared" si="1"/>
        <v>0</v>
      </c>
      <c r="W5" s="850"/>
      <c r="X5" s="850"/>
      <c r="Y5" s="850"/>
      <c r="Z5" s="850"/>
      <c r="AA5" s="850"/>
      <c r="AB5" s="850"/>
      <c r="AC5" s="882"/>
      <c r="AD5" s="883"/>
      <c r="AE5" s="883"/>
      <c r="AF5" s="883"/>
      <c r="AG5" s="883"/>
      <c r="AH5" s="883"/>
      <c r="AI5" s="883"/>
      <c r="AJ5" s="884"/>
    </row>
    <row r="6" ht="16.25" spans="1:36">
      <c r="A6" s="885" t="s">
        <v>1216</v>
      </c>
      <c r="B6" s="886" t="s">
        <v>2017</v>
      </c>
      <c r="C6" s="887">
        <f>SUMIF(L1:L12,G2,M1:M12)</f>
        <v>1730</v>
      </c>
      <c r="D6" s="888"/>
      <c r="E6" s="889"/>
      <c r="F6" s="889"/>
      <c r="G6" s="890"/>
      <c r="H6" s="890"/>
      <c r="I6" s="890"/>
      <c r="J6" s="891"/>
      <c r="K6" s="892"/>
      <c r="L6" s="859" t="s">
        <v>2018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2112</v>
      </c>
      <c r="U6" s="862"/>
      <c r="V6" s="861">
        <f t="shared" si="1"/>
        <v>0</v>
      </c>
      <c r="W6" s="850"/>
      <c r="X6" s="850"/>
      <c r="Y6" s="850"/>
      <c r="Z6" s="850"/>
      <c r="AA6" s="850"/>
      <c r="AB6" s="850"/>
      <c r="AC6" s="882"/>
      <c r="AD6" s="883"/>
      <c r="AE6" s="883"/>
      <c r="AF6" s="883"/>
      <c r="AG6" s="883"/>
      <c r="AH6" s="883"/>
      <c r="AI6" s="883"/>
      <c r="AJ6" s="884"/>
    </row>
    <row r="7" ht="26.75" hidden="1" spans="1:36">
      <c r="A7" s="893" t="s">
        <v>1122</v>
      </c>
      <c r="B7" s="894" t="s">
        <v>2019</v>
      </c>
      <c r="C7" s="895" t="e">
        <f>IF(C8="不临65条商业街",1,ROUND(1+(1.6*E8+1.2*E9+0.8*E10+0.4*E11)*C9,4))</f>
        <v>#DIV/0!</v>
      </c>
      <c r="D7" s="896" t="s">
        <v>2020</v>
      </c>
      <c r="E7" s="897"/>
      <c r="F7" s="898"/>
      <c r="G7" s="899"/>
      <c r="H7" s="899"/>
      <c r="I7" s="899"/>
      <c r="J7" s="900"/>
      <c r="K7" s="892"/>
      <c r="L7" s="859" t="s">
        <v>2021</v>
      </c>
      <c r="M7" s="860">
        <f>SUMPRODUCT((区片价!B190:B233=I2)*(区片价!C3:G3=E2)*(区片价!C190:G233))</f>
        <v>1730</v>
      </c>
      <c r="N7" s="848">
        <f>SUMPRODUCT((因素修正幅度!B190:B233=I2)*(因素修正幅度!C3:G3=E2)*(因素修正幅度!C190:G233))</f>
        <v>0.13</v>
      </c>
      <c r="O7" s="837"/>
      <c r="P7" s="837"/>
      <c r="Q7" s="837"/>
      <c r="R7" s="849">
        <v>6</v>
      </c>
      <c r="S7" s="901"/>
      <c r="T7" s="861">
        <f t="shared" si="0"/>
        <v>0</v>
      </c>
      <c r="U7" s="862"/>
      <c r="V7" s="861">
        <f t="shared" si="1"/>
        <v>0</v>
      </c>
      <c r="W7" s="902" t="s">
        <v>2022</v>
      </c>
      <c r="X7" s="903" t="str">
        <f>G2</f>
        <v>七级</v>
      </c>
      <c r="Y7" s="903" t="s">
        <v>2023</v>
      </c>
      <c r="Z7" s="904">
        <f>G3</f>
        <v>1.62</v>
      </c>
      <c r="AA7" s="850"/>
      <c r="AB7" s="850"/>
      <c r="AC7" s="851"/>
      <c r="AD7" s="852"/>
      <c r="AE7" s="852"/>
      <c r="AF7" s="852"/>
      <c r="AG7" s="852"/>
      <c r="AH7" s="852"/>
      <c r="AI7" s="852"/>
      <c r="AJ7" s="853"/>
    </row>
    <row r="8" ht="15.5" hidden="1" spans="1:36">
      <c r="A8" s="905"/>
      <c r="B8" s="866" t="s">
        <v>2024</v>
      </c>
      <c r="C8" s="906"/>
      <c r="D8" s="907" t="s">
        <v>2025</v>
      </c>
      <c r="E8" s="908" t="e">
        <f>ROUND(C11/E7,4)</f>
        <v>#DIV/0!</v>
      </c>
      <c r="F8" s="909" t="s">
        <v>2026</v>
      </c>
      <c r="G8" s="910"/>
      <c r="H8" s="910"/>
      <c r="I8" s="910"/>
      <c r="J8" s="911"/>
      <c r="K8" s="837"/>
      <c r="L8" s="859" t="s">
        <v>2027</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2028</v>
      </c>
      <c r="X8" s="913"/>
      <c r="Y8" s="914" t="s">
        <v>2029</v>
      </c>
      <c r="Z8" s="914" t="s">
        <v>2030</v>
      </c>
      <c r="AA8" s="914" t="s">
        <v>2031</v>
      </c>
      <c r="AB8" s="914" t="s">
        <v>2032</v>
      </c>
      <c r="AC8" s="914" t="s">
        <v>2033</v>
      </c>
      <c r="AD8" s="914" t="s">
        <v>2034</v>
      </c>
      <c r="AE8" s="914" t="s">
        <v>2035</v>
      </c>
      <c r="AF8" s="914" t="s">
        <v>2036</v>
      </c>
      <c r="AG8" s="914" t="s">
        <v>2037</v>
      </c>
      <c r="AH8" s="914" t="s">
        <v>2038</v>
      </c>
      <c r="AI8" s="914" t="s">
        <v>2039</v>
      </c>
      <c r="AJ8" s="914" t="s">
        <v>2040</v>
      </c>
    </row>
    <row r="9" ht="15.5" hidden="1" spans="1:36">
      <c r="A9" s="905"/>
      <c r="B9" s="866" t="s">
        <v>2041</v>
      </c>
      <c r="C9" s="915">
        <f>SUMIF(修正!C73:C140,C8,修正!E73:E140)</f>
        <v>0</v>
      </c>
      <c r="D9" s="916" t="s">
        <v>2042</v>
      </c>
      <c r="E9" s="916" t="e">
        <f>ROUND(C11/E7,4)</f>
        <v>#DIV/0!</v>
      </c>
      <c r="F9" s="909" t="s">
        <v>2043</v>
      </c>
      <c r="G9" s="910"/>
      <c r="H9" s="910"/>
      <c r="I9" s="910"/>
      <c r="J9" s="911"/>
      <c r="K9" s="837"/>
      <c r="L9" s="859" t="s">
        <v>2044</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2045</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hidden="1" spans="1:36">
      <c r="A10" s="905"/>
      <c r="B10" s="866" t="s">
        <v>2046</v>
      </c>
      <c r="C10" s="920">
        <f>SUMIF(修正!C73:C140,C8,修正!F73:F140)</f>
        <v>0</v>
      </c>
      <c r="D10" s="916" t="s">
        <v>2047</v>
      </c>
      <c r="E10" s="916" t="e">
        <f>ROUND(C11/E7,4)</f>
        <v>#DIV/0!</v>
      </c>
      <c r="F10" s="909" t="s">
        <v>2048</v>
      </c>
      <c r="G10" s="910"/>
      <c r="H10" s="910"/>
      <c r="I10" s="910"/>
      <c r="J10" s="911"/>
      <c r="K10" s="837"/>
      <c r="L10" s="859" t="s">
        <v>2049</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hidden="1" spans="1:36">
      <c r="A11" s="922"/>
      <c r="B11" s="923" t="s">
        <v>2050</v>
      </c>
      <c r="C11" s="924">
        <f>C10/4</f>
        <v>0</v>
      </c>
      <c r="D11" s="925" t="s">
        <v>2051</v>
      </c>
      <c r="E11" s="925" t="e">
        <f>ROUND(C11/E7,4)</f>
        <v>#DIV/0!</v>
      </c>
      <c r="F11" s="926" t="s">
        <v>2052</v>
      </c>
      <c r="G11" s="927"/>
      <c r="H11" s="927"/>
      <c r="I11" s="927"/>
      <c r="J11" s="928"/>
      <c r="K11" s="837"/>
      <c r="L11" s="859" t="s">
        <v>2053</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6.75" hidden="1" spans="1:36">
      <c r="A12" s="893" t="s">
        <v>2054</v>
      </c>
      <c r="B12" s="931" t="s">
        <v>2055</v>
      </c>
      <c r="C12" s="932"/>
      <c r="D12" s="933" t="s">
        <v>2056</v>
      </c>
      <c r="E12" s="934" t="s">
        <v>2057</v>
      </c>
      <c r="F12" s="935"/>
      <c r="G12" s="936"/>
      <c r="H12" s="936"/>
      <c r="I12" s="936"/>
      <c r="J12" s="937"/>
      <c r="K12" s="837"/>
      <c r="L12" s="938" t="s">
        <v>2058</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6.75" hidden="1" spans="1:36">
      <c r="A13" s="893" t="s">
        <v>1986</v>
      </c>
      <c r="B13" s="940" t="s">
        <v>2059</v>
      </c>
      <c r="C13" s="941">
        <f>ROUND(C16*D16*E16*F16*G16*H16*I16*J16,4)</f>
        <v>0</v>
      </c>
      <c r="D13" s="942" t="s">
        <v>2060</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6" hidden="1" spans="1:36">
      <c r="A14" s="949"/>
      <c r="B14" s="950" t="s">
        <v>2061</v>
      </c>
      <c r="C14" s="951" t="s">
        <v>2062</v>
      </c>
      <c r="D14" s="952" t="s">
        <v>2063</v>
      </c>
      <c r="E14" s="953" t="s">
        <v>2064</v>
      </c>
      <c r="F14" s="954" t="s">
        <v>2065</v>
      </c>
      <c r="G14" s="954" t="s">
        <v>2065</v>
      </c>
      <c r="H14" s="954" t="s">
        <v>2065</v>
      </c>
      <c r="I14" s="954" t="s">
        <v>2065</v>
      </c>
      <c r="J14" s="954" t="s">
        <v>2065</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5" hidden="1" spans="1:36">
      <c r="A15" s="949"/>
      <c r="B15" s="955"/>
      <c r="C15" s="956"/>
      <c r="D15" s="957"/>
      <c r="E15" s="958"/>
      <c r="F15" s="959" t="s">
        <v>2066</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6.25" hidden="1" spans="1:36">
      <c r="A16" s="949"/>
      <c r="B16" s="964" t="s">
        <v>1709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6" hidden="1" spans="1:37">
      <c r="A17" s="967" t="s">
        <v>1950</v>
      </c>
      <c r="B17" s="968" t="s">
        <v>2067</v>
      </c>
      <c r="C17" s="969">
        <f>ROUND(IF(OR(E2="工业",E2="公共服务"),1,IF(AND(E18=0,E19=0),1,IF(AND(E18=J24,E19=G19),0.8,IF(E19=0,1+E17*(-0.2),1+E17*G17*(-0.2))))),4)</f>
        <v>1</v>
      </c>
      <c r="D17" s="970" t="s">
        <v>2068</v>
      </c>
      <c r="E17" s="971">
        <f>ROUND(G18/I18,2)</f>
        <v>0</v>
      </c>
      <c r="F17" s="970" t="s">
        <v>2069</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hidden="1" spans="1:37">
      <c r="A18" s="974"/>
      <c r="B18" s="975"/>
      <c r="C18" s="976"/>
      <c r="D18" s="977" t="s">
        <v>2070</v>
      </c>
      <c r="E18" s="978"/>
      <c r="F18" s="979" t="s">
        <v>2071</v>
      </c>
      <c r="G18" s="976">
        <f>ROUND(1-(1/(POWER(1+G24,E18))),4)</f>
        <v>0</v>
      </c>
      <c r="H18" s="979" t="s">
        <v>2072</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hidden="1" spans="1:37">
      <c r="A19" s="985"/>
      <c r="B19" s="986"/>
      <c r="C19" s="987"/>
      <c r="D19" s="987" t="s">
        <v>2073</v>
      </c>
      <c r="E19" s="988"/>
      <c r="F19" s="989" t="s">
        <v>2074</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1951</v>
      </c>
      <c r="B20" s="995" t="s">
        <v>2075</v>
      </c>
      <c r="C20" s="996">
        <f>ROUND(IF(F21="与级别开发程度一致",0,(G21-E21)/C21),0)</f>
        <v>-42</v>
      </c>
      <c r="D20" s="997" t="s">
        <v>2076</v>
      </c>
      <c r="E20" s="998"/>
      <c r="F20" s="999" t="s">
        <v>2077</v>
      </c>
      <c r="G20" s="1000"/>
      <c r="H20" s="1001" t="s">
        <v>383</v>
      </c>
      <c r="I20" s="1001" t="s">
        <v>384</v>
      </c>
      <c r="J20" s="1002" t="s">
        <v>385</v>
      </c>
      <c r="K20" s="1003" t="s">
        <v>386</v>
      </c>
      <c r="L20" s="1003" t="s">
        <v>387</v>
      </c>
      <c r="M20" s="1003" t="s">
        <v>2078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6.75" spans="1:37">
      <c r="A21" s="1005"/>
      <c r="B21" s="1006" t="s">
        <v>2079</v>
      </c>
      <c r="C21" s="1007">
        <f>IF(E3="M4科研用地",SUMPRODUCT((修正!A2:A7=E3)*(修正!B1:M1=G2)*(修正!B2:M7)),SUMPRODUCT((修正!A2:A7=E2)*(修正!B1:M1=G2)*(修正!B2:M7)))</f>
        <v>1.2</v>
      </c>
      <c r="D21" s="1008" t="str">
        <f>IF(OR(G2="八级",G2="九级",G2="十级",G2="十一级",G2="十二级"),"五通一平","七通一平")</f>
        <v>七通一平</v>
      </c>
      <c r="E21" s="1009">
        <f>SUMPRODUCT((修正!B1:M1=G2)*(修正!B17:M17))</f>
        <v>315</v>
      </c>
      <c r="F21" s="1010" t="s">
        <v>2080</v>
      </c>
      <c r="G21" s="1011">
        <f>SUM(H21:O21)</f>
        <v>265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40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1010</v>
      </c>
      <c r="B22" s="1016" t="s">
        <v>2081</v>
      </c>
      <c r="C22" s="1017">
        <f>SUMIF(修正!C20:C53,E3,修正!E20:E53)</f>
        <v>1.5</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1015</v>
      </c>
      <c r="B23" s="1023" t="s">
        <v>2082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2083</v>
      </c>
      <c r="E23" s="1026">
        <v>44197</v>
      </c>
      <c r="F23" s="1025" t="s">
        <v>2084</v>
      </c>
      <c r="G23" s="1027">
        <f>'数据-取费表'!B2</f>
        <v>46029</v>
      </c>
      <c r="H23" s="1028" t="s">
        <v>2085</v>
      </c>
      <c r="I23" s="1029" t="str">
        <f>IF(H23="季度增幅（自定义）",SUMIF(N25:N28,E2,O25:O28),"")</f>
        <v/>
      </c>
      <c r="J23" s="1030" t="s">
        <v>2086</v>
      </c>
      <c r="K23" s="982"/>
      <c r="L23" s="1031" t="s">
        <v>2087</v>
      </c>
      <c r="M23" s="1032">
        <f>ROUND(SUMIF(地价!B2:G2,E2,地价!B16:G16),0)</f>
        <v>318</v>
      </c>
      <c r="N23" s="1033" t="s">
        <v>2088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1018</v>
      </c>
      <c r="B24" s="1037" t="s">
        <v>2089</v>
      </c>
      <c r="C24" s="1038">
        <f>ROUND(POWER(1+G24,J24-I24)*(POWER(1+G24,I24)-1)/(POWER(1+G24,J24)-1),4)</f>
        <v>0.8467</v>
      </c>
      <c r="D24" s="1039" t="s">
        <v>2090</v>
      </c>
      <c r="E24" s="1040">
        <f>存贷款利率!E28/100</f>
        <v>0.0435</v>
      </c>
      <c r="F24" s="1039" t="s">
        <v>2091</v>
      </c>
      <c r="G24" s="1041">
        <f>SUMIF(M30:Q30,E2,M33:Q33)</f>
        <v>0.05</v>
      </c>
      <c r="H24" s="1039" t="s">
        <v>2092</v>
      </c>
      <c r="I24" s="1042">
        <f>SUMIF('数据-取费表'!C6:C15,E2,'数据-取费表'!F6:F15)/COUNTIF('数据-取费表'!C6:C15,E2)</f>
        <v>30.38</v>
      </c>
      <c r="J24" s="1043">
        <f>IF(E2="住宅",70,IF(E2="商业",40,50))</f>
        <v>50</v>
      </c>
      <c r="K24" s="982"/>
      <c r="L24" s="1044" t="s">
        <v>2093</v>
      </c>
      <c r="M24" s="1045">
        <f>ROUND(SUMPRODUCT((地价!A4:A16=YEAR(G23)&amp;"-"&amp;ROUNDUP(MONTH(G23)/3,0))*(地价!B2:G2=E2)*(地价!B4:G16)),0)</f>
        <v>0</v>
      </c>
      <c r="N24" s="1046" t="s">
        <v>2094</v>
      </c>
      <c r="O24" s="1047" t="s">
        <v>2095</v>
      </c>
      <c r="P24" s="1048" t="s">
        <v>2096</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1044</v>
      </c>
      <c r="B25" s="1050" t="s">
        <v>2097</v>
      </c>
      <c r="C25" s="1051">
        <f>IF(B25="容积率修正",IF(G3&lt;10,D26,J26),C27)</f>
        <v>0.8969</v>
      </c>
      <c r="D25" s="1052"/>
      <c r="E25" s="1052"/>
      <c r="F25" s="1052"/>
      <c r="G25" s="1052"/>
      <c r="H25" s="1052"/>
      <c r="I25" s="1052"/>
      <c r="J25" s="1053"/>
      <c r="K25" s="982"/>
      <c r="L25" s="984"/>
      <c r="M25" s="984"/>
      <c r="N25" s="1054" t="s">
        <v>2098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2099</v>
      </c>
      <c r="B26" s="1058" t="s">
        <v>2100</v>
      </c>
      <c r="C26" s="1059" t="s">
        <v>2101</v>
      </c>
      <c r="D26" s="1060">
        <f>IF(E26=G26,F26,IF(G3&lt;10,ROUND(F26+(H26-F26)*(G3-E26)/(G26-E26),4),"——"))</f>
        <v>0.8969</v>
      </c>
      <c r="E26" s="1060">
        <f>ROUNDDOWN(G3,1)</f>
        <v>1.6</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60">
        <f>ROUNDUP(G3,1)</f>
        <v>1.7</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1059" t="s">
        <v>2102</v>
      </c>
      <c r="J26" s="1061" t="str">
        <f>IF(G3&gt;=10,D115,"——")</f>
        <v>——</v>
      </c>
      <c r="K26" s="982"/>
      <c r="L26" s="984"/>
      <c r="M26" s="984"/>
      <c r="N26" s="1054" t="s">
        <v>2103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2104</v>
      </c>
      <c r="B27" s="1062" t="s">
        <v>2105</v>
      </c>
      <c r="C27" s="1063">
        <f>ROUND(IF(I3&lt;6,SUMPRODUCT((B106:B110=I3)*(C105:N105=G2)*(C106:N110)),SUMIF(C105:N105,G2,C112:N112)),4)</f>
        <v>0</v>
      </c>
      <c r="D27" s="1064"/>
      <c r="E27" s="1064"/>
      <c r="F27" s="1065"/>
      <c r="G27" s="1066"/>
      <c r="H27" s="1067"/>
      <c r="I27" s="1068"/>
      <c r="J27" s="1069"/>
      <c r="K27" s="837"/>
      <c r="L27" s="838"/>
      <c r="M27" s="838"/>
      <c r="N27" s="1054" t="s">
        <v>2106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2107</v>
      </c>
      <c r="B28" s="1023" t="s">
        <v>2108</v>
      </c>
      <c r="C28" s="1070">
        <f>SUMIF(A47:A101,E2,B47:B101)</f>
        <v>1.0663</v>
      </c>
      <c r="D28" s="1071"/>
      <c r="E28" s="1072"/>
      <c r="F28" s="1072"/>
      <c r="G28" s="1072"/>
      <c r="H28" s="1072"/>
      <c r="I28" s="1072"/>
      <c r="J28" s="1073"/>
      <c r="K28" s="982"/>
      <c r="L28" s="984"/>
      <c r="M28" s="984"/>
      <c r="N28" s="1074" t="s">
        <v>2109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2110</v>
      </c>
      <c r="B29" s="1077" t="s">
        <v>2111</v>
      </c>
      <c r="C29" s="1078"/>
      <c r="D29" s="899"/>
      <c r="E29" s="899"/>
      <c r="F29" s="1079"/>
      <c r="G29" s="899"/>
      <c r="H29" s="899"/>
      <c r="I29" s="899"/>
      <c r="J29" s="900"/>
      <c r="K29" s="837"/>
      <c r="L29" s="838"/>
      <c r="M29" s="838"/>
      <c r="N29" s="1080" t="s">
        <v>2112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2113</v>
      </c>
      <c r="C30" s="1084">
        <f>IF(B25="容积率修正",E33+SUM(E37:E42),SUM(V2:V16)+SUM(E37:E42))</f>
        <v>3611</v>
      </c>
      <c r="D30" s="1085"/>
      <c r="E30" s="1064"/>
      <c r="F30" s="1086"/>
      <c r="G30" s="1064"/>
      <c r="H30" s="1064"/>
      <c r="I30" s="1064"/>
      <c r="J30" s="1087"/>
      <c r="K30" s="837"/>
      <c r="L30" s="1088" t="s">
        <v>2005</v>
      </c>
      <c r="M30" s="1089" t="s">
        <v>2114</v>
      </c>
      <c r="N30" s="1089" t="s">
        <v>2115</v>
      </c>
      <c r="O30" s="1089" t="s">
        <v>2116</v>
      </c>
      <c r="P30" s="1089" t="s">
        <v>2117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2118</v>
      </c>
      <c r="C31" s="1092">
        <f>E34+SUM(I37:I42)</f>
        <v>0</v>
      </c>
      <c r="D31" s="1093"/>
      <c r="E31" s="1094"/>
      <c r="F31" s="1095"/>
      <c r="G31" s="1094"/>
      <c r="H31" s="1094"/>
      <c r="I31" s="1094"/>
      <c r="J31" s="1096"/>
      <c r="K31" s="837"/>
      <c r="L31" s="1097" t="s">
        <v>2119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2120</v>
      </c>
      <c r="C32" s="1102" t="s">
        <v>1184</v>
      </c>
      <c r="D32" s="1102" t="s">
        <v>630</v>
      </c>
      <c r="E32" s="1103" t="s">
        <v>2121</v>
      </c>
      <c r="F32" s="1104"/>
      <c r="G32" s="944"/>
      <c r="H32" s="944"/>
      <c r="I32" s="944"/>
      <c r="J32" s="945"/>
      <c r="K32" s="837"/>
      <c r="L32" s="1105" t="s">
        <v>2091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2122</v>
      </c>
      <c r="C33" s="1110">
        <f>ROUND(C5*C22*C23*C24*C25*C28,0)</f>
        <v>2234</v>
      </c>
      <c r="D33" s="1111">
        <f>'数据-汇总表'!F19</f>
        <v>16162.07</v>
      </c>
      <c r="E33" s="1112">
        <f>ROUND(C33*D33/10000,0)</f>
        <v>3611</v>
      </c>
      <c r="F33" s="1113" t="s">
        <v>2123</v>
      </c>
      <c r="G33" s="1114"/>
      <c r="H33" s="1114"/>
      <c r="I33" s="1114"/>
      <c r="J33" s="1115"/>
      <c r="K33" s="837"/>
      <c r="L33" s="1116" t="s">
        <v>2124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2125</v>
      </c>
      <c r="C34" s="1120">
        <f>ROUND(IF(E2="工业",C33*M42,IF(B25="楼层修正",SUM(V2:V16)*M41*10000/D34,C33*M41)),0)</f>
        <v>335</v>
      </c>
      <c r="D34" s="1121"/>
      <c r="E34" s="1112">
        <f>ROUND(IF(B25="楼层修正",SUM(V2:V16)*M40,C34*D34/10000),0)</f>
        <v>0</v>
      </c>
      <c r="F34" s="1122" t="s">
        <v>2126</v>
      </c>
      <c r="G34" s="1123"/>
      <c r="H34" s="1123"/>
      <c r="I34" s="1123"/>
      <c r="J34" s="1124"/>
      <c r="K34" s="837"/>
      <c r="L34" s="1116" t="s">
        <v>2127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2128</v>
      </c>
      <c r="C35" s="1127" t="s">
        <v>2129</v>
      </c>
      <c r="D35" s="944"/>
      <c r="E35" s="1128"/>
      <c r="F35" s="1128"/>
      <c r="G35" s="942" t="s">
        <v>2126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1184</v>
      </c>
      <c r="D36" s="1132" t="s">
        <v>630</v>
      </c>
      <c r="E36" s="1132" t="s">
        <v>2121</v>
      </c>
      <c r="F36" s="844" t="s">
        <v>2130</v>
      </c>
      <c r="G36" s="1133" t="s">
        <v>1184</v>
      </c>
      <c r="H36" s="1133" t="s">
        <v>630</v>
      </c>
      <c r="I36" s="1133" t="s">
        <v>2121</v>
      </c>
      <c r="J36" s="472"/>
      <c r="K36" s="1134" t="s">
        <v>2131</v>
      </c>
      <c r="L36" s="1135">
        <f ca="1">'数据-取费表'!B41</f>
        <v>0.0306</v>
      </c>
      <c r="M36" s="1136">
        <f ca="1">ROUND($L$36*(1+M31),3)</f>
        <v>0.038</v>
      </c>
      <c r="N36" s="1136">
        <f ca="1">ROUND($L$36*(1+N31),3)</f>
        <v>0.037</v>
      </c>
      <c r="O36" s="1136">
        <f ca="1">ROUND($L$36*(1+O31),3)</f>
        <v>0.035</v>
      </c>
      <c r="P36" s="1136">
        <f ca="1">ROUND($L$36*(1+P31),3)</f>
        <v>0.034</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2132</v>
      </c>
      <c r="C37" s="1110">
        <f>ROUND(D5*C22*C23*C24*C28*F37,0)</f>
        <v>1494</v>
      </c>
      <c r="D37" s="1111"/>
      <c r="E37" s="1139">
        <f>ROUND(C37*D37/10000,0)</f>
        <v>0</v>
      </c>
      <c r="F37" s="920">
        <f>SUMIF(修正!A59:A70,G2,修正!B59:B70)</f>
        <v>0.6</v>
      </c>
      <c r="G37" s="1139">
        <f>ROUND(IF(E2="工业",C37*$M$42,C37*$M$41),0)</f>
        <v>224</v>
      </c>
      <c r="H37" s="920">
        <f>D37</f>
        <v>0</v>
      </c>
      <c r="I37" s="1139">
        <f>ROUND(G37*H37/10000,0)</f>
        <v>0</v>
      </c>
      <c r="J37" s="1140"/>
      <c r="K37" s="1141" t="s">
        <v>2133</v>
      </c>
      <c r="L37" s="1142">
        <f ca="1">L36+K38</f>
        <v>0.0356</v>
      </c>
      <c r="M37" s="1136">
        <f ca="1">ROUND($L$37*(1+M31),3)</f>
        <v>0.045</v>
      </c>
      <c r="N37" s="1136">
        <f ca="1" t="shared" ref="N37:Q37" si="3">ROUND($L$37*(1+N31),3)</f>
        <v>0.043</v>
      </c>
      <c r="O37" s="1136">
        <f ca="1" t="shared" si="3"/>
        <v>0.041</v>
      </c>
      <c r="P37" s="1136">
        <f ca="1" t="shared" si="3"/>
        <v>0.039</v>
      </c>
      <c r="Q37" s="1136">
        <f ca="1" t="shared" si="3"/>
        <v>0.041</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2134</v>
      </c>
      <c r="C38" s="1110">
        <f>ROUND(D5*C22*C23*C24*C28*F38,0)</f>
        <v>747</v>
      </c>
      <c r="D38" s="1111"/>
      <c r="E38" s="1139">
        <f t="shared" ref="E38:E42" si="4">ROUND(C38*D38/10000,0)</f>
        <v>0</v>
      </c>
      <c r="F38" s="920">
        <f>SUMIF(修正!A59:A70,G2,修正!C59:C70)</f>
        <v>0.3</v>
      </c>
      <c r="G38" s="1139">
        <f>ROUND(IF(E2="工业",C38*$M$42,C38*$M$41),0)</f>
        <v>112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2135</v>
      </c>
      <c r="C39" s="1110">
        <f>ROUND(D5*C22*C23*C24*C28*F39,0)</f>
        <v>623</v>
      </c>
      <c r="D39" s="1111"/>
      <c r="E39" s="1139">
        <f t="shared" si="4"/>
        <v>0</v>
      </c>
      <c r="F39" s="920">
        <f>SUMIF(修正!A59:A70,G2,修正!D59:D70)</f>
        <v>0.25</v>
      </c>
      <c r="G39" s="1139">
        <f>ROUND(IF(E2="工业",C39*$M$42,C39*$M$41),0)</f>
        <v>93</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2136</v>
      </c>
      <c r="C40" s="1139">
        <f>ROUND(D5*C22*C23*C24*C28*F40,0)</f>
        <v>623</v>
      </c>
      <c r="D40" s="1111"/>
      <c r="E40" s="1139">
        <f t="shared" si="4"/>
        <v>0</v>
      </c>
      <c r="F40" s="1145">
        <f>SUMIF(修正!A59:A70,G2,修正!E59:E70)</f>
        <v>0.25</v>
      </c>
      <c r="G40" s="1139">
        <f>ROUND(IF(E2="工业",C40*$M$42,C40*$M$41),0)</f>
        <v>93</v>
      </c>
      <c r="H40" s="920">
        <f t="shared" si="5"/>
        <v>0</v>
      </c>
      <c r="I40" s="1139">
        <f t="shared" si="6"/>
        <v>0</v>
      </c>
      <c r="J40" s="1146"/>
      <c r="L40" s="1147" t="s">
        <v>2137</v>
      </c>
      <c r="M40" s="1148"/>
      <c r="Z40" s="973"/>
      <c r="AA40" s="973"/>
      <c r="AB40" s="973"/>
      <c r="AC40" s="973"/>
      <c r="AD40" s="973"/>
      <c r="AE40" s="973"/>
      <c r="AF40" s="973"/>
      <c r="AG40" s="973"/>
      <c r="AH40" s="973"/>
      <c r="AI40" s="973"/>
      <c r="AJ40" s="973"/>
    </row>
    <row r="41" s="837" customFormat="1" ht="13" spans="1:37">
      <c r="A41" s="1144"/>
      <c r="B41" s="951" t="s">
        <v>2138</v>
      </c>
      <c r="C41" s="1139">
        <f>ROUND(D5*C22*C23*C44*C28*F41,0)</f>
        <v>0</v>
      </c>
      <c r="D41" s="1111">
        <f>'数据-汇总表'!G19</f>
        <v>562.44</v>
      </c>
      <c r="E41" s="1139">
        <f t="shared" si="4"/>
        <v>0</v>
      </c>
      <c r="F41" s="1145">
        <f>SUMIF(修正!A59:A70,G2,修正!F59:F70)</f>
        <v>0.25</v>
      </c>
      <c r="G41" s="1139">
        <f>ROUND(IF(E2="工业",C41*$M$42,C41*$M$41),0)</f>
        <v>0</v>
      </c>
      <c r="H41" s="920">
        <f t="shared" si="5"/>
        <v>562.44</v>
      </c>
      <c r="I41" s="1139">
        <f t="shared" si="6"/>
        <v>0</v>
      </c>
      <c r="J41" s="1146"/>
      <c r="L41" s="1149" t="s">
        <v>2139</v>
      </c>
      <c r="M41" s="1150">
        <v>0.25</v>
      </c>
      <c r="Z41" s="973"/>
      <c r="AA41" s="973"/>
      <c r="AB41" s="973"/>
      <c r="AC41" s="973"/>
      <c r="AD41" s="973"/>
      <c r="AE41" s="973"/>
      <c r="AF41" s="973"/>
      <c r="AG41" s="973"/>
      <c r="AH41" s="973"/>
      <c r="AI41" s="973"/>
      <c r="AJ41" s="973"/>
    </row>
    <row r="42" s="837" customFormat="1" ht="13.75" spans="1:37">
      <c r="A42" s="1118"/>
      <c r="B42" s="1151" t="s">
        <v>2140</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2141</v>
      </c>
      <c r="C44" s="844">
        <f>ROUND(POWER(1+E44,H44-G44)*(POWER(1+E44,G44)-1)/(POWER(1+E44,H44)-1),4)</f>
        <v>0</v>
      </c>
      <c r="D44" s="916" t="s">
        <v>2091</v>
      </c>
      <c r="E44" s="1158">
        <f>G24</f>
        <v>0.05</v>
      </c>
      <c r="F44" s="916" t="s">
        <v>2092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2142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hidden="1" spans="1:37">
      <c r="A48" s="1166" t="s">
        <v>2143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hidden="1" spans="1:37">
      <c r="A49" s="1172" t="s">
        <v>2144</v>
      </c>
      <c r="B49" s="1173" t="s">
        <v>2145</v>
      </c>
      <c r="C49" s="1173" t="s">
        <v>2146</v>
      </c>
      <c r="D49" s="1173" t="s">
        <v>2147</v>
      </c>
      <c r="E49" s="1174" t="s">
        <v>2148</v>
      </c>
      <c r="F49" s="1175" t="s">
        <v>2149</v>
      </c>
      <c r="G49" s="1173" t="s">
        <v>1709</v>
      </c>
      <c r="H49" s="1176" t="s">
        <v>2150</v>
      </c>
      <c r="I49" s="1173" t="s">
        <v>2151</v>
      </c>
      <c r="J49" s="1177" t="s">
        <v>1788</v>
      </c>
      <c r="K49" s="1177" t="s">
        <v>1789</v>
      </c>
      <c r="L49" s="1177" t="s">
        <v>1790</v>
      </c>
      <c r="M49" s="1177" t="s">
        <v>1791</v>
      </c>
      <c r="N49" s="1177" t="s">
        <v>1792</v>
      </c>
      <c r="AA49" s="973"/>
      <c r="AB49" s="973"/>
      <c r="AC49" s="973"/>
      <c r="AD49" s="973"/>
      <c r="AE49" s="973"/>
      <c r="AF49" s="973"/>
      <c r="AG49" s="973"/>
      <c r="AH49" s="973"/>
      <c r="AI49" s="973"/>
      <c r="AJ49" s="973"/>
      <c r="AK49" s="973"/>
    </row>
    <row r="50" s="837" customFormat="1" ht="26" hidden="1" spans="1:37">
      <c r="A50" s="1172" t="s">
        <v>2152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hidden="1" spans="1:37">
      <c r="A51" s="1172" t="s">
        <v>2153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hidden="1" spans="1:37">
      <c r="A52" s="1188" t="s">
        <v>2154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hidden="1" spans="1:37">
      <c r="A53" s="1172" t="s">
        <v>2155</v>
      </c>
      <c r="B53" s="1189" t="s">
        <v>2156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hidden="1" spans="1:37">
      <c r="A54" s="1172" t="s">
        <v>2157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hidden="1" spans="1:37">
      <c r="A55" s="1172" t="s">
        <v>2158</v>
      </c>
      <c r="B55" s="1190" t="s">
        <v>2159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hidden="1" spans="1:37">
      <c r="A56" s="1191" t="s">
        <v>2160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hidden="1" spans="1:37">
      <c r="A57" s="1191" t="s">
        <v>2161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hidden="1" spans="1:37">
      <c r="A58" s="1193" t="s">
        <v>2162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hidden="1" spans="1:37">
      <c r="A59" s="1166" t="s">
        <v>2163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hidden="1" spans="1:37">
      <c r="A60" s="1172" t="s">
        <v>2144</v>
      </c>
      <c r="B60" s="1173"/>
      <c r="C60" s="1173" t="s">
        <v>2146</v>
      </c>
      <c r="D60" s="1173" t="s">
        <v>2147</v>
      </c>
      <c r="E60" s="1174" t="s">
        <v>2148</v>
      </c>
      <c r="F60" s="1175" t="s">
        <v>2164</v>
      </c>
      <c r="G60" s="1173" t="s">
        <v>1709</v>
      </c>
      <c r="H60" s="1176" t="s">
        <v>2150</v>
      </c>
      <c r="I60" s="1173" t="s">
        <v>2151</v>
      </c>
      <c r="J60" s="1177" t="s">
        <v>1788</v>
      </c>
      <c r="K60" s="1177" t="s">
        <v>1789</v>
      </c>
      <c r="L60" s="1177" t="s">
        <v>1790</v>
      </c>
      <c r="M60" s="1177" t="s">
        <v>1791</v>
      </c>
      <c r="N60" s="1177" t="s">
        <v>1792</v>
      </c>
      <c r="AA60" s="973"/>
      <c r="AB60" s="973"/>
      <c r="AC60" s="973"/>
      <c r="AD60" s="973"/>
      <c r="AE60" s="973"/>
      <c r="AF60" s="973"/>
      <c r="AG60" s="973"/>
      <c r="AH60" s="973"/>
      <c r="AI60" s="973"/>
      <c r="AJ60" s="973"/>
      <c r="AK60" s="973"/>
    </row>
    <row r="61" s="837" customFormat="1" ht="26" hidden="1" spans="1:37">
      <c r="A61" s="1172" t="s">
        <v>2165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hidden="1" spans="1:37">
      <c r="A62" s="1172" t="s">
        <v>2153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hidden="1" spans="1:37">
      <c r="A63" s="1188" t="s">
        <v>2154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hidden="1" spans="1:37">
      <c r="A64" s="1172" t="s">
        <v>2155</v>
      </c>
      <c r="B64" s="1189" t="s">
        <v>2156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hidden="1" spans="1:37">
      <c r="A65" s="1172" t="s">
        <v>2157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hidden="1" spans="1:37">
      <c r="A66" s="1172" t="s">
        <v>2158</v>
      </c>
      <c r="B66" s="1190" t="s">
        <v>2159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hidden="1" spans="1:37">
      <c r="A67" s="1172" t="s">
        <v>2160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hidden="1" spans="1:37">
      <c r="A68" s="1172" t="s">
        <v>2161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hidden="1" spans="1:37">
      <c r="A69" s="1193" t="s">
        <v>2162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hidden="1" spans="1:37">
      <c r="A70" s="1166" t="s">
        <v>2166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hidden="1" spans="1:37">
      <c r="A71" s="1172" t="s">
        <v>2144</v>
      </c>
      <c r="B71" s="1173"/>
      <c r="C71" s="1173" t="s">
        <v>2146</v>
      </c>
      <c r="D71" s="1173" t="s">
        <v>2147</v>
      </c>
      <c r="E71" s="1174" t="s">
        <v>2148</v>
      </c>
      <c r="F71" s="1175" t="s">
        <v>2164</v>
      </c>
      <c r="G71" s="1173" t="s">
        <v>1709</v>
      </c>
      <c r="H71" s="1176" t="s">
        <v>2150</v>
      </c>
      <c r="I71" s="1173" t="s">
        <v>2151</v>
      </c>
      <c r="J71" s="1177" t="s">
        <v>1788</v>
      </c>
      <c r="K71" s="1177" t="s">
        <v>1789</v>
      </c>
      <c r="L71" s="1177" t="s">
        <v>1790</v>
      </c>
      <c r="M71" s="1177" t="s">
        <v>1791</v>
      </c>
      <c r="N71" s="1177" t="s">
        <v>1792</v>
      </c>
      <c r="AA71" s="973"/>
      <c r="AB71" s="973"/>
      <c r="AC71" s="973"/>
      <c r="AD71" s="973"/>
      <c r="AE71" s="973"/>
      <c r="AF71" s="973"/>
      <c r="AG71" s="973"/>
      <c r="AH71" s="973"/>
      <c r="AI71" s="973"/>
      <c r="AJ71" s="973"/>
      <c r="AK71" s="973"/>
    </row>
    <row r="72" s="837" customFormat="1" ht="26" hidden="1" spans="1:37">
      <c r="A72" s="1172" t="s">
        <v>2167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hidden="1" spans="1:37">
      <c r="A73" s="1172" t="s">
        <v>2153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hidden="1" spans="1:37">
      <c r="A74" s="1188" t="s">
        <v>2154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hidden="1" spans="1:37">
      <c r="A75" s="1172" t="s">
        <v>2168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hidden="1" spans="1:37">
      <c r="A76" s="1172" t="s">
        <v>2160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hidden="1" spans="1:37">
      <c r="A77" s="1172" t="s">
        <v>2161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hidden="1" spans="1:37">
      <c r="A78" s="1172" t="s">
        <v>2158</v>
      </c>
      <c r="B78" s="1190" t="s">
        <v>2159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hidden="1" spans="1:37">
      <c r="A79" s="1172" t="s">
        <v>2162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hidden="1" spans="1:37">
      <c r="A80" s="1193" t="s">
        <v>2169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2170</v>
      </c>
      <c r="B81" s="1167">
        <f>1+E83</f>
        <v>1.0663</v>
      </c>
      <c r="C81" s="1169"/>
      <c r="D81" s="1169"/>
      <c r="E81" s="1170"/>
      <c r="F81" s="1171"/>
      <c r="G81" s="1164"/>
      <c r="H81" s="1164"/>
      <c r="I81" s="1164"/>
      <c r="J81" s="1163"/>
      <c r="K81" s="1163"/>
      <c r="L81" s="1163"/>
      <c r="M81" s="1163"/>
      <c r="N81" s="1163"/>
      <c r="Z81" s="841"/>
      <c r="AA81" s="839"/>
      <c r="AG81" s="843"/>
      <c r="AK81" s="839"/>
    </row>
    <row r="82" ht="26" spans="1:37">
      <c r="A82" s="1172" t="s">
        <v>2144</v>
      </c>
      <c r="B82" s="1173"/>
      <c r="C82" s="1173" t="s">
        <v>2146</v>
      </c>
      <c r="D82" s="1173" t="s">
        <v>2147</v>
      </c>
      <c r="E82" s="1174" t="s">
        <v>2148</v>
      </c>
      <c r="F82" s="1175" t="s">
        <v>2164</v>
      </c>
      <c r="G82" s="1173" t="s">
        <v>1709</v>
      </c>
      <c r="H82" s="1176" t="s">
        <v>2150</v>
      </c>
      <c r="I82" s="1173" t="s">
        <v>2151</v>
      </c>
      <c r="J82" s="1177" t="s">
        <v>1788</v>
      </c>
      <c r="K82" s="1177" t="s">
        <v>1789</v>
      </c>
      <c r="L82" s="1177" t="s">
        <v>1790</v>
      </c>
      <c r="M82" s="1177" t="s">
        <v>1791</v>
      </c>
      <c r="N82" s="1177" t="s">
        <v>1792</v>
      </c>
      <c r="Z82" s="841"/>
      <c r="AA82" s="839"/>
      <c r="AG82" s="843"/>
      <c r="AK82" s="839"/>
    </row>
    <row r="83" ht="26" spans="1:37">
      <c r="A83" s="1172" t="s">
        <v>2171</v>
      </c>
      <c r="B83" s="1186">
        <f>估价对象房地状况!G15</f>
        <v>0</v>
      </c>
      <c r="C83" s="957" t="s">
        <v>1865</v>
      </c>
      <c r="D83" s="1179">
        <f t="shared" ref="D83:D90" si="22">SUMIF($J$82:$N$82,C83,J83:N83)</f>
        <v>0.0169</v>
      </c>
      <c r="E83" s="1180">
        <f>ROUND(SUM(D83:D90),4)</f>
        <v>0.0663</v>
      </c>
      <c r="F83" s="1181">
        <f>IF(E2="工业",SUMIF(L1:L12,G2,N1:N12),"——")</f>
        <v>0.13</v>
      </c>
      <c r="G83" s="1182">
        <f>H83</f>
        <v>0.0169</v>
      </c>
      <c r="H83" s="1183">
        <f t="shared" ref="H83:H90" si="23">IFERROR(ROUNDDOWN($F$83*I83/2,4),"——")</f>
        <v>0.0169</v>
      </c>
      <c r="I83" s="1184">
        <v>0.26</v>
      </c>
      <c r="J83" s="1185">
        <f t="shared" ref="J83:J90" si="24">K83+$G83</f>
        <v>0.0338</v>
      </c>
      <c r="K83" s="1185">
        <f t="shared" ref="K83:K90" si="25">$L83+$G83</f>
        <v>0.0169</v>
      </c>
      <c r="L83" s="1185">
        <v>0</v>
      </c>
      <c r="M83" s="1185">
        <f t="shared" ref="M83:N90" si="26">L83-$G83</f>
        <v>-0.0169</v>
      </c>
      <c r="N83" s="1185">
        <f t="shared" si="26"/>
        <v>-0.0338</v>
      </c>
      <c r="Z83" s="841"/>
      <c r="AA83" s="839"/>
      <c r="AG83" s="843"/>
      <c r="AK83" s="839"/>
    </row>
    <row r="84" ht="14" spans="1:37">
      <c r="A84" s="1172" t="s">
        <v>2153</v>
      </c>
      <c r="B84" s="1186">
        <f>估价对象房地状况!G16</f>
        <v>0</v>
      </c>
      <c r="C84" s="957" t="s">
        <v>1865</v>
      </c>
      <c r="D84" s="1179">
        <f t="shared" si="22"/>
        <v>0.0195</v>
      </c>
      <c r="E84" s="1198"/>
      <c r="F84" s="1181"/>
      <c r="G84" s="1182">
        <f t="shared" ref="G84:G90" si="27">H84</f>
        <v>0.0195</v>
      </c>
      <c r="H84" s="1183">
        <f t="shared" si="23"/>
        <v>0.0195</v>
      </c>
      <c r="I84" s="1184">
        <v>0.3</v>
      </c>
      <c r="J84" s="1185">
        <f t="shared" si="24"/>
        <v>0.039</v>
      </c>
      <c r="K84" s="1185">
        <f t="shared" si="25"/>
        <v>0.0195</v>
      </c>
      <c r="L84" s="1185">
        <v>0</v>
      </c>
      <c r="M84" s="1185">
        <f t="shared" si="26"/>
        <v>-0.0195</v>
      </c>
      <c r="N84" s="1185">
        <f t="shared" si="26"/>
        <v>-0.039</v>
      </c>
      <c r="Z84" s="841"/>
      <c r="AA84" s="839"/>
      <c r="AG84" s="843"/>
      <c r="AK84" s="839"/>
    </row>
    <row r="85" ht="39" spans="1:37">
      <c r="A85" s="1188" t="s">
        <v>2154</v>
      </c>
      <c r="B85" s="1186">
        <f>估价对象房地状况!G17</f>
        <v>0</v>
      </c>
      <c r="C85" s="957" t="s">
        <v>1865</v>
      </c>
      <c r="D85" s="1179">
        <f t="shared" si="22"/>
        <v>0.0065</v>
      </c>
      <c r="E85" s="1198"/>
      <c r="F85" s="1181"/>
      <c r="G85" s="1182">
        <f t="shared" si="27"/>
        <v>0.0065</v>
      </c>
      <c r="H85" s="1183">
        <f t="shared" si="23"/>
        <v>0.0065</v>
      </c>
      <c r="I85" s="1184">
        <v>0.1</v>
      </c>
      <c r="J85" s="1185">
        <f t="shared" si="24"/>
        <v>0.013</v>
      </c>
      <c r="K85" s="1185">
        <f t="shared" si="25"/>
        <v>0.0065</v>
      </c>
      <c r="L85" s="1185">
        <v>0</v>
      </c>
      <c r="M85" s="1185">
        <f t="shared" si="26"/>
        <v>-0.0065</v>
      </c>
      <c r="N85" s="1185">
        <f t="shared" si="26"/>
        <v>-0.013</v>
      </c>
      <c r="Z85" s="841"/>
      <c r="AA85" s="839"/>
      <c r="AG85" s="843"/>
      <c r="AK85" s="839"/>
    </row>
    <row r="86" ht="14" spans="1:37">
      <c r="A86" s="1172" t="s">
        <v>2168</v>
      </c>
      <c r="B86" s="1186">
        <f>估价对象房地状况!G22</f>
        <v>0</v>
      </c>
      <c r="C86" s="957" t="s">
        <v>2172</v>
      </c>
      <c r="D86" s="1179">
        <f t="shared" si="22"/>
        <v>-0.0032</v>
      </c>
      <c r="E86" s="1198"/>
      <c r="F86" s="1181"/>
      <c r="G86" s="1182">
        <f t="shared" si="27"/>
        <v>0.0032</v>
      </c>
      <c r="H86" s="1183">
        <f t="shared" si="23"/>
        <v>0.0032</v>
      </c>
      <c r="I86" s="1184">
        <v>0.05</v>
      </c>
      <c r="J86" s="1185">
        <f t="shared" si="24"/>
        <v>0.0064</v>
      </c>
      <c r="K86" s="1185">
        <f t="shared" si="25"/>
        <v>0.0032</v>
      </c>
      <c r="L86" s="1185">
        <v>0</v>
      </c>
      <c r="M86" s="1185">
        <f t="shared" si="26"/>
        <v>-0.0032</v>
      </c>
      <c r="N86" s="1185">
        <f t="shared" si="26"/>
        <v>-0.0064</v>
      </c>
      <c r="Z86" s="841"/>
      <c r="AA86" s="839"/>
      <c r="AG86" s="843"/>
      <c r="AK86" s="839"/>
    </row>
    <row r="87" ht="26" spans="1:37">
      <c r="A87" s="1172" t="s">
        <v>2160</v>
      </c>
      <c r="B87" s="1192">
        <f>估价对象房地状况!G19</f>
        <v>0</v>
      </c>
      <c r="C87" s="957" t="s">
        <v>1865</v>
      </c>
      <c r="D87" s="1179">
        <f t="shared" si="22"/>
        <v>0.0039</v>
      </c>
      <c r="E87" s="1198"/>
      <c r="F87" s="1181"/>
      <c r="G87" s="1182">
        <f t="shared" si="27"/>
        <v>0.0039</v>
      </c>
      <c r="H87" s="1183">
        <f t="shared" si="23"/>
        <v>0.0039</v>
      </c>
      <c r="I87" s="1184">
        <v>0.06</v>
      </c>
      <c r="J87" s="1185">
        <f t="shared" si="24"/>
        <v>0.0078</v>
      </c>
      <c r="K87" s="1185">
        <f t="shared" si="25"/>
        <v>0.0039</v>
      </c>
      <c r="L87" s="1185">
        <v>0</v>
      </c>
      <c r="M87" s="1185">
        <f t="shared" si="26"/>
        <v>-0.0039</v>
      </c>
      <c r="N87" s="1185">
        <f t="shared" si="26"/>
        <v>-0.0078</v>
      </c>
    </row>
    <row r="88" ht="26" spans="1:37">
      <c r="A88" s="1172" t="s">
        <v>2161</v>
      </c>
      <c r="B88" s="1192">
        <f>估价对象房地状况!G20</f>
        <v>0</v>
      </c>
      <c r="C88" s="957" t="s">
        <v>2173</v>
      </c>
      <c r="D88" s="1179">
        <f t="shared" si="22"/>
        <v>0.0156</v>
      </c>
      <c r="E88" s="1198"/>
      <c r="F88" s="1181"/>
      <c r="G88" s="1182">
        <f t="shared" si="27"/>
        <v>0.0078</v>
      </c>
      <c r="H88" s="1183">
        <f t="shared" si="23"/>
        <v>0.0078</v>
      </c>
      <c r="I88" s="1184">
        <v>0.12</v>
      </c>
      <c r="J88" s="1185">
        <f t="shared" si="24"/>
        <v>0.0156</v>
      </c>
      <c r="K88" s="1185">
        <f t="shared" si="25"/>
        <v>0.0078</v>
      </c>
      <c r="L88" s="1185">
        <v>0</v>
      </c>
      <c r="M88" s="1185">
        <f t="shared" si="26"/>
        <v>-0.0078</v>
      </c>
      <c r="N88" s="1185">
        <f t="shared" si="26"/>
        <v>-0.0156</v>
      </c>
    </row>
    <row r="89" ht="26" spans="1:37">
      <c r="A89" s="1172" t="s">
        <v>2158</v>
      </c>
      <c r="B89" s="1190" t="s">
        <v>2174</v>
      </c>
      <c r="C89" s="957" t="s">
        <v>1865</v>
      </c>
      <c r="D89" s="1179">
        <f t="shared" si="22"/>
        <v>0.0039</v>
      </c>
      <c r="E89" s="1198"/>
      <c r="F89" s="1181"/>
      <c r="G89" s="1182">
        <f t="shared" si="27"/>
        <v>0.0039</v>
      </c>
      <c r="H89" s="1183">
        <f t="shared" si="23"/>
        <v>0.0039</v>
      </c>
      <c r="I89" s="1184">
        <v>0.06</v>
      </c>
      <c r="J89" s="1185">
        <f t="shared" si="24"/>
        <v>0.0078</v>
      </c>
      <c r="K89" s="1185">
        <f t="shared" si="25"/>
        <v>0.0039</v>
      </c>
      <c r="L89" s="1185">
        <v>0</v>
      </c>
      <c r="M89" s="1185">
        <f t="shared" si="26"/>
        <v>-0.0039</v>
      </c>
      <c r="N89" s="1185">
        <f t="shared" si="26"/>
        <v>-0.0078</v>
      </c>
    </row>
    <row r="90" ht="14.75" spans="1:37">
      <c r="A90" s="1193" t="s">
        <v>2175</v>
      </c>
      <c r="B90" s="1201">
        <f>估价对象房地状况!G18</f>
        <v>0</v>
      </c>
      <c r="C90" s="957" t="s">
        <v>1865</v>
      </c>
      <c r="D90" s="1179">
        <f t="shared" si="22"/>
        <v>0.0032</v>
      </c>
      <c r="E90" s="1200"/>
      <c r="F90" s="1181"/>
      <c r="G90" s="1182">
        <f t="shared" si="27"/>
        <v>0.0032</v>
      </c>
      <c r="H90" s="1183">
        <f t="shared" si="23"/>
        <v>0.0032</v>
      </c>
      <c r="I90" s="1196">
        <v>0.05</v>
      </c>
      <c r="J90" s="1185">
        <f t="shared" si="24"/>
        <v>0.0064</v>
      </c>
      <c r="K90" s="1185">
        <f t="shared" si="25"/>
        <v>0.0032</v>
      </c>
      <c r="L90" s="1185">
        <v>0</v>
      </c>
      <c r="M90" s="1185">
        <f t="shared" si="26"/>
        <v>-0.0032</v>
      </c>
      <c r="N90" s="1185">
        <f t="shared" si="26"/>
        <v>-0.0064</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2144</v>
      </c>
      <c r="B92" s="1211"/>
      <c r="C92" s="1211" t="s">
        <v>2146</v>
      </c>
      <c r="D92" s="1211" t="s">
        <v>2147</v>
      </c>
      <c r="E92" s="1212" t="s">
        <v>2148</v>
      </c>
      <c r="F92" s="1213" t="s">
        <v>2164</v>
      </c>
      <c r="G92" s="1211" t="s">
        <v>1709</v>
      </c>
      <c r="H92" s="1214" t="s">
        <v>2150</v>
      </c>
      <c r="I92" s="1211" t="s">
        <v>2151</v>
      </c>
      <c r="J92" s="1215" t="s">
        <v>1788</v>
      </c>
      <c r="K92" s="1215" t="s">
        <v>1789</v>
      </c>
      <c r="L92" s="1215" t="s">
        <v>1790</v>
      </c>
      <c r="M92" s="1215" t="s">
        <v>1791</v>
      </c>
      <c r="N92" s="1215" t="s">
        <v>1792</v>
      </c>
    </row>
    <row r="93" ht="26" spans="1:37">
      <c r="A93" s="1188" t="s">
        <v>2176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14" spans="1:37">
      <c r="A94" s="1210" t="s">
        <v>2153</v>
      </c>
      <c r="B94" s="1219">
        <f>估价对象房地状况!C18</f>
        <v>0</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9" spans="1:37">
      <c r="A95" s="1188" t="s">
        <v>2154</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9" spans="1:37">
      <c r="A96" s="1210" t="s">
        <v>2155</v>
      </c>
      <c r="B96" s="1221" t="s">
        <v>2156</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6" spans="1:14">
      <c r="A97" s="1210" t="s">
        <v>2157</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6" spans="1:14">
      <c r="A98" s="1210" t="s">
        <v>2158</v>
      </c>
      <c r="B98" s="1222" t="s">
        <v>2159</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6" spans="1:14">
      <c r="A99" s="1210" t="s">
        <v>2160</v>
      </c>
      <c r="B99" s="1219">
        <f>估价对象房地状况!C21</f>
        <v>0</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6" spans="1:14">
      <c r="A100" s="1210" t="s">
        <v>2161</v>
      </c>
      <c r="B100" s="1219">
        <f>估价对象房地状况!C22</f>
        <v>0</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6.75" spans="1:14">
      <c r="A101" s="1223" t="s">
        <v>2162</v>
      </c>
      <c r="B101" s="1224">
        <f>估价对象房地状况!C20</f>
        <v>0</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ht="13" spans="1:14">
      <c r="A103" s="1226" t="s">
        <v>2177</v>
      </c>
      <c r="B103" s="1226"/>
      <c r="C103" s="1226"/>
      <c r="D103" s="1226"/>
      <c r="E103" s="1226"/>
      <c r="F103" s="1226"/>
      <c r="G103" s="1226"/>
      <c r="H103" s="1226"/>
      <c r="I103" s="1226"/>
      <c r="J103" s="1226"/>
      <c r="K103" s="1226"/>
      <c r="L103" s="1226"/>
      <c r="M103" s="1226"/>
      <c r="N103" s="1226"/>
    </row>
    <row r="104" ht="13" spans="1:14">
      <c r="A104" s="1227" t="s">
        <v>2178</v>
      </c>
      <c r="B104" s="1227" t="s">
        <v>2179</v>
      </c>
      <c r="C104" s="1228" t="s">
        <v>2180</v>
      </c>
      <c r="D104" s="1229"/>
      <c r="E104" s="1229"/>
      <c r="F104" s="1229"/>
      <c r="G104" s="1229"/>
      <c r="H104" s="1229"/>
      <c r="I104" s="1229"/>
      <c r="J104" s="1230"/>
      <c r="K104" s="1231"/>
      <c r="L104" s="1231"/>
      <c r="M104" s="1231"/>
      <c r="N104" s="1231"/>
    </row>
    <row r="105" ht="13" spans="1:14">
      <c r="A105" s="1227"/>
      <c r="B105" s="1227"/>
      <c r="C105" s="1227" t="s">
        <v>2029</v>
      </c>
      <c r="D105" s="1227" t="s">
        <v>2030</v>
      </c>
      <c r="E105" s="1227" t="s">
        <v>2031</v>
      </c>
      <c r="F105" s="1227" t="s">
        <v>2032</v>
      </c>
      <c r="G105" s="1227" t="s">
        <v>2033</v>
      </c>
      <c r="H105" s="1227" t="s">
        <v>2034</v>
      </c>
      <c r="I105" s="1227" t="s">
        <v>2035</v>
      </c>
      <c r="J105" s="1227" t="s">
        <v>2036</v>
      </c>
      <c r="K105" s="1227" t="s">
        <v>2037</v>
      </c>
      <c r="L105" s="1227" t="s">
        <v>2038</v>
      </c>
      <c r="M105" s="1227" t="s">
        <v>2039</v>
      </c>
      <c r="N105" s="1227" t="s">
        <v>2040</v>
      </c>
    </row>
    <row r="106" spans="1:14">
      <c r="A106" s="1232" t="s">
        <v>2181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2045</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ht="13" spans="1:14">
      <c r="A113" s="1236" t="s">
        <v>2182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2183</v>
      </c>
      <c r="B116" s="1239">
        <f>G3</f>
        <v>1.62</v>
      </c>
      <c r="C116" s="1240" t="s">
        <v>2184</v>
      </c>
      <c r="D116" s="1241">
        <f>SUMPRODUCT((A118:A122=F116)*(B117:M117=H116)*B118:M122)</f>
        <v>0.632</v>
      </c>
      <c r="E116" s="855" t="s">
        <v>2005</v>
      </c>
      <c r="F116" s="1242" t="str">
        <f>E2</f>
        <v>工业</v>
      </c>
      <c r="G116" s="855" t="s">
        <v>2006</v>
      </c>
      <c r="H116" s="1242" t="str">
        <f>G2</f>
        <v>七级</v>
      </c>
      <c r="I116" s="855"/>
      <c r="J116" s="1243"/>
      <c r="K116" s="1243"/>
      <c r="L116" s="1243"/>
      <c r="M116" s="1243"/>
      <c r="N116" s="1237"/>
    </row>
    <row r="117" ht="13" spans="1:14">
      <c r="A117" s="1244"/>
      <c r="B117" s="1245" t="s">
        <v>2185</v>
      </c>
      <c r="C117" s="1245" t="s">
        <v>2186</v>
      </c>
      <c r="D117" s="1245" t="s">
        <v>2187</v>
      </c>
      <c r="E117" s="1246" t="s">
        <v>2188</v>
      </c>
      <c r="F117" s="1246" t="s">
        <v>2189</v>
      </c>
      <c r="G117" s="1246" t="s">
        <v>2190</v>
      </c>
      <c r="H117" s="1247" t="s">
        <v>2191</v>
      </c>
      <c r="I117" s="1247" t="s">
        <v>2192</v>
      </c>
      <c r="J117" s="1248" t="s">
        <v>2193</v>
      </c>
      <c r="K117" s="1248" t="s">
        <v>2194</v>
      </c>
      <c r="L117" s="1248" t="s">
        <v>2195</v>
      </c>
      <c r="M117" s="1249" t="s">
        <v>2196</v>
      </c>
      <c r="N117" s="1237"/>
    </row>
    <row r="118" ht="13" spans="1:14">
      <c r="A118" s="1250" t="s">
        <v>2114</v>
      </c>
      <c r="B118" s="1214">
        <f>ROUND(0.9968-0.011*B116,4)</f>
        <v>0.979</v>
      </c>
      <c r="C118" s="1214">
        <f>B118</f>
        <v>0.979</v>
      </c>
      <c r="D118" s="1214">
        <f>ROUND(0.949-0.014*B116,4)</f>
        <v>0.9263</v>
      </c>
      <c r="E118" s="1214">
        <f>D118</f>
        <v>0.9263</v>
      </c>
      <c r="F118" s="1214">
        <f>E118</f>
        <v>0.9263</v>
      </c>
      <c r="G118" s="1214">
        <f>F118</f>
        <v>0.9263</v>
      </c>
      <c r="H118" s="1214">
        <f>G118</f>
        <v>0.9263</v>
      </c>
      <c r="I118" s="1214">
        <f>ROUND(0.8486-0.018*B116,4)</f>
        <v>0.8194</v>
      </c>
      <c r="J118" s="1214">
        <f t="shared" ref="J118:M122" si="36">I118</f>
        <v>0.8194</v>
      </c>
      <c r="K118" s="1214">
        <f t="shared" si="36"/>
        <v>0.8194</v>
      </c>
      <c r="L118" s="1214">
        <f t="shared" si="36"/>
        <v>0.8194</v>
      </c>
      <c r="M118" s="1251">
        <f t="shared" si="36"/>
        <v>0.8194</v>
      </c>
      <c r="N118" s="1237"/>
    </row>
    <row r="119" ht="13" spans="1:14">
      <c r="A119" s="1250" t="s">
        <v>2115</v>
      </c>
      <c r="B119" s="1214">
        <f>ROUND(0.993-0.0112*B116,4)</f>
        <v>0.9749</v>
      </c>
      <c r="C119" s="1214">
        <f>B119</f>
        <v>0.9749</v>
      </c>
      <c r="D119" s="1214">
        <f>ROUND(0.9415-0.0142*B116,4)</f>
        <v>0.9185</v>
      </c>
      <c r="E119" s="1214">
        <f t="shared" ref="E119:H120" si="37">D119</f>
        <v>0.9185</v>
      </c>
      <c r="F119" s="1214">
        <f t="shared" si="37"/>
        <v>0.9185</v>
      </c>
      <c r="G119" s="1214">
        <f t="shared" si="37"/>
        <v>0.9185</v>
      </c>
      <c r="H119" s="1214">
        <f t="shared" si="37"/>
        <v>0.9185</v>
      </c>
      <c r="I119" s="1214">
        <f>ROUND(0.838-0.0182*B116,4)</f>
        <v>0.8085</v>
      </c>
      <c r="J119" s="1214">
        <f t="shared" si="36"/>
        <v>0.8085</v>
      </c>
      <c r="K119" s="1214">
        <f t="shared" si="36"/>
        <v>0.8085</v>
      </c>
      <c r="L119" s="1214">
        <f t="shared" si="36"/>
        <v>0.8085</v>
      </c>
      <c r="M119" s="1251">
        <f t="shared" si="36"/>
        <v>0.8085</v>
      </c>
      <c r="N119" s="1237"/>
    </row>
    <row r="120" ht="13" spans="1:14">
      <c r="A120" s="1250" t="s">
        <v>2116</v>
      </c>
      <c r="B120" s="1214">
        <f>ROUND(0.9448-0.0115*B116,4)</f>
        <v>0.9262</v>
      </c>
      <c r="C120" s="1214">
        <f>B120</f>
        <v>0.9262</v>
      </c>
      <c r="D120" s="1214">
        <f>ROUND(0.937-0.0145*B116,4)</f>
        <v>0.9135</v>
      </c>
      <c r="E120" s="1214">
        <f t="shared" si="37"/>
        <v>0.9135</v>
      </c>
      <c r="F120" s="1214">
        <f t="shared" si="37"/>
        <v>0.9135</v>
      </c>
      <c r="G120" s="1214">
        <f t="shared" si="37"/>
        <v>0.9135</v>
      </c>
      <c r="H120" s="1214">
        <f t="shared" si="37"/>
        <v>0.9135</v>
      </c>
      <c r="I120" s="1214">
        <f>ROUND(0.7965-0.0185*B116,4)</f>
        <v>0.7665</v>
      </c>
      <c r="J120" s="1214">
        <f t="shared" si="36"/>
        <v>0.7665</v>
      </c>
      <c r="K120" s="1214">
        <f t="shared" si="36"/>
        <v>0.7665</v>
      </c>
      <c r="L120" s="1214">
        <f t="shared" si="36"/>
        <v>0.7665</v>
      </c>
      <c r="M120" s="1251">
        <f t="shared" si="36"/>
        <v>0.7665</v>
      </c>
      <c r="N120" s="1237"/>
    </row>
    <row r="121" ht="13.75" spans="1:14">
      <c r="A121" s="1252" t="s">
        <v>2117</v>
      </c>
      <c r="B121" s="1253">
        <f>ROUND(0.7836-0.012*B116,4)</f>
        <v>0.7642</v>
      </c>
      <c r="C121" s="1253">
        <f>B121</f>
        <v>0.7642</v>
      </c>
      <c r="D121" s="1253">
        <f>ROUND(0.753-0.015*B116,4)</f>
        <v>0.7287</v>
      </c>
      <c r="E121" s="1253">
        <f>D121</f>
        <v>0.7287</v>
      </c>
      <c r="F121" s="1253">
        <f>E121</f>
        <v>0.7287</v>
      </c>
      <c r="G121" s="1253">
        <f>ROUND(0.6612-0.018*B116,4)</f>
        <v>0.632</v>
      </c>
      <c r="H121" s="1253">
        <f>G121</f>
        <v>0.632</v>
      </c>
      <c r="I121" s="1253">
        <f>ROUND(0.5905-0.019*B116,4)</f>
        <v>0.5597</v>
      </c>
      <c r="J121" s="1253">
        <f t="shared" si="36"/>
        <v>0.5597</v>
      </c>
      <c r="K121" s="1253">
        <f t="shared" si="36"/>
        <v>0.5597</v>
      </c>
      <c r="L121" s="1253">
        <f t="shared" si="36"/>
        <v>0.5597</v>
      </c>
      <c r="M121" s="1254">
        <f t="shared" si="36"/>
        <v>0.5597</v>
      </c>
      <c r="N121" s="1237"/>
    </row>
    <row r="122" ht="13" spans="1:14">
      <c r="A122" s="1255" t="s">
        <v>231</v>
      </c>
      <c r="B122" s="1214">
        <f>ROUND(0.9404-0.0106*B116,4)</f>
        <v>0.9232</v>
      </c>
      <c r="C122" s="1214">
        <f>B122</f>
        <v>0.9232</v>
      </c>
      <c r="D122" s="1214">
        <f>ROUND(0.8955-0.0135*B116,4)</f>
        <v>0.8736</v>
      </c>
      <c r="E122" s="1214">
        <f t="shared" ref="E122:H122" si="38">D122</f>
        <v>0.8736</v>
      </c>
      <c r="F122" s="1214">
        <f t="shared" si="38"/>
        <v>0.8736</v>
      </c>
      <c r="G122" s="1214">
        <f t="shared" si="38"/>
        <v>0.8736</v>
      </c>
      <c r="H122" s="1214">
        <f t="shared" si="38"/>
        <v>0.8736</v>
      </c>
      <c r="I122" s="1214">
        <f>ROUND(0.7632-0.0166*B116,4)</f>
        <v>0.7363</v>
      </c>
      <c r="J122" s="1214">
        <f t="shared" si="36"/>
        <v>0.7363</v>
      </c>
      <c r="K122" s="1214">
        <f t="shared" si="36"/>
        <v>0.7363</v>
      </c>
      <c r="L122" s="1214">
        <f t="shared" si="36"/>
        <v>0.7363</v>
      </c>
      <c r="M122" s="1251">
        <f t="shared" si="36"/>
        <v>0.7363</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7</v>
      </c>
    </row>
    <row r="2" ht="18" customHeight="1" spans="1:33">
      <c r="A2" s="421" t="s">
        <v>1105</v>
      </c>
      <c r="B2" s="615">
        <f ca="1">C34</f>
        <v>-4034</v>
      </c>
      <c r="C2" s="726" t="s">
        <v>1916</v>
      </c>
      <c r="D2" s="726"/>
      <c r="E2" s="723"/>
      <c r="F2" s="723"/>
      <c r="G2" s="723"/>
      <c r="H2" s="723"/>
      <c r="I2" s="723"/>
      <c r="J2" s="723"/>
      <c r="K2" s="723"/>
    </row>
    <row r="3" ht="18" customHeight="1" spans="1:33">
      <c r="A3" s="424" t="s">
        <v>1107</v>
      </c>
      <c r="B3" s="615">
        <f ca="1">ROUND(B2*10000/IF(C1="",'数据-汇总表'!E3,INDIRECT("'数据-取费表'!K"&amp;$K$1)),0)</f>
        <v>-2412</v>
      </c>
      <c r="C3" s="726" t="s">
        <v>1917</v>
      </c>
      <c r="D3" s="726"/>
      <c r="E3" s="723"/>
      <c r="F3" s="723"/>
      <c r="G3" s="723"/>
      <c r="H3" s="723"/>
      <c r="I3" s="723"/>
      <c r="J3" s="723"/>
      <c r="K3" s="723"/>
    </row>
    <row r="4" ht="18" customHeight="1" spans="1:33">
      <c r="A4" s="616" t="s">
        <v>1860</v>
      </c>
      <c r="B4" s="613">
        <f ca="1">ROUND(B2*10000/IF(C1="",'数据-汇总表'!D3,INDIRECT("'数据-取费表'!R"&amp;$K$1)),0)</f>
        <v>-4034</v>
      </c>
      <c r="C4" s="727" t="s">
        <v>1108</v>
      </c>
      <c r="D4" s="726"/>
      <c r="E4" s="723"/>
      <c r="F4" s="723"/>
      <c r="G4" s="723"/>
      <c r="H4" s="723"/>
      <c r="I4" s="723"/>
      <c r="J4" s="723"/>
      <c r="K4" s="723"/>
    </row>
    <row r="5" ht="18" customHeight="1" spans="1:33">
      <c r="A5" s="420"/>
      <c r="B5" s="617">
        <f ca="1">ROUND(B2/(IF(C1="",'数据-汇总表'!D3,INDIRECT("'数据-取费表'!R"&amp;$K$1))/666.67),0)</f>
        <v>-269</v>
      </c>
      <c r="C5" s="728" t="s">
        <v>1861</v>
      </c>
      <c r="D5" s="726"/>
      <c r="E5" s="723"/>
      <c r="F5" s="723"/>
      <c r="G5" s="723"/>
      <c r="H5" s="723"/>
      <c r="I5" s="723"/>
      <c r="J5" s="723"/>
      <c r="K5" s="723"/>
    </row>
    <row r="6" s="709" customFormat="1" ht="16.5" customHeight="1" spans="1:33">
      <c r="A6" s="729" t="s">
        <v>2197</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2198</v>
      </c>
      <c r="B11" s="751"/>
      <c r="C11" s="751"/>
      <c r="D11" s="751"/>
      <c r="E11" s="751"/>
      <c r="F11" s="751"/>
      <c r="G11" s="751"/>
      <c r="H11" s="751"/>
      <c r="I11" s="751"/>
      <c r="J11" s="751"/>
      <c r="K11" s="752"/>
    </row>
    <row r="12" s="712" customFormat="1" ht="13.5" customHeight="1" spans="1:33">
      <c r="A12" s="753" t="s">
        <v>991</v>
      </c>
      <c r="B12" s="754" t="s">
        <v>1923</v>
      </c>
      <c r="C12" s="755" t="s">
        <v>1927</v>
      </c>
      <c r="D12" s="756" t="s">
        <v>1928</v>
      </c>
      <c r="E12" s="756" t="s">
        <v>1929</v>
      </c>
      <c r="F12" s="756" t="s">
        <v>1930</v>
      </c>
      <c r="G12" s="757" t="s">
        <v>1112</v>
      </c>
      <c r="H12" s="758"/>
      <c r="I12" s="758"/>
      <c r="J12" s="758"/>
      <c r="K12" s="759"/>
    </row>
    <row r="13" s="712" customFormat="1" ht="13.5" customHeight="1" spans="1:33">
      <c r="A13" s="733">
        <v>1</v>
      </c>
      <c r="B13" s="760" t="s">
        <v>2199</v>
      </c>
      <c r="C13" s="761">
        <f>SUM(C10:K10)</f>
        <v>0</v>
      </c>
      <c r="D13" s="762"/>
      <c r="E13" s="762"/>
      <c r="F13" s="763"/>
      <c r="G13" s="764"/>
      <c r="H13" s="765"/>
      <c r="I13" s="765"/>
      <c r="J13" s="765"/>
      <c r="K13" s="766"/>
    </row>
    <row r="14" s="712" customFormat="1" ht="13.5" customHeight="1" spans="1:33">
      <c r="A14" s="733">
        <v>2</v>
      </c>
      <c r="B14" s="767" t="s">
        <v>2200</v>
      </c>
      <c r="C14" s="761">
        <v>0</v>
      </c>
      <c r="D14" s="767"/>
      <c r="E14" s="767"/>
      <c r="F14" s="768">
        <v>0</v>
      </c>
      <c r="G14" s="769" t="s">
        <v>2201</v>
      </c>
      <c r="H14" s="765"/>
      <c r="I14" s="765"/>
      <c r="J14" s="765"/>
      <c r="K14" s="766"/>
    </row>
    <row r="15" s="713" customFormat="1" ht="13.5" customHeight="1" spans="1:33">
      <c r="A15" s="733">
        <v>3</v>
      </c>
      <c r="B15" s="770" t="s">
        <v>2202</v>
      </c>
      <c r="C15" s="660">
        <f ca="1">C32-C33</f>
        <v>4034</v>
      </c>
      <c r="D15" s="770"/>
      <c r="E15" s="771"/>
      <c r="F15" s="772"/>
      <c r="G15" s="773" t="s">
        <v>1206</v>
      </c>
      <c r="H15" s="774"/>
      <c r="I15" s="774"/>
      <c r="J15" s="774"/>
      <c r="K15" s="775"/>
    </row>
    <row r="16" s="713" customFormat="1" ht="13.5" customHeight="1" spans="1:33">
      <c r="A16" s="776" t="s">
        <v>2099</v>
      </c>
      <c r="B16" s="777" t="s">
        <v>1186</v>
      </c>
      <c r="C16" s="778">
        <f ca="1">SUM(C17:C22)</f>
        <v>4347</v>
      </c>
      <c r="D16" s="777"/>
      <c r="E16" s="777"/>
      <c r="F16" s="779"/>
      <c r="G16" s="780"/>
      <c r="H16" s="765"/>
      <c r="I16" s="765"/>
      <c r="J16" s="765"/>
      <c r="K16" s="766"/>
    </row>
    <row r="17" s="713" customFormat="1" ht="13.5" customHeight="1" spans="1:33">
      <c r="A17" s="781" t="s">
        <v>2203</v>
      </c>
      <c r="B17" s="782" t="s">
        <v>1124</v>
      </c>
      <c r="C17" s="783">
        <f ca="1">IF(C1="",'数据-取费表'!M16,INDIRECT("'数据-取费表'!M"&amp;$K$1)+INDIRECT("'数据-取费表'!ap"&amp;$K$1))</f>
        <v>3847</v>
      </c>
      <c r="D17" s="784"/>
      <c r="E17" s="785"/>
      <c r="F17" s="786"/>
      <c r="G17" s="787"/>
      <c r="H17" s="765"/>
      <c r="I17" s="765"/>
      <c r="J17" s="765"/>
      <c r="K17" s="766"/>
    </row>
    <row r="18" s="713" customFormat="1" ht="13.5" customHeight="1" spans="1:33">
      <c r="A18" s="781" t="s">
        <v>2204</v>
      </c>
      <c r="B18" s="788" t="s">
        <v>1126</v>
      </c>
      <c r="C18" s="783">
        <f ca="1">ROUND(C17*F18,0)</f>
        <v>115</v>
      </c>
      <c r="D18" s="777"/>
      <c r="E18" s="777"/>
      <c r="F18" s="789">
        <f>'数据-取费表'!B33</f>
        <v>0.03</v>
      </c>
      <c r="G18" s="780"/>
      <c r="H18" s="765"/>
      <c r="I18" s="765"/>
      <c r="J18" s="765"/>
      <c r="K18" s="766"/>
    </row>
    <row r="19" s="713" customFormat="1" ht="13.5" customHeight="1" spans="1:33">
      <c r="A19" s="781" t="s">
        <v>2205</v>
      </c>
      <c r="B19" s="790" t="s">
        <v>1129</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2206</v>
      </c>
      <c r="B20" s="790" t="s">
        <v>2207</v>
      </c>
      <c r="C20" s="783">
        <f ca="1">ROUND(D20*E20/10000,0)</f>
        <v>309</v>
      </c>
      <c r="D20" s="793">
        <f ca="1">IF(C1="",'数据-汇总表'!E3,INDIRECT("'数据-取费表'!K"&amp;$K$1)+INDIRECT("'数据-取费表'!S"&amp;$K$1))</f>
        <v>16724.51</v>
      </c>
      <c r="E20" s="794">
        <f>'数据-取费表'!B35</f>
        <v>185</v>
      </c>
      <c r="F20" s="793"/>
      <c r="G20" s="792"/>
      <c r="H20" s="765"/>
      <c r="I20" s="765"/>
      <c r="J20" s="774"/>
      <c r="K20" s="775"/>
    </row>
    <row r="21" s="713" customFormat="1" ht="13.5" customHeight="1" spans="1:33">
      <c r="A21" s="781" t="s">
        <v>2208</v>
      </c>
      <c r="B21" s="795" t="s">
        <v>1148</v>
      </c>
      <c r="C21" s="783">
        <f ca="1">ROUND(C17*F21,0)</f>
        <v>38</v>
      </c>
      <c r="D21" s="791"/>
      <c r="E21" s="791"/>
      <c r="F21" s="789">
        <f>'数据-取费表'!B36</f>
        <v>0.01</v>
      </c>
      <c r="G21" s="792"/>
      <c r="H21" s="796"/>
      <c r="I21" s="796"/>
      <c r="J21" s="796"/>
      <c r="K21" s="797"/>
    </row>
    <row r="22" s="713" customFormat="1" ht="13.5" customHeight="1" spans="1:33">
      <c r="A22" s="781" t="s">
        <v>2209</v>
      </c>
      <c r="B22" s="795" t="s">
        <v>1151</v>
      </c>
      <c r="C22" s="783">
        <f ca="1">ROUND(C17*F22,0)</f>
        <v>38</v>
      </c>
      <c r="D22" s="791"/>
      <c r="E22" s="791"/>
      <c r="F22" s="789">
        <f>'数据-取费表'!B37</f>
        <v>0.01</v>
      </c>
      <c r="G22" s="792"/>
      <c r="H22" s="796"/>
      <c r="I22" s="796"/>
      <c r="J22" s="796"/>
      <c r="K22" s="797"/>
    </row>
    <row r="23" s="714" customFormat="1" ht="13.5" customHeight="1" spans="1:33">
      <c r="A23" s="776" t="s">
        <v>2104</v>
      </c>
      <c r="B23" s="777" t="s">
        <v>1982</v>
      </c>
      <c r="C23" s="798">
        <f ca="1">ROUND(C16*F23,0)</f>
        <v>130</v>
      </c>
      <c r="D23" s="799"/>
      <c r="E23" s="799"/>
      <c r="F23" s="800">
        <f>'数据-取费表'!B38</f>
        <v>0.03</v>
      </c>
      <c r="G23" s="801" t="s">
        <v>2210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2211</v>
      </c>
      <c r="B24" s="777" t="s">
        <v>1985</v>
      </c>
      <c r="C24" s="798" t="str">
        <f>F24&amp;"V建"</f>
        <v>0.03V建</v>
      </c>
      <c r="D24" s="799"/>
      <c r="E24" s="799"/>
      <c r="F24" s="800">
        <f>'数据-取费表'!B39</f>
        <v>0.03</v>
      </c>
      <c r="G24" s="801" t="s">
        <v>2212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2213</v>
      </c>
      <c r="B25" s="777" t="s">
        <v>1159</v>
      </c>
      <c r="C25" s="802" t="str">
        <f ca="1">C26&amp;"+"&amp;C27&amp;"V建"</f>
        <v>102+0.0007V建</v>
      </c>
      <c r="D25" s="803"/>
      <c r="E25" s="803"/>
      <c r="F25" s="789">
        <f ca="1">'数据-取费表'!B41</f>
        <v>0.0306</v>
      </c>
      <c r="G25" s="804" t="s">
        <v>2214</v>
      </c>
      <c r="H25" s="805"/>
      <c r="I25" s="805"/>
      <c r="J25" s="805"/>
      <c r="K25" s="806"/>
    </row>
    <row r="26" s="714" customFormat="1" ht="13.5" customHeight="1" spans="1:33">
      <c r="A26" s="781" t="s">
        <v>2203</v>
      </c>
      <c r="B26" s="795" t="s">
        <v>2215</v>
      </c>
      <c r="C26" s="802">
        <f ca="1">ROUND(IF('数据-取费表'!B20&lt;=1,(C16+C23)*F25*'数据-取费表'!B20/2,(C23+C16)*(POWER((1+F25),'数据-取费表'!B20/2)-1)),0)</f>
        <v>102</v>
      </c>
      <c r="D26" s="803"/>
      <c r="E26" s="803"/>
      <c r="F26" s="793"/>
      <c r="G26" s="804" t="s">
        <v>2216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2204</v>
      </c>
      <c r="B27" s="795" t="s">
        <v>2217</v>
      </c>
      <c r="C27" s="807">
        <f ca="1">ROUND(IF('数据-取费表'!B20&lt;=1,F24*F25*'数据-取费表'!B20/2,F24*(POWER((1+F23),'数据-取费表'!B20/2)-1)),4)</f>
        <v>0.0007</v>
      </c>
      <c r="D27" s="808"/>
      <c r="E27" s="808"/>
      <c r="F27" s="786"/>
      <c r="G27" s="809"/>
      <c r="H27" s="765"/>
      <c r="I27" s="765"/>
      <c r="J27" s="765"/>
      <c r="K27" s="766"/>
    </row>
    <row r="28" s="713" customFormat="1" ht="13.5" customHeight="1" spans="1:33">
      <c r="A28" s="776" t="s">
        <v>1950</v>
      </c>
      <c r="B28" s="777" t="s">
        <v>1167</v>
      </c>
      <c r="C28" s="810" t="str">
        <f ca="1">C29&amp;"+"&amp;C30&amp;"V建"</f>
        <v>358+0.0024V建</v>
      </c>
      <c r="D28" s="811"/>
      <c r="E28" s="811"/>
      <c r="F28" s="812">
        <f ca="1">IF(C1="",'数据-取费表'!Q16,INDIRECT("'数据-取费表'!q"&amp;$K$1))</f>
        <v>0.08</v>
      </c>
      <c r="G28" s="813" t="s">
        <v>2218</v>
      </c>
      <c r="H28" s="765"/>
      <c r="I28" s="765"/>
      <c r="J28" s="765"/>
      <c r="K28" s="766"/>
    </row>
    <row r="29" s="713" customFormat="1" ht="13.5" customHeight="1" spans="1:33">
      <c r="A29" s="781" t="s">
        <v>2203</v>
      </c>
      <c r="B29" s="795" t="s">
        <v>2219</v>
      </c>
      <c r="C29" s="814">
        <f ca="1">ROUND((C16+C23)*F28,0)</f>
        <v>358</v>
      </c>
      <c r="D29" s="811"/>
      <c r="E29" s="811"/>
      <c r="F29" s="815"/>
      <c r="G29" s="813"/>
      <c r="H29" s="816"/>
      <c r="I29" s="816"/>
      <c r="J29" s="816"/>
      <c r="K29" s="817"/>
    </row>
    <row r="30" s="715" customFormat="1" ht="13.5" customHeight="1" spans="1:33">
      <c r="A30" s="781" t="s">
        <v>2204</v>
      </c>
      <c r="B30" s="795" t="s">
        <v>2220</v>
      </c>
      <c r="C30" s="783">
        <f ca="1">ROUND(F24*F28,4)</f>
        <v>0.0024</v>
      </c>
      <c r="D30" s="818"/>
      <c r="E30" s="803"/>
      <c r="F30" s="793"/>
      <c r="G30" s="819"/>
      <c r="H30" s="774"/>
      <c r="I30" s="774"/>
      <c r="J30" s="774"/>
      <c r="K30" s="775"/>
    </row>
    <row r="31" s="715" customFormat="1" ht="13.5" customHeight="1" spans="1:33">
      <c r="A31" s="776" t="s">
        <v>1951</v>
      </c>
      <c r="B31" s="777" t="s">
        <v>1984</v>
      </c>
      <c r="C31" s="783">
        <v>0</v>
      </c>
      <c r="D31" s="820"/>
      <c r="E31" s="821"/>
      <c r="F31" s="793"/>
      <c r="G31" s="822" t="s">
        <v>1198</v>
      </c>
      <c r="H31" s="774"/>
      <c r="I31" s="774"/>
      <c r="J31" s="774"/>
      <c r="K31" s="775"/>
    </row>
    <row r="32" s="713" customFormat="1" ht="13.5" customHeight="1" spans="1:33">
      <c r="A32" s="776" t="s">
        <v>1199</v>
      </c>
      <c r="B32" s="777" t="s">
        <v>2221</v>
      </c>
      <c r="C32" s="778">
        <f ca="1">ROUND((C16+C23+C26+C29)/(1-F24-C27-C30),0)</f>
        <v>5106</v>
      </c>
      <c r="D32" s="820"/>
      <c r="E32" s="821"/>
      <c r="F32" s="793"/>
      <c r="G32" s="823" t="s">
        <v>1201</v>
      </c>
      <c r="H32" s="824"/>
      <c r="I32" s="824"/>
      <c r="J32" s="824"/>
      <c r="K32" s="825"/>
    </row>
    <row r="33" s="716" customFormat="1" ht="13.5" customHeight="1" spans="1:11">
      <c r="A33" s="776" t="s">
        <v>1202</v>
      </c>
      <c r="B33" s="826" t="s">
        <v>1175</v>
      </c>
      <c r="C33" s="827">
        <f ca="1">ROUND(C32*(1-F33),0)</f>
        <v>1072</v>
      </c>
      <c r="D33" s="828"/>
      <c r="E33" s="808"/>
      <c r="F33" s="800">
        <f>IF('数据-取费表'!B24=0,'数据-取费表'!N16,1)</f>
        <v>0.79</v>
      </c>
      <c r="G33" s="773" t="s">
        <v>1203</v>
      </c>
      <c r="H33" s="816"/>
      <c r="I33" s="816"/>
      <c r="J33" s="816"/>
      <c r="K33" s="817"/>
    </row>
    <row r="34" s="712" customFormat="1" ht="15.75" spans="1:11">
      <c r="A34" s="829">
        <v>4</v>
      </c>
      <c r="B34" s="830" t="s">
        <v>2222</v>
      </c>
      <c r="C34" s="831">
        <f ca="1">C13-C15</f>
        <v>-4034</v>
      </c>
      <c r="D34" s="830"/>
      <c r="E34" s="830"/>
      <c r="F34" s="832"/>
      <c r="G34" s="833" t="s">
        <v>2223</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13" customWidth="1"/>
    <col min="2" max="2" width="37.2545454545455" style="4713" customWidth="1"/>
    <col min="3" max="3" width="11.3727272727273" style="4713" customWidth="1"/>
    <col min="4" max="4" width="31.7545454545455" style="4713" customWidth="1"/>
    <col min="5" max="5" width="0.5" style="4713" customWidth="1"/>
    <col min="6" max="7" width="13" style="4713" customWidth="1"/>
    <col min="8" max="16384" width="9" style="4713"/>
  </cols>
  <sheetData>
    <row r="1" ht="1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估价结果一览表（市场价值不需“结果表-1”）</v>
      </c>
      <c r="B3" s="4717"/>
      <c r="C3" s="4717"/>
      <c r="D3" s="4717"/>
      <c r="E3" s="4717"/>
    </row>
    <row r="4" ht="18.75" spans="1:5">
      <c r="A4" s="4717"/>
      <c r="B4" s="4718" t="s">
        <v>95</v>
      </c>
      <c r="C4" s="4718"/>
      <c r="D4" s="4718"/>
      <c r="E4" s="4717"/>
    </row>
    <row r="5" ht="16.25" spans="1:5">
      <c r="A5" s="4715"/>
      <c r="B5" s="4719" t="s">
        <v>96</v>
      </c>
      <c r="C5" s="4720" t="s">
        <v>97</v>
      </c>
      <c r="D5" s="4721">
        <f ca="1">结果表!H101</f>
        <v>12495</v>
      </c>
      <c r="E5" s="4715"/>
    </row>
    <row r="6" ht="15" spans="1:5">
      <c r="A6" s="4715"/>
      <c r="B6" s="4719"/>
      <c r="C6" s="4720" t="s">
        <v>98</v>
      </c>
      <c r="D6" s="4721" t="str">
        <f ca="1">NUMBERSTRING(INT(D5*10000),2)&amp;"元整"</f>
        <v>壹亿贰仟肆佰玖拾伍万元整</v>
      </c>
      <c r="E6" s="4715"/>
    </row>
    <row r="7" ht="15.5" spans="1:5">
      <c r="A7" s="4715"/>
      <c r="B7" s="4722"/>
      <c r="C7" s="4723" t="s">
        <v>99</v>
      </c>
      <c r="D7" s="4724">
        <f ca="1">结果表!H102</f>
        <v>7471</v>
      </c>
      <c r="E7" s="4715"/>
    </row>
    <row r="8" ht="15.5" spans="1:5">
      <c r="A8" s="4715"/>
      <c r="B8" s="4725" t="str">
        <f>结果表!E103</f>
        <v>2.估价师知悉的法定优先受偿款</v>
      </c>
      <c r="C8" s="4726" t="s">
        <v>100</v>
      </c>
      <c r="D8" s="4724">
        <f>结果表!H103</f>
        <v>0</v>
      </c>
      <c r="E8" s="4715"/>
    </row>
    <row r="9" ht="15" spans="1:5">
      <c r="A9" s="4715"/>
      <c r="B9" s="4727"/>
      <c r="C9" s="4720" t="s">
        <v>98</v>
      </c>
      <c r="D9" s="4721" t="str">
        <f>NUMBERSTRING(INT(D8*10000),2)&amp;"元整"</f>
        <v>零元整</v>
      </c>
      <c r="E9" s="4715"/>
    </row>
    <row r="10" ht="15.5" spans="1:5">
      <c r="A10" s="4715"/>
      <c r="B10" s="4728" t="s">
        <v>101</v>
      </c>
      <c r="C10" s="4729" t="s">
        <v>102</v>
      </c>
      <c r="D10" s="4730">
        <f>结果表!H104</f>
        <v>0</v>
      </c>
      <c r="E10" s="4715"/>
    </row>
    <row r="11" ht="15.5" spans="1:5">
      <c r="A11" s="4715"/>
      <c r="B11" s="4728" t="s">
        <v>103</v>
      </c>
      <c r="C11" s="4729" t="s">
        <v>102</v>
      </c>
      <c r="D11" s="4730">
        <f>结果表!H105</f>
        <v>0</v>
      </c>
      <c r="E11" s="4715"/>
    </row>
    <row r="12" ht="15.5" spans="1:5">
      <c r="A12" s="4715"/>
      <c r="B12" s="4728" t="s">
        <v>104</v>
      </c>
      <c r="C12" s="4729" t="s">
        <v>102</v>
      </c>
      <c r="D12" s="4730">
        <f>结果表!H106</f>
        <v>0</v>
      </c>
      <c r="E12" s="4715"/>
    </row>
    <row r="13" ht="15.5" spans="1:5">
      <c r="A13" s="4715"/>
      <c r="B13" s="4731" t="str">
        <f>结果表!E107</f>
        <v>3.房地产抵押价值</v>
      </c>
      <c r="C13" s="4732" t="s">
        <v>97</v>
      </c>
      <c r="D13" s="4733">
        <f ca="1">结果表!H107</f>
        <v>12495</v>
      </c>
      <c r="E13" s="4715"/>
    </row>
    <row r="14" ht="15" spans="1:5">
      <c r="A14" s="4715"/>
      <c r="B14" s="4719"/>
      <c r="C14" s="4720" t="s">
        <v>98</v>
      </c>
      <c r="D14" s="4721" t="str">
        <f ca="1">NUMBERSTRING(INT(D13*10000),2)&amp;"元整"</f>
        <v>壹亿贰仟肆佰玖拾伍万元整</v>
      </c>
      <c r="E14" s="4715"/>
    </row>
    <row r="15" ht="15.5" spans="1:5">
      <c r="A15" s="4715"/>
      <c r="B15" s="4722"/>
      <c r="C15" s="4723" t="s">
        <v>99</v>
      </c>
      <c r="D15" s="4734">
        <f ca="1">结果表!H108</f>
        <v>7471</v>
      </c>
      <c r="E15" s="4715"/>
    </row>
    <row r="16" ht="15" spans="1:5">
      <c r="A16" s="4715"/>
      <c r="B16" s="4725" t="str">
        <f>结果表!E109</f>
        <v>——</v>
      </c>
      <c r="C16" s="4732" t="s">
        <v>97</v>
      </c>
      <c r="D16" s="4735" t="str">
        <f ca="1">结果表!H109</f>
        <v>——</v>
      </c>
      <c r="E16" s="4715"/>
    </row>
    <row r="17" ht="15.5" spans="1:5">
      <c r="A17" s="4715"/>
      <c r="B17" s="4736"/>
      <c r="C17" s="4720" t="s">
        <v>98</v>
      </c>
      <c r="D17" s="4721" t="e">
        <f ca="1">NUMBERSTRING(INT(D16*10000),2)&amp;"元整"</f>
        <v>#VALUE!</v>
      </c>
      <c r="E17" s="4715"/>
    </row>
    <row r="18" ht="15.5" spans="1:5">
      <c r="A18" s="4715"/>
      <c r="B18" s="4727"/>
      <c r="C18" s="4723" t="s">
        <v>99</v>
      </c>
      <c r="D18" s="4734" t="str">
        <f ca="1">结果表!H110</f>
        <v>——</v>
      </c>
      <c r="E18" s="4715"/>
    </row>
    <row r="19" ht="15.5" spans="1:5">
      <c r="A19" s="4715"/>
      <c r="B19" s="4731" t="str">
        <f>结果表!E111</f>
        <v>——</v>
      </c>
      <c r="C19" s="4732" t="s">
        <v>97</v>
      </c>
      <c r="D19" s="4724" t="str">
        <f ca="1">结果表!H111</f>
        <v>——</v>
      </c>
      <c r="E19" s="4715"/>
    </row>
    <row r="20" ht="15.5" spans="1:5">
      <c r="A20" s="4715"/>
      <c r="B20" s="4719"/>
      <c r="C20" s="4720" t="s">
        <v>98</v>
      </c>
      <c r="D20" s="4721" t="e">
        <f ca="1">NUMBERSTRING(INT(D19*10000),2)&amp;"元整"</f>
        <v>#VALUE!</v>
      </c>
      <c r="E20" s="4715"/>
    </row>
    <row r="21" ht="16.25" spans="1:5">
      <c r="A21" s="4715"/>
      <c r="B21" s="4737"/>
      <c r="C21" s="4738" t="s">
        <v>99</v>
      </c>
      <c r="D21" s="4739" t="str">
        <f ca="1">结果表!H112</f>
        <v>——</v>
      </c>
      <c r="E21" s="4715"/>
    </row>
    <row r="22" ht="14.75" spans="1:5">
      <c r="A22" s="4715"/>
      <c r="B22" s="4740" t="s">
        <v>105</v>
      </c>
      <c r="C22" s="4715"/>
      <c r="D22" s="4715"/>
      <c r="E22" s="4715"/>
    </row>
    <row r="23" spans="1:5">
      <c r="A23" s="4715"/>
      <c r="B23" s="4715"/>
      <c r="C23" s="4715"/>
      <c r="D23" s="4715"/>
      <c r="E23" s="4715"/>
    </row>
    <row r="24" ht="1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1105</v>
      </c>
      <c r="B2" s="613">
        <f ca="1">C34</f>
        <v>897</v>
      </c>
      <c r="C2" s="420" t="s">
        <v>1106</v>
      </c>
      <c r="D2" s="420"/>
      <c r="E2" s="614"/>
      <c r="F2" s="420"/>
      <c r="G2" s="420"/>
    </row>
    <row r="3" s="409" customFormat="1" ht="15.5" spans="1:7">
      <c r="A3" s="424" t="s">
        <v>1107</v>
      </c>
      <c r="B3" s="615">
        <f ca="1">ROUND(B2*10000/(IF(C1="",'数据-汇总表'!E3,INDIRECT("'数据-取费表'!k"&amp;$G$1))),0)</f>
        <v>536</v>
      </c>
      <c r="C3" s="420" t="s">
        <v>1108</v>
      </c>
      <c r="D3" s="420"/>
      <c r="E3" s="614"/>
      <c r="F3" s="420"/>
      <c r="G3" s="420"/>
    </row>
    <row r="4" s="409" customFormat="1" ht="15.5" spans="1:7">
      <c r="A4" s="616" t="s">
        <v>1860</v>
      </c>
      <c r="B4" s="613">
        <f ca="1">ROUND(B2*10000/'数据-汇总表'!D3,0)</f>
        <v>897</v>
      </c>
      <c r="C4" s="421" t="s">
        <v>1108</v>
      </c>
      <c r="D4" s="420"/>
      <c r="E4" s="614"/>
      <c r="F4" s="420"/>
      <c r="G4" s="420"/>
    </row>
    <row r="5" s="409" customFormat="1" ht="16.25" spans="1:7">
      <c r="A5" s="420"/>
      <c r="B5" s="617">
        <f ca="1">ROUND(B2/('数据-汇总表'!D3/666.67),0)</f>
        <v>60</v>
      </c>
      <c r="C5" s="618" t="s">
        <v>1861</v>
      </c>
      <c r="D5" s="420"/>
      <c r="E5" s="614"/>
      <c r="F5" s="420"/>
      <c r="G5" s="420"/>
    </row>
    <row r="6" s="409" customFormat="1" ht="15.5" spans="1:7">
      <c r="A6" s="619" t="s">
        <v>991</v>
      </c>
      <c r="B6" s="620" t="s">
        <v>992</v>
      </c>
      <c r="C6" s="621" t="s">
        <v>733</v>
      </c>
      <c r="D6" s="622" t="s">
        <v>1109</v>
      </c>
      <c r="E6" s="623" t="s">
        <v>1110</v>
      </c>
      <c r="F6" s="623" t="s">
        <v>1111</v>
      </c>
      <c r="G6" s="624" t="s">
        <v>1112</v>
      </c>
    </row>
    <row r="7" s="410" customFormat="1" ht="15.5" spans="1:7">
      <c r="A7" s="625" t="s">
        <v>1113</v>
      </c>
      <c r="B7" s="626" t="s">
        <v>2224</v>
      </c>
      <c r="C7" s="627">
        <f>IF(G7="征收国有地",C8,IF(G7="征收集体地",C11,C17))</f>
        <v>0</v>
      </c>
      <c r="D7" s="628"/>
      <c r="E7" s="628"/>
      <c r="F7" s="628"/>
      <c r="G7" s="629"/>
    </row>
    <row r="8" s="411" customFormat="1" ht="13" spans="1:7">
      <c r="A8" s="630" t="s">
        <v>1216</v>
      </c>
      <c r="B8" s="631" t="s">
        <v>2225</v>
      </c>
      <c r="C8" s="632">
        <f>C9+C10</f>
        <v>0</v>
      </c>
      <c r="D8" s="633"/>
      <c r="E8" s="633"/>
      <c r="F8" s="633"/>
      <c r="G8" s="634"/>
    </row>
    <row r="9" s="411" customFormat="1" ht="13" spans="1:7">
      <c r="A9" s="635" t="s">
        <v>1118</v>
      </c>
      <c r="B9" s="636" t="s">
        <v>2226</v>
      </c>
      <c r="C9" s="637">
        <f>ROUND(D9*E9/10000,0)</f>
        <v>0</v>
      </c>
      <c r="D9" s="638"/>
      <c r="E9" s="638"/>
      <c r="F9" s="633"/>
      <c r="G9" s="639"/>
    </row>
    <row r="10" s="411" customFormat="1" ht="13" spans="1:7">
      <c r="A10" s="635" t="s">
        <v>1120</v>
      </c>
      <c r="B10" s="636" t="s">
        <v>2227</v>
      </c>
      <c r="C10" s="637">
        <f>ROUND(D10*E10/10000,0)</f>
        <v>0</v>
      </c>
      <c r="D10" s="638"/>
      <c r="E10" s="638"/>
      <c r="F10" s="633"/>
      <c r="G10" s="639"/>
    </row>
    <row r="11" s="411" customFormat="1" ht="14" spans="1:7">
      <c r="A11" s="640" t="s">
        <v>1122</v>
      </c>
      <c r="B11" s="641" t="s">
        <v>2228</v>
      </c>
      <c r="C11" s="470">
        <f>C12+C15+C16</f>
        <v>0</v>
      </c>
      <c r="D11" s="633"/>
      <c r="E11" s="633"/>
      <c r="F11" s="633"/>
      <c r="G11" s="639"/>
    </row>
    <row r="12" s="411" customFormat="1" ht="13" spans="1:7">
      <c r="A12" s="635" t="s">
        <v>1118</v>
      </c>
      <c r="B12" s="636" t="s">
        <v>2229</v>
      </c>
      <c r="C12" s="636">
        <f>C13+C14</f>
        <v>0</v>
      </c>
      <c r="D12" s="642"/>
      <c r="E12" s="642"/>
      <c r="F12" s="633"/>
      <c r="G12" s="643" t="s">
        <v>2230</v>
      </c>
    </row>
    <row r="13" s="411" customFormat="1" ht="13" spans="1:7">
      <c r="A13" s="644" t="s">
        <v>1133</v>
      </c>
      <c r="B13" s="645" t="s">
        <v>2231</v>
      </c>
      <c r="C13" s="637">
        <f>ROUND(D13*E13/10000,0)</f>
        <v>0</v>
      </c>
      <c r="D13" s="638"/>
      <c r="E13" s="638"/>
      <c r="F13" s="633"/>
      <c r="G13" s="646" t="s">
        <v>2232</v>
      </c>
    </row>
    <row r="14" s="411" customFormat="1" ht="13" spans="1:7">
      <c r="A14" s="644" t="s">
        <v>1141</v>
      </c>
      <c r="B14" s="645" t="s">
        <v>2233</v>
      </c>
      <c r="C14" s="638">
        <v>0</v>
      </c>
      <c r="D14" s="642"/>
      <c r="E14" s="642"/>
      <c r="F14" s="633"/>
      <c r="G14" s="646"/>
    </row>
    <row r="15" s="411" customFormat="1" ht="13" spans="1:7">
      <c r="A15" s="635" t="s">
        <v>1120</v>
      </c>
      <c r="B15" s="636" t="s">
        <v>2234</v>
      </c>
      <c r="C15" s="637">
        <f t="shared" ref="C15" si="0">ROUND(D15*E15/10000,0)</f>
        <v>0</v>
      </c>
      <c r="D15" s="638"/>
      <c r="E15" s="638"/>
      <c r="F15" s="633"/>
      <c r="G15" s="646" t="s">
        <v>2235</v>
      </c>
    </row>
    <row r="16" s="411" customFormat="1" ht="13" spans="1:7">
      <c r="A16" s="635" t="s">
        <v>2236</v>
      </c>
      <c r="B16" s="647" t="s">
        <v>2237</v>
      </c>
      <c r="C16" s="637">
        <f>C13*F16</f>
        <v>0</v>
      </c>
      <c r="D16" s="638"/>
      <c r="E16" s="638"/>
      <c r="F16" s="648">
        <v>0.25</v>
      </c>
      <c r="G16" s="649" t="s">
        <v>2238</v>
      </c>
    </row>
    <row r="17" s="411" customFormat="1" ht="14" spans="1:9">
      <c r="A17" s="640" t="s">
        <v>2054</v>
      </c>
      <c r="B17" s="631" t="s">
        <v>2239</v>
      </c>
      <c r="C17" s="650">
        <f>C18+C19</f>
        <v>0</v>
      </c>
      <c r="D17" s="651"/>
      <c r="E17" s="652"/>
      <c r="F17" s="653"/>
      <c r="G17" s="654"/>
    </row>
    <row r="18" s="411" customFormat="1" ht="13" spans="1:9">
      <c r="A18" s="655" t="s">
        <v>1118</v>
      </c>
      <c r="B18" s="647" t="s">
        <v>1119</v>
      </c>
      <c r="C18" s="656"/>
      <c r="D18" s="657"/>
      <c r="E18" s="652"/>
      <c r="F18" s="658"/>
      <c r="G18" s="659" t="s">
        <v>2240</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1313</v>
      </c>
      <c r="B20" s="626" t="s">
        <v>2241</v>
      </c>
      <c r="C20" s="660">
        <f ca="1">C21+C24+C25</f>
        <v>977</v>
      </c>
      <c r="D20" s="661"/>
      <c r="E20" s="662"/>
      <c r="F20" s="663"/>
      <c r="G20" s="664"/>
    </row>
    <row r="21" s="412" customFormat="1" ht="14" spans="1:9">
      <c r="A21" s="665" t="s">
        <v>1116</v>
      </c>
      <c r="B21" s="666" t="s">
        <v>1134</v>
      </c>
      <c r="C21" s="632">
        <f ca="1">IF(G21="已包含在土地购买价格中","0",IF(C1="",'数据-取费表'!B29,IF(G22="全部缴纳",C22+C23,H22)))</f>
        <v>334</v>
      </c>
      <c r="D21" s="667"/>
      <c r="E21" s="668"/>
      <c r="F21" s="669"/>
      <c r="G21" s="670"/>
    </row>
    <row r="22" s="411" customFormat="1" ht="13" spans="1:9">
      <c r="A22" s="671" t="s">
        <v>2203</v>
      </c>
      <c r="B22" s="672" t="s">
        <v>1137</v>
      </c>
      <c r="C22" s="673">
        <f ca="1">ROUND(D22*E22/10000,0)</f>
        <v>0</v>
      </c>
      <c r="D22" s="674">
        <f ca="1">IF(C1="",'数据-汇总表'!E5,IF(INDIRECT("'数据-取费表'!c"&amp;$G$1)="住宅",INDIRECT("'数据-取费表'!k"&amp;$G$1),0))</f>
        <v>0</v>
      </c>
      <c r="E22" s="674">
        <f>'数据-取费表'!B27</f>
        <v>0</v>
      </c>
      <c r="F22" s="653"/>
      <c r="G22" s="675"/>
      <c r="H22" s="676"/>
      <c r="I22" s="677" t="s">
        <v>1138</v>
      </c>
    </row>
    <row r="23" s="411" customFormat="1" ht="13" spans="1:9">
      <c r="A23" s="671" t="s">
        <v>2204</v>
      </c>
      <c r="B23" s="672" t="s">
        <v>1140</v>
      </c>
      <c r="C23" s="673">
        <f ca="1">ROUND(D23*E23/10000,0)</f>
        <v>334</v>
      </c>
      <c r="D23" s="674">
        <f ca="1">IF(C1="",'数据-汇总表'!E6,IF(INDIRECT("'数据-取费表'!c"&amp;$G$1)="住宅",INDIRECT("'数据-取费表'!s"&amp;$G$1),INDIRECT("'数据-取费表'!k"&amp;$G$1)+INDIRECT("'数据-取费表'!s"&amp;$G$1)))</f>
        <v>16724.51</v>
      </c>
      <c r="E23" s="674">
        <f>'数据-取费表'!B28</f>
        <v>200</v>
      </c>
      <c r="F23" s="653"/>
      <c r="G23" s="678"/>
    </row>
    <row r="24" s="411" customFormat="1" ht="14" spans="1:9">
      <c r="A24" s="640" t="s">
        <v>1122</v>
      </c>
      <c r="B24" s="679" t="s">
        <v>1238</v>
      </c>
      <c r="C24" s="632">
        <f ca="1">IF(G24="已包含在土地取得成本中","0",ROUND(D24*E24/10000,0))</f>
        <v>334</v>
      </c>
      <c r="D24" s="680">
        <f ca="1">D22+D23</f>
        <v>16724.51</v>
      </c>
      <c r="E24" s="680">
        <f>'数据-取费表'!B31</f>
        <v>200</v>
      </c>
      <c r="F24" s="681"/>
      <c r="G24" s="670"/>
    </row>
    <row r="25" s="411" customFormat="1" ht="14" spans="1:9">
      <c r="A25" s="640" t="s">
        <v>2054</v>
      </c>
      <c r="B25" s="679" t="s">
        <v>2242</v>
      </c>
      <c r="C25" s="632">
        <f ca="1">ROUND(E25*D25/10000,0)</f>
        <v>309</v>
      </c>
      <c r="D25" s="680">
        <f ca="1">D24</f>
        <v>16724.51</v>
      </c>
      <c r="E25" s="680">
        <f>'数据-取费表'!B35</f>
        <v>185</v>
      </c>
      <c r="F25" s="669"/>
      <c r="G25" s="682"/>
    </row>
    <row r="26" s="410" customFormat="1" ht="15.5" spans="1:9">
      <c r="A26" s="625" t="s">
        <v>1177</v>
      </c>
      <c r="B26" s="626" t="s">
        <v>2243</v>
      </c>
      <c r="C26" s="613">
        <f>C27+C28</f>
        <v>0</v>
      </c>
      <c r="D26" s="683"/>
      <c r="E26" s="683"/>
      <c r="F26" s="669"/>
      <c r="G26" s="684"/>
    </row>
    <row r="27" s="411" customFormat="1" ht="13" spans="1:9">
      <c r="A27" s="630" t="s">
        <v>1216</v>
      </c>
      <c r="B27" s="685" t="s">
        <v>2244</v>
      </c>
      <c r="C27" s="632">
        <f>ROUND(E27*D27/10000,0)</f>
        <v>0</v>
      </c>
      <c r="D27" s="686"/>
      <c r="E27" s="687">
        <v>25</v>
      </c>
      <c r="F27" s="669"/>
      <c r="G27" s="649" t="s">
        <v>2245</v>
      </c>
    </row>
    <row r="28" s="411" customFormat="1" ht="13" spans="1:9">
      <c r="A28" s="688" t="s">
        <v>1122</v>
      </c>
      <c r="B28" s="685" t="s">
        <v>2246</v>
      </c>
      <c r="C28" s="632">
        <f>ROUND(E28*D28/10000,0)</f>
        <v>0</v>
      </c>
      <c r="D28" s="686"/>
      <c r="E28" s="687">
        <v>60.1</v>
      </c>
      <c r="F28" s="669"/>
      <c r="G28" s="649" t="s">
        <v>2247</v>
      </c>
    </row>
    <row r="29" s="608" customFormat="1" ht="15.5" spans="1:9">
      <c r="A29" s="625" t="s">
        <v>1339</v>
      </c>
      <c r="B29" s="626" t="s">
        <v>1632</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5" spans="1:9">
      <c r="A30" s="625" t="s">
        <v>1347</v>
      </c>
      <c r="B30" s="626" t="s">
        <v>1987</v>
      </c>
      <c r="C30" s="694">
        <f ca="1">ROUND((C7+C20+C26)*F30,0)</f>
        <v>78</v>
      </c>
      <c r="D30" s="690"/>
      <c r="E30" s="691"/>
      <c r="F30" s="695">
        <f ca="1">IF(C1="",'数据-取费表'!Q16,INDIRECT("'数据-取费表'!q"&amp;$G$1))</f>
        <v>0.08</v>
      </c>
      <c r="G30" s="693"/>
    </row>
    <row r="31" s="411" customFormat="1" ht="15.5" spans="1:9">
      <c r="A31" s="696" t="s">
        <v>1352</v>
      </c>
      <c r="B31" s="626" t="s">
        <v>2248</v>
      </c>
      <c r="C31" s="627">
        <f ca="1">C7+C20+C29+C30</f>
        <v>1055</v>
      </c>
      <c r="D31" s="697"/>
      <c r="E31" s="697"/>
      <c r="F31" s="698"/>
      <c r="G31" s="699" t="s">
        <v>2249</v>
      </c>
    </row>
    <row r="32" s="411" customFormat="1" ht="15.5" spans="1:9">
      <c r="A32" s="696" t="s">
        <v>2250</v>
      </c>
      <c r="B32" s="626" t="s">
        <v>2251</v>
      </c>
      <c r="C32" s="700">
        <f ca="1">ROUND(C31*F32,0)</f>
        <v>106</v>
      </c>
      <c r="D32" s="460"/>
      <c r="E32" s="461"/>
      <c r="F32" s="701">
        <v>0.1</v>
      </c>
      <c r="G32" s="702"/>
    </row>
    <row r="33" s="411" customFormat="1" ht="15.5" spans="1:7">
      <c r="A33" s="703">
        <v>8</v>
      </c>
      <c r="B33" s="626" t="s">
        <v>2252</v>
      </c>
      <c r="C33" s="627">
        <f ca="1">C31+C32</f>
        <v>1161</v>
      </c>
      <c r="D33" s="697"/>
      <c r="E33" s="697"/>
      <c r="F33" s="704"/>
      <c r="G33" s="699" t="s">
        <v>2253</v>
      </c>
    </row>
    <row r="34" s="412" customFormat="1" ht="16.25" spans="1:7">
      <c r="A34" s="705">
        <v>9</v>
      </c>
      <c r="B34" s="706" t="s">
        <v>2254</v>
      </c>
      <c r="C34" s="627">
        <f ca="1">ROUND(C33*F34,0)</f>
        <v>897</v>
      </c>
      <c r="D34" s="707"/>
      <c r="E34" s="707"/>
      <c r="F34" s="708">
        <f>'数据-取费表'!AS16</f>
        <v>0.773</v>
      </c>
      <c r="G34" s="699" t="s">
        <v>2255</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2078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2257</v>
      </c>
      <c r="B18" s="557"/>
      <c r="C18" s="558"/>
      <c r="D18" s="558"/>
      <c r="E18" s="557"/>
      <c r="F18" s="558"/>
      <c r="G18" s="558"/>
    </row>
    <row r="19" customHeight="1" spans="1:13">
      <c r="A19" s="559" t="s">
        <v>2258</v>
      </c>
      <c r="B19" s="560" t="s">
        <v>2259</v>
      </c>
      <c r="C19" s="560" t="s">
        <v>2260</v>
      </c>
      <c r="D19" s="561"/>
      <c r="E19" s="559" t="s">
        <v>2261</v>
      </c>
      <c r="F19" s="562"/>
      <c r="G19" s="562"/>
    </row>
    <row r="20" customHeight="1" spans="1:13">
      <c r="A20" s="563" t="s">
        <v>229</v>
      </c>
      <c r="B20" s="564" t="s">
        <v>2262</v>
      </c>
      <c r="C20" s="564" t="s">
        <v>244</v>
      </c>
      <c r="D20" s="564"/>
      <c r="E20" s="565">
        <v>1</v>
      </c>
      <c r="F20" s="566" t="s">
        <v>2263</v>
      </c>
      <c r="G20" s="566"/>
    </row>
    <row r="21" customHeight="1" spans="1:13">
      <c r="A21" s="567"/>
      <c r="B21" s="568"/>
      <c r="C21" s="568" t="s">
        <v>259</v>
      </c>
      <c r="D21" s="568"/>
      <c r="E21" s="569">
        <v>1</v>
      </c>
      <c r="F21" s="566" t="s">
        <v>2264</v>
      </c>
      <c r="G21" s="566"/>
    </row>
    <row r="22" customHeight="1" spans="1:13">
      <c r="A22" s="567"/>
      <c r="B22" s="568"/>
      <c r="C22" s="568" t="s">
        <v>270</v>
      </c>
      <c r="D22" s="568"/>
      <c r="E22" s="569">
        <v>0.9</v>
      </c>
      <c r="F22" s="566" t="s">
        <v>2265</v>
      </c>
      <c r="G22" s="566"/>
    </row>
    <row r="23" customHeight="1" spans="1:13">
      <c r="A23" s="567"/>
      <c r="B23" s="568"/>
      <c r="C23" s="568" t="s">
        <v>281</v>
      </c>
      <c r="D23" s="568"/>
      <c r="E23" s="569">
        <v>0.9</v>
      </c>
      <c r="F23" s="566" t="s">
        <v>2266</v>
      </c>
      <c r="G23" s="566"/>
    </row>
    <row r="24" customHeight="1" spans="1:13">
      <c r="A24" s="567"/>
      <c r="B24" s="568"/>
      <c r="C24" s="568" t="s">
        <v>290</v>
      </c>
      <c r="D24" s="568"/>
      <c r="E24" s="569">
        <v>0.8</v>
      </c>
      <c r="F24" s="566" t="s">
        <v>2267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2268</v>
      </c>
      <c r="G27" s="566"/>
    </row>
    <row r="28" customHeight="1" spans="1:13">
      <c r="A28" s="575" t="s">
        <v>230</v>
      </c>
      <c r="B28" s="576" t="s">
        <v>2262</v>
      </c>
      <c r="C28" s="577" t="s">
        <v>245</v>
      </c>
      <c r="D28" s="578"/>
      <c r="E28" s="579">
        <v>1</v>
      </c>
      <c r="F28" s="566" t="s">
        <v>2269</v>
      </c>
      <c r="G28" s="566"/>
    </row>
    <row r="29" customHeight="1" spans="1:13">
      <c r="A29" s="580" t="s">
        <v>231</v>
      </c>
      <c r="B29" s="581" t="s">
        <v>231</v>
      </c>
      <c r="C29" s="582" t="s">
        <v>246</v>
      </c>
      <c r="D29" s="583"/>
      <c r="E29" s="565">
        <v>1</v>
      </c>
      <c r="F29" s="566" t="s">
        <v>2270</v>
      </c>
      <c r="G29" s="566"/>
    </row>
    <row r="30" customHeight="1" spans="1:13">
      <c r="A30" s="584"/>
      <c r="B30" s="585"/>
      <c r="C30" s="586" t="s">
        <v>260</v>
      </c>
      <c r="D30" s="587"/>
      <c r="E30" s="569">
        <v>1</v>
      </c>
      <c r="F30" s="566" t="s">
        <v>2271</v>
      </c>
      <c r="G30" s="566"/>
    </row>
    <row r="31" customHeight="1" spans="1:13">
      <c r="A31" s="584"/>
      <c r="B31" s="585"/>
      <c r="C31" s="586" t="s">
        <v>271</v>
      </c>
      <c r="D31" s="587"/>
      <c r="E31" s="569">
        <v>0.8</v>
      </c>
      <c r="F31" s="566" t="s">
        <v>2272</v>
      </c>
      <c r="G31" s="566"/>
    </row>
    <row r="32" customHeight="1" spans="1:13">
      <c r="A32" s="584"/>
      <c r="B32" s="585"/>
      <c r="C32" s="586" t="s">
        <v>282</v>
      </c>
      <c r="D32" s="587"/>
      <c r="E32" s="569">
        <v>0.8</v>
      </c>
      <c r="F32" s="566" t="s">
        <v>2273</v>
      </c>
      <c r="G32" s="566"/>
    </row>
    <row r="33" customHeight="1" spans="1:7">
      <c r="A33" s="584"/>
      <c r="B33" s="585"/>
      <c r="C33" s="586" t="s">
        <v>291</v>
      </c>
      <c r="D33" s="587"/>
      <c r="E33" s="569">
        <v>0.8</v>
      </c>
      <c r="F33" s="566" t="s">
        <v>2274</v>
      </c>
      <c r="G33" s="566"/>
    </row>
    <row r="34" customHeight="1" spans="1:7">
      <c r="A34" s="584"/>
      <c r="B34" s="585"/>
      <c r="C34" s="586" t="s">
        <v>299</v>
      </c>
      <c r="D34" s="587"/>
      <c r="E34" s="569">
        <v>0.7</v>
      </c>
      <c r="F34" s="566" t="s">
        <v>2275</v>
      </c>
      <c r="G34" s="566"/>
    </row>
    <row r="35" customHeight="1" spans="1:7">
      <c r="A35" s="584"/>
      <c r="B35" s="585"/>
      <c r="C35" s="586" t="s">
        <v>307</v>
      </c>
      <c r="D35" s="587"/>
      <c r="E35" s="569">
        <v>0.8</v>
      </c>
      <c r="F35" s="566" t="s">
        <v>2276</v>
      </c>
      <c r="G35" s="566"/>
    </row>
    <row r="36" customHeight="1" spans="1:7">
      <c r="A36" s="584"/>
      <c r="B36" s="585"/>
      <c r="C36" s="586" t="s">
        <v>314</v>
      </c>
      <c r="D36" s="587"/>
      <c r="E36" s="569">
        <v>0.6</v>
      </c>
      <c r="F36" s="566" t="s">
        <v>2277</v>
      </c>
      <c r="G36" s="566"/>
    </row>
    <row r="37" customHeight="1" spans="1:7">
      <c r="A37" s="584"/>
      <c r="B37" s="585"/>
      <c r="C37" s="586" t="s">
        <v>320</v>
      </c>
      <c r="D37" s="587"/>
      <c r="E37" s="569">
        <v>0.2</v>
      </c>
      <c r="F37" s="566" t="s">
        <v>2278</v>
      </c>
      <c r="G37" s="566"/>
    </row>
    <row r="38" customHeight="1" spans="1:7">
      <c r="A38" s="584"/>
      <c r="B38" s="585"/>
      <c r="C38" s="586" t="s">
        <v>326</v>
      </c>
      <c r="D38" s="587"/>
      <c r="E38" s="569">
        <v>0.2</v>
      </c>
      <c r="F38" s="566" t="s">
        <v>2279</v>
      </c>
      <c r="G38" s="566"/>
    </row>
    <row r="39" customHeight="1" spans="1:7">
      <c r="A39" s="584"/>
      <c r="B39" s="588" t="s">
        <v>2280</v>
      </c>
      <c r="C39" s="586" t="s">
        <v>332</v>
      </c>
      <c r="D39" s="587"/>
      <c r="E39" s="569">
        <v>0.6</v>
      </c>
      <c r="F39" s="566" t="s">
        <v>2281</v>
      </c>
      <c r="G39" s="566"/>
    </row>
    <row r="40" customHeight="1" spans="1:7">
      <c r="A40" s="584"/>
      <c r="B40" s="585"/>
      <c r="C40" s="586" t="s">
        <v>338</v>
      </c>
      <c r="D40" s="587"/>
      <c r="E40" s="569">
        <v>0.6</v>
      </c>
      <c r="F40" s="566" t="s">
        <v>2282</v>
      </c>
      <c r="G40" s="566"/>
    </row>
    <row r="41" customHeight="1" spans="1:7">
      <c r="A41" s="575"/>
      <c r="B41" s="576"/>
      <c r="C41" s="589" t="s">
        <v>342</v>
      </c>
      <c r="D41" s="590"/>
      <c r="E41" s="574">
        <v>0.6</v>
      </c>
      <c r="F41" s="566" t="s">
        <v>2283</v>
      </c>
      <c r="G41" s="566"/>
    </row>
    <row r="42" customHeight="1" spans="1:7">
      <c r="A42" s="591" t="s">
        <v>232</v>
      </c>
      <c r="B42" s="592" t="s">
        <v>232</v>
      </c>
      <c r="C42" s="593" t="s">
        <v>247</v>
      </c>
      <c r="D42" s="594"/>
      <c r="E42" s="595">
        <v>1</v>
      </c>
      <c r="F42" s="566" t="s">
        <v>2284</v>
      </c>
      <c r="G42" s="566"/>
    </row>
    <row r="43" customHeight="1" spans="1:7">
      <c r="A43" s="563" t="s">
        <v>233</v>
      </c>
      <c r="B43" s="581" t="s">
        <v>2285</v>
      </c>
      <c r="C43" s="582" t="s">
        <v>248</v>
      </c>
      <c r="D43" s="583"/>
      <c r="E43" s="565">
        <v>1</v>
      </c>
      <c r="F43" s="566" t="s">
        <v>2286</v>
      </c>
      <c r="G43" s="566"/>
    </row>
    <row r="44" customHeight="1" spans="1:7">
      <c r="A44" s="567"/>
      <c r="B44" s="585"/>
      <c r="C44" s="586" t="s">
        <v>261</v>
      </c>
      <c r="D44" s="587"/>
      <c r="E44" s="569">
        <v>1</v>
      </c>
      <c r="F44" s="566" t="s">
        <v>2287</v>
      </c>
      <c r="G44" s="566"/>
    </row>
    <row r="45" customHeight="1" spans="1:7">
      <c r="A45" s="567"/>
      <c r="B45" s="596"/>
      <c r="C45" s="586" t="s">
        <v>272</v>
      </c>
      <c r="D45" s="587"/>
      <c r="E45" s="569">
        <v>1.5</v>
      </c>
      <c r="F45" s="566" t="s">
        <v>2288</v>
      </c>
      <c r="G45" s="566"/>
    </row>
    <row r="46" customHeight="1" spans="1:7">
      <c r="A46" s="567"/>
      <c r="B46" s="568" t="s">
        <v>231</v>
      </c>
      <c r="C46" s="586" t="s">
        <v>283</v>
      </c>
      <c r="D46" s="587"/>
      <c r="E46" s="569">
        <v>2</v>
      </c>
      <c r="F46" s="566" t="s">
        <v>2289</v>
      </c>
      <c r="G46" s="566"/>
    </row>
    <row r="47" customHeight="1" spans="1:7">
      <c r="A47" s="567"/>
      <c r="B47" s="588" t="s">
        <v>2290</v>
      </c>
      <c r="C47" s="586" t="s">
        <v>292</v>
      </c>
      <c r="D47" s="587"/>
      <c r="E47" s="569">
        <v>1</v>
      </c>
      <c r="F47" s="566" t="s">
        <v>2291</v>
      </c>
      <c r="G47" s="566"/>
    </row>
    <row r="48" customHeight="1" spans="1:7">
      <c r="A48" s="567"/>
      <c r="B48" s="585"/>
      <c r="C48" s="586" t="s">
        <v>300</v>
      </c>
      <c r="D48" s="587"/>
      <c r="E48" s="569">
        <v>1</v>
      </c>
      <c r="F48" s="566" t="s">
        <v>2292</v>
      </c>
      <c r="G48" s="566"/>
    </row>
    <row r="49" customHeight="1" spans="1:7">
      <c r="A49" s="567"/>
      <c r="B49" s="585"/>
      <c r="C49" s="586" t="s">
        <v>308</v>
      </c>
      <c r="D49" s="587"/>
      <c r="E49" s="569">
        <v>1</v>
      </c>
      <c r="F49" s="566" t="s">
        <v>2293</v>
      </c>
      <c r="G49" s="566"/>
    </row>
    <row r="50" customHeight="1" spans="1:7">
      <c r="A50" s="567"/>
      <c r="B50" s="585"/>
      <c r="C50" s="586" t="s">
        <v>315</v>
      </c>
      <c r="D50" s="587"/>
      <c r="E50" s="569">
        <v>1</v>
      </c>
      <c r="F50" s="566" t="s">
        <v>2294</v>
      </c>
      <c r="G50" s="566"/>
    </row>
    <row r="51" customHeight="1" spans="1:7">
      <c r="A51" s="567"/>
      <c r="B51" s="585"/>
      <c r="C51" s="586" t="s">
        <v>321</v>
      </c>
      <c r="D51" s="587"/>
      <c r="E51" s="569">
        <v>1</v>
      </c>
      <c r="F51" s="566" t="s">
        <v>2295</v>
      </c>
      <c r="G51" s="566"/>
    </row>
    <row r="52" customHeight="1" spans="1:7">
      <c r="A52" s="567"/>
      <c r="B52" s="585"/>
      <c r="C52" s="586" t="s">
        <v>327</v>
      </c>
      <c r="D52" s="587"/>
      <c r="E52" s="569">
        <v>1</v>
      </c>
      <c r="F52" s="566" t="s">
        <v>2296</v>
      </c>
      <c r="G52" s="566"/>
    </row>
    <row r="53" customHeight="1" spans="1:7">
      <c r="A53" s="571"/>
      <c r="B53" s="576"/>
      <c r="C53" s="589" t="s">
        <v>333</v>
      </c>
      <c r="D53" s="590"/>
      <c r="E53" s="574">
        <v>1</v>
      </c>
      <c r="F53" s="566" t="s">
        <v>2297</v>
      </c>
      <c r="G53" s="566"/>
    </row>
    <row r="54" customHeight="1" spans="1:7">
      <c r="A54" s="597"/>
      <c r="B54" s="597"/>
      <c r="C54" s="597"/>
      <c r="D54" s="597"/>
      <c r="E54" s="597"/>
      <c r="F54" s="597"/>
      <c r="G54" s="597"/>
    </row>
    <row r="56" customHeight="1" spans="1:7">
      <c r="A56" s="598"/>
      <c r="B56" s="555" t="s">
        <v>611</v>
      </c>
      <c r="C56" s="555" t="s">
        <v>611</v>
      </c>
      <c r="D56" s="555" t="s">
        <v>611</v>
      </c>
      <c r="E56" s="559" t="s">
        <v>611</v>
      </c>
      <c r="F56" s="559" t="s">
        <v>2298</v>
      </c>
      <c r="G56" s="559" t="s">
        <v>611</v>
      </c>
    </row>
    <row r="57" customHeight="1" spans="1:7">
      <c r="A57" s="599"/>
      <c r="B57" s="559" t="s">
        <v>229</v>
      </c>
      <c r="C57" s="559" t="s">
        <v>229</v>
      </c>
      <c r="D57" s="559" t="s">
        <v>229</v>
      </c>
      <c r="E57" s="555" t="s">
        <v>230</v>
      </c>
      <c r="F57" s="555" t="s">
        <v>233</v>
      </c>
      <c r="G57" s="555" t="s">
        <v>1842</v>
      </c>
    </row>
    <row r="58" customHeight="1" spans="1:7">
      <c r="A58" s="600"/>
      <c r="B58" s="550">
        <v>1</v>
      </c>
      <c r="C58" s="550">
        <v>2</v>
      </c>
      <c r="D58" s="550">
        <v>3</v>
      </c>
      <c r="E58" s="601" t="s">
        <v>2299</v>
      </c>
      <c r="F58" s="601" t="s">
        <v>2299</v>
      </c>
      <c r="G58" s="601" t="s">
        <v>2299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2300</v>
      </c>
      <c r="E72" s="605"/>
      <c r="F72" s="605"/>
    </row>
    <row r="73" customHeight="1" spans="1:7">
      <c r="A73" s="568" t="s">
        <v>991</v>
      </c>
      <c r="B73" s="568" t="s">
        <v>2301</v>
      </c>
      <c r="C73" s="568" t="s">
        <v>2302</v>
      </c>
      <c r="D73" s="568" t="s">
        <v>2303</v>
      </c>
      <c r="E73" s="568" t="s">
        <v>2304</v>
      </c>
      <c r="F73" s="568" t="s">
        <v>2305</v>
      </c>
    </row>
    <row r="74" ht="14" spans="1:7">
      <c r="A74" s="568"/>
      <c r="B74" s="568"/>
      <c r="C74" s="568" t="s">
        <v>2306</v>
      </c>
      <c r="D74" s="568"/>
      <c r="E74" s="568" t="s">
        <v>124</v>
      </c>
      <c r="F74" s="568" t="s">
        <v>124</v>
      </c>
    </row>
    <row r="75" ht="14" spans="1:7">
      <c r="A75" s="568">
        <v>1</v>
      </c>
      <c r="B75" s="588" t="s">
        <v>2307</v>
      </c>
      <c r="C75" s="555" t="s">
        <v>2308</v>
      </c>
      <c r="D75" s="555" t="s">
        <v>2309</v>
      </c>
      <c r="E75" s="606">
        <v>0.2</v>
      </c>
      <c r="F75" s="607">
        <v>25</v>
      </c>
    </row>
    <row r="76" ht="26" spans="1:7">
      <c r="A76" s="568">
        <v>2</v>
      </c>
      <c r="B76" s="585"/>
      <c r="C76" s="555" t="s">
        <v>2310</v>
      </c>
      <c r="D76" s="555" t="s">
        <v>2311</v>
      </c>
      <c r="E76" s="606">
        <v>0.2</v>
      </c>
      <c r="F76" s="607">
        <v>25</v>
      </c>
    </row>
    <row r="77" ht="26" spans="1:7">
      <c r="A77" s="568">
        <v>3</v>
      </c>
      <c r="B77" s="585"/>
      <c r="C77" s="555" t="s">
        <v>2312</v>
      </c>
      <c r="D77" s="555" t="s">
        <v>2313</v>
      </c>
      <c r="E77" s="606">
        <v>0.2</v>
      </c>
      <c r="F77" s="607">
        <v>25</v>
      </c>
    </row>
    <row r="78" ht="14" spans="1:7">
      <c r="A78" s="568">
        <v>4</v>
      </c>
      <c r="B78" s="585"/>
      <c r="C78" s="555" t="s">
        <v>2314</v>
      </c>
      <c r="D78" s="555" t="s">
        <v>2315</v>
      </c>
      <c r="E78" s="606">
        <v>0.15</v>
      </c>
      <c r="F78" s="607">
        <v>20</v>
      </c>
    </row>
    <row r="79" ht="26" spans="1:7">
      <c r="A79" s="568">
        <v>5</v>
      </c>
      <c r="B79" s="585"/>
      <c r="C79" s="555" t="s">
        <v>2316</v>
      </c>
      <c r="D79" s="555" t="s">
        <v>2317</v>
      </c>
      <c r="E79" s="606">
        <v>0.15</v>
      </c>
      <c r="F79" s="607">
        <v>20</v>
      </c>
    </row>
    <row r="80" ht="26" spans="1:7">
      <c r="A80" s="568">
        <v>6</v>
      </c>
      <c r="B80" s="585"/>
      <c r="C80" s="555" t="s">
        <v>2318</v>
      </c>
      <c r="D80" s="555" t="s">
        <v>2319</v>
      </c>
      <c r="E80" s="606">
        <v>0.15</v>
      </c>
      <c r="F80" s="607">
        <v>20</v>
      </c>
    </row>
    <row r="81" ht="26" spans="1:6">
      <c r="A81" s="568">
        <v>7</v>
      </c>
      <c r="B81" s="585"/>
      <c r="C81" s="555" t="s">
        <v>2320</v>
      </c>
      <c r="D81" s="555" t="s">
        <v>2321</v>
      </c>
      <c r="E81" s="606">
        <v>0.15</v>
      </c>
      <c r="F81" s="607">
        <v>20</v>
      </c>
    </row>
    <row r="82" ht="26" spans="1:6">
      <c r="A82" s="568">
        <v>8</v>
      </c>
      <c r="B82" s="585"/>
      <c r="C82" s="555" t="s">
        <v>2322</v>
      </c>
      <c r="D82" s="555" t="s">
        <v>2323</v>
      </c>
      <c r="E82" s="606">
        <v>0.1</v>
      </c>
      <c r="F82" s="607">
        <v>15</v>
      </c>
    </row>
    <row r="83" ht="26" spans="1:6">
      <c r="A83" s="568">
        <v>9</v>
      </c>
      <c r="B83" s="585"/>
      <c r="C83" s="555" t="s">
        <v>2324</v>
      </c>
      <c r="D83" s="555" t="s">
        <v>2325</v>
      </c>
      <c r="E83" s="606">
        <v>0.1</v>
      </c>
      <c r="F83" s="607">
        <v>15</v>
      </c>
    </row>
    <row r="84" ht="26" spans="1:6">
      <c r="A84" s="568">
        <v>10</v>
      </c>
      <c r="B84" s="585"/>
      <c r="C84" s="555" t="s">
        <v>2326</v>
      </c>
      <c r="D84" s="555" t="s">
        <v>2327</v>
      </c>
      <c r="E84" s="606">
        <v>0.1</v>
      </c>
      <c r="F84" s="607">
        <v>15</v>
      </c>
    </row>
    <row r="85" ht="26" spans="1:6">
      <c r="A85" s="568">
        <v>11</v>
      </c>
      <c r="B85" s="585"/>
      <c r="C85" s="555" t="s">
        <v>2328</v>
      </c>
      <c r="D85" s="555" t="s">
        <v>2329</v>
      </c>
      <c r="E85" s="606">
        <v>0.1</v>
      </c>
      <c r="F85" s="607">
        <v>15</v>
      </c>
    </row>
    <row r="86" ht="26" spans="1:6">
      <c r="A86" s="568">
        <v>12</v>
      </c>
      <c r="B86" s="585"/>
      <c r="C86" s="555" t="s">
        <v>2330</v>
      </c>
      <c r="D86" s="555" t="s">
        <v>2331</v>
      </c>
      <c r="E86" s="606">
        <v>0.1</v>
      </c>
      <c r="F86" s="607">
        <v>15</v>
      </c>
    </row>
    <row r="87" ht="14" spans="1:6">
      <c r="A87" s="568">
        <v>13</v>
      </c>
      <c r="B87" s="585"/>
      <c r="C87" s="555" t="s">
        <v>2332</v>
      </c>
      <c r="D87" s="555" t="s">
        <v>2333</v>
      </c>
      <c r="E87" s="606">
        <v>0.1</v>
      </c>
      <c r="F87" s="607">
        <v>15</v>
      </c>
    </row>
    <row r="88" ht="14" spans="1:6">
      <c r="A88" s="568">
        <v>14</v>
      </c>
      <c r="B88" s="585"/>
      <c r="C88" s="555" t="s">
        <v>2334</v>
      </c>
      <c r="D88" s="555" t="s">
        <v>2335</v>
      </c>
      <c r="E88" s="606">
        <v>0.1</v>
      </c>
      <c r="F88" s="607">
        <v>15</v>
      </c>
    </row>
    <row r="89" ht="14" spans="1:6">
      <c r="A89" s="568">
        <v>15</v>
      </c>
      <c r="B89" s="585"/>
      <c r="C89" s="555" t="s">
        <v>2336</v>
      </c>
      <c r="D89" s="555" t="s">
        <v>2337</v>
      </c>
      <c r="E89" s="606">
        <v>0.1</v>
      </c>
      <c r="F89" s="607">
        <v>15</v>
      </c>
    </row>
    <row r="90" ht="26" spans="1:6">
      <c r="A90" s="568">
        <v>16</v>
      </c>
      <c r="B90" s="585"/>
      <c r="C90" s="555" t="s">
        <v>2338</v>
      </c>
      <c r="D90" s="555" t="s">
        <v>2339</v>
      </c>
      <c r="E90" s="606">
        <v>0.1</v>
      </c>
      <c r="F90" s="607">
        <v>15</v>
      </c>
    </row>
    <row r="91" ht="26" spans="1:6">
      <c r="A91" s="568">
        <v>17</v>
      </c>
      <c r="B91" s="596"/>
      <c r="C91" s="555" t="s">
        <v>2340</v>
      </c>
      <c r="D91" s="555" t="s">
        <v>2341</v>
      </c>
      <c r="E91" s="606">
        <v>0.1</v>
      </c>
      <c r="F91" s="607">
        <v>15</v>
      </c>
    </row>
    <row r="92" ht="14" spans="1:6">
      <c r="A92" s="568">
        <v>18</v>
      </c>
      <c r="B92" s="588" t="s">
        <v>2342</v>
      </c>
      <c r="C92" s="555" t="s">
        <v>2343</v>
      </c>
      <c r="D92" s="555" t="s">
        <v>2344</v>
      </c>
      <c r="E92" s="606">
        <v>0.2</v>
      </c>
      <c r="F92" s="607">
        <v>25</v>
      </c>
    </row>
    <row r="93" ht="26" spans="1:6">
      <c r="A93" s="568">
        <v>19</v>
      </c>
      <c r="B93" s="585"/>
      <c r="C93" s="555" t="s">
        <v>2345</v>
      </c>
      <c r="D93" s="555" t="s">
        <v>2346</v>
      </c>
      <c r="E93" s="606">
        <v>0.2</v>
      </c>
      <c r="F93" s="607">
        <v>25</v>
      </c>
    </row>
    <row r="94" ht="14" spans="1:6">
      <c r="A94" s="568">
        <v>20</v>
      </c>
      <c r="B94" s="585"/>
      <c r="C94" s="555" t="s">
        <v>2347</v>
      </c>
      <c r="D94" s="555" t="s">
        <v>2348</v>
      </c>
      <c r="E94" s="606">
        <v>0.15</v>
      </c>
      <c r="F94" s="607">
        <v>20</v>
      </c>
    </row>
    <row r="95" ht="26" spans="1:6">
      <c r="A95" s="568">
        <v>21</v>
      </c>
      <c r="B95" s="585"/>
      <c r="C95" s="555" t="s">
        <v>2349</v>
      </c>
      <c r="D95" s="555" t="s">
        <v>2350</v>
      </c>
      <c r="E95" s="606">
        <v>0.15</v>
      </c>
      <c r="F95" s="607">
        <v>20</v>
      </c>
    </row>
    <row r="96" ht="26" spans="1:6">
      <c r="A96" s="568">
        <v>22</v>
      </c>
      <c r="B96" s="585"/>
      <c r="C96" s="555" t="s">
        <v>2351</v>
      </c>
      <c r="D96" s="555" t="s">
        <v>2352</v>
      </c>
      <c r="E96" s="606">
        <v>0.15</v>
      </c>
      <c r="F96" s="607">
        <v>20</v>
      </c>
    </row>
    <row r="97" ht="39" spans="1:6">
      <c r="A97" s="568">
        <v>23</v>
      </c>
      <c r="B97" s="585"/>
      <c r="C97" s="555" t="s">
        <v>2353</v>
      </c>
      <c r="D97" s="555" t="s">
        <v>2354</v>
      </c>
      <c r="E97" s="606">
        <v>0.15</v>
      </c>
      <c r="F97" s="607">
        <v>20</v>
      </c>
    </row>
    <row r="98" ht="14" spans="1:6">
      <c r="A98" s="568">
        <v>24</v>
      </c>
      <c r="B98" s="585"/>
      <c r="C98" s="555" t="s">
        <v>2355</v>
      </c>
      <c r="D98" s="555" t="s">
        <v>2356</v>
      </c>
      <c r="E98" s="606">
        <v>0.1</v>
      </c>
      <c r="F98" s="607">
        <v>15</v>
      </c>
    </row>
    <row r="99" ht="26" spans="1:6">
      <c r="A99" s="568">
        <v>25</v>
      </c>
      <c r="B99" s="585"/>
      <c r="C99" s="555" t="s">
        <v>2357</v>
      </c>
      <c r="D99" s="555" t="s">
        <v>2358</v>
      </c>
      <c r="E99" s="606">
        <v>0.1</v>
      </c>
      <c r="F99" s="607">
        <v>15</v>
      </c>
    </row>
    <row r="100" ht="26" spans="1:6">
      <c r="A100" s="568">
        <v>26</v>
      </c>
      <c r="B100" s="585"/>
      <c r="C100" s="555" t="s">
        <v>2359</v>
      </c>
      <c r="D100" s="555" t="s">
        <v>2360</v>
      </c>
      <c r="E100" s="606">
        <v>0.1</v>
      </c>
      <c r="F100" s="607">
        <v>15</v>
      </c>
    </row>
    <row r="101" ht="26" spans="1:6">
      <c r="A101" s="568">
        <v>27</v>
      </c>
      <c r="B101" s="585"/>
      <c r="C101" s="555" t="s">
        <v>2361</v>
      </c>
      <c r="D101" s="555" t="s">
        <v>2362</v>
      </c>
      <c r="E101" s="606">
        <v>0.1</v>
      </c>
      <c r="F101" s="607">
        <v>15</v>
      </c>
    </row>
    <row r="102" ht="26" spans="1:6">
      <c r="A102" s="568">
        <v>28</v>
      </c>
      <c r="B102" s="585"/>
      <c r="C102" s="555" t="s">
        <v>2363</v>
      </c>
      <c r="D102" s="555" t="s">
        <v>2364</v>
      </c>
      <c r="E102" s="606">
        <v>0.1</v>
      </c>
      <c r="F102" s="607">
        <v>15</v>
      </c>
    </row>
    <row r="103" ht="26" spans="1:6">
      <c r="A103" s="568">
        <v>29</v>
      </c>
      <c r="B103" s="585"/>
      <c r="C103" s="555" t="s">
        <v>2365</v>
      </c>
      <c r="D103" s="555" t="s">
        <v>2366</v>
      </c>
      <c r="E103" s="606">
        <v>0.1</v>
      </c>
      <c r="F103" s="607">
        <v>15</v>
      </c>
    </row>
    <row r="104" ht="26" spans="1:6">
      <c r="A104" s="568">
        <v>30</v>
      </c>
      <c r="B104" s="585"/>
      <c r="C104" s="555" t="s">
        <v>2367</v>
      </c>
      <c r="D104" s="555" t="s">
        <v>2368</v>
      </c>
      <c r="E104" s="606">
        <v>0.1</v>
      </c>
      <c r="F104" s="607">
        <v>15</v>
      </c>
    </row>
    <row r="105" ht="26" spans="1:6">
      <c r="A105" s="568">
        <v>31</v>
      </c>
      <c r="B105" s="585"/>
      <c r="C105" s="555" t="s">
        <v>2369</v>
      </c>
      <c r="D105" s="555" t="s">
        <v>2370</v>
      </c>
      <c r="E105" s="606">
        <v>0.1</v>
      </c>
      <c r="F105" s="607">
        <v>15</v>
      </c>
    </row>
    <row r="106" ht="26" spans="1:6">
      <c r="A106" s="568">
        <v>32</v>
      </c>
      <c r="B106" s="585"/>
      <c r="C106" s="555" t="s">
        <v>2371</v>
      </c>
      <c r="D106" s="555" t="s">
        <v>2372</v>
      </c>
      <c r="E106" s="606">
        <v>0.1</v>
      </c>
      <c r="F106" s="607">
        <v>15</v>
      </c>
    </row>
    <row r="107" ht="26" spans="1:6">
      <c r="A107" s="568">
        <v>33</v>
      </c>
      <c r="B107" s="585"/>
      <c r="C107" s="555" t="s">
        <v>2373</v>
      </c>
      <c r="D107" s="555" t="s">
        <v>2374</v>
      </c>
      <c r="E107" s="606">
        <v>0.1</v>
      </c>
      <c r="F107" s="607">
        <v>15</v>
      </c>
    </row>
    <row r="108" ht="26" spans="1:6">
      <c r="A108" s="568">
        <v>34</v>
      </c>
      <c r="B108" s="596"/>
      <c r="C108" s="555" t="s">
        <v>2375</v>
      </c>
      <c r="D108" s="555" t="s">
        <v>2376</v>
      </c>
      <c r="E108" s="606">
        <v>0.1</v>
      </c>
      <c r="F108" s="607">
        <v>15</v>
      </c>
    </row>
    <row r="109" ht="26" spans="1:6">
      <c r="A109" s="568">
        <v>35</v>
      </c>
      <c r="B109" s="588" t="s">
        <v>2377</v>
      </c>
      <c r="C109" s="568" t="s">
        <v>2378</v>
      </c>
      <c r="D109" s="555" t="s">
        <v>2379</v>
      </c>
      <c r="E109" s="606">
        <v>0.15</v>
      </c>
      <c r="F109" s="607">
        <v>20</v>
      </c>
    </row>
    <row r="110" ht="26" spans="1:6">
      <c r="A110" s="568">
        <v>36</v>
      </c>
      <c r="B110" s="585"/>
      <c r="C110" s="568" t="s">
        <v>2380</v>
      </c>
      <c r="D110" s="555" t="s">
        <v>2381</v>
      </c>
      <c r="E110" s="606">
        <v>0.15</v>
      </c>
      <c r="F110" s="607">
        <v>20</v>
      </c>
    </row>
    <row r="111" ht="26" spans="1:6">
      <c r="A111" s="568">
        <v>37</v>
      </c>
      <c r="B111" s="585"/>
      <c r="C111" s="568" t="s">
        <v>2382</v>
      </c>
      <c r="D111" s="555" t="s">
        <v>2383</v>
      </c>
      <c r="E111" s="606">
        <v>0.15</v>
      </c>
      <c r="F111" s="607">
        <v>20</v>
      </c>
    </row>
    <row r="112" ht="14" spans="1:6">
      <c r="A112" s="568">
        <v>38</v>
      </c>
      <c r="B112" s="585"/>
      <c r="C112" s="568" t="s">
        <v>2384</v>
      </c>
      <c r="D112" s="555" t="s">
        <v>2385</v>
      </c>
      <c r="E112" s="606">
        <v>0.1</v>
      </c>
      <c r="F112" s="607">
        <v>15</v>
      </c>
    </row>
    <row r="113" ht="26" spans="1:6">
      <c r="A113" s="568">
        <v>39</v>
      </c>
      <c r="B113" s="585"/>
      <c r="C113" s="568" t="s">
        <v>2386</v>
      </c>
      <c r="D113" s="555" t="s">
        <v>2387</v>
      </c>
      <c r="E113" s="606">
        <v>0.1</v>
      </c>
      <c r="F113" s="607">
        <v>15</v>
      </c>
    </row>
    <row r="114" ht="26" spans="1:6">
      <c r="A114" s="568">
        <v>40</v>
      </c>
      <c r="B114" s="596"/>
      <c r="C114" s="568" t="s">
        <v>2388</v>
      </c>
      <c r="D114" s="555" t="s">
        <v>2389</v>
      </c>
      <c r="E114" s="606">
        <v>0.1</v>
      </c>
      <c r="F114" s="607">
        <v>15</v>
      </c>
    </row>
    <row r="115" ht="26" spans="1:6">
      <c r="A115" s="568">
        <v>41</v>
      </c>
      <c r="B115" s="568" t="s">
        <v>2390</v>
      </c>
      <c r="C115" s="568" t="s">
        <v>2391</v>
      </c>
      <c r="D115" s="555" t="s">
        <v>2392</v>
      </c>
      <c r="E115" s="606">
        <v>0.1</v>
      </c>
      <c r="F115" s="607">
        <v>15</v>
      </c>
    </row>
    <row r="116" ht="14" spans="1:6">
      <c r="A116" s="568">
        <v>42</v>
      </c>
      <c r="B116" s="568"/>
      <c r="C116" s="568" t="s">
        <v>2393</v>
      </c>
      <c r="D116" s="555" t="s">
        <v>2394</v>
      </c>
      <c r="E116" s="606">
        <v>0.1</v>
      </c>
      <c r="F116" s="607">
        <v>15</v>
      </c>
    </row>
    <row r="117" ht="26" spans="1:6">
      <c r="A117" s="568">
        <v>43</v>
      </c>
      <c r="B117" s="568"/>
      <c r="C117" s="568" t="s">
        <v>2395</v>
      </c>
      <c r="D117" s="555" t="s">
        <v>2396</v>
      </c>
      <c r="E117" s="606">
        <v>0.1</v>
      </c>
      <c r="F117" s="607">
        <v>15</v>
      </c>
    </row>
    <row r="118" ht="26" spans="1:6">
      <c r="A118" s="568">
        <v>44</v>
      </c>
      <c r="B118" s="588" t="s">
        <v>2397</v>
      </c>
      <c r="C118" s="568" t="s">
        <v>2398</v>
      </c>
      <c r="D118" s="555" t="s">
        <v>2399</v>
      </c>
      <c r="E118" s="606">
        <v>0.1</v>
      </c>
      <c r="F118" s="607">
        <v>15</v>
      </c>
    </row>
    <row r="119" ht="26" spans="1:6">
      <c r="A119" s="568">
        <v>45</v>
      </c>
      <c r="B119" s="596"/>
      <c r="C119" s="555" t="s">
        <v>2400</v>
      </c>
      <c r="D119" s="555" t="s">
        <v>2401</v>
      </c>
      <c r="E119" s="606">
        <v>0.1</v>
      </c>
      <c r="F119" s="607">
        <v>15</v>
      </c>
    </row>
    <row r="120" ht="26" spans="1:6">
      <c r="A120" s="568">
        <v>46</v>
      </c>
      <c r="B120" s="588" t="s">
        <v>2402</v>
      </c>
      <c r="C120" s="568" t="s">
        <v>2403</v>
      </c>
      <c r="D120" s="555" t="s">
        <v>2404</v>
      </c>
      <c r="E120" s="606">
        <v>0.1</v>
      </c>
      <c r="F120" s="607">
        <v>15</v>
      </c>
    </row>
    <row r="121" ht="26" spans="1:6">
      <c r="A121" s="568">
        <v>47</v>
      </c>
      <c r="B121" s="596"/>
      <c r="C121" s="568" t="s">
        <v>2405</v>
      </c>
      <c r="D121" s="555" t="s">
        <v>2406</v>
      </c>
      <c r="E121" s="606">
        <v>0.1</v>
      </c>
      <c r="F121" s="607">
        <v>15</v>
      </c>
    </row>
    <row r="122" ht="26" spans="1:6">
      <c r="A122" s="568">
        <v>48</v>
      </c>
      <c r="B122" s="588" t="s">
        <v>2407</v>
      </c>
      <c r="C122" s="568" t="s">
        <v>2408</v>
      </c>
      <c r="D122" s="555" t="s">
        <v>2409</v>
      </c>
      <c r="E122" s="606">
        <v>0.1</v>
      </c>
      <c r="F122" s="607">
        <v>15</v>
      </c>
    </row>
    <row r="123" ht="14" spans="1:6">
      <c r="A123" s="568">
        <v>49</v>
      </c>
      <c r="B123" s="596"/>
      <c r="C123" s="568" t="s">
        <v>2410</v>
      </c>
      <c r="D123" s="555" t="s">
        <v>2411</v>
      </c>
      <c r="E123" s="606">
        <v>0.1</v>
      </c>
      <c r="F123" s="607">
        <v>15</v>
      </c>
    </row>
    <row r="124" ht="26" spans="1:6">
      <c r="A124" s="568">
        <v>50</v>
      </c>
      <c r="B124" s="568" t="s">
        <v>2412</v>
      </c>
      <c r="C124" s="568" t="s">
        <v>2413</v>
      </c>
      <c r="D124" s="555" t="s">
        <v>2414</v>
      </c>
      <c r="E124" s="606">
        <v>0.1</v>
      </c>
      <c r="F124" s="607">
        <v>15</v>
      </c>
    </row>
    <row r="125" ht="26" spans="1:6">
      <c r="A125" s="568">
        <v>51</v>
      </c>
      <c r="B125" s="568"/>
      <c r="C125" s="568" t="s">
        <v>2415</v>
      </c>
      <c r="D125" s="555" t="s">
        <v>2416</v>
      </c>
      <c r="E125" s="606">
        <v>0.1</v>
      </c>
      <c r="F125" s="607">
        <v>15</v>
      </c>
    </row>
    <row r="126" ht="26" spans="1:6">
      <c r="A126" s="568">
        <v>52</v>
      </c>
      <c r="B126" s="568" t="s">
        <v>2417</v>
      </c>
      <c r="C126" s="568" t="s">
        <v>2418</v>
      </c>
      <c r="D126" s="555" t="s">
        <v>2419</v>
      </c>
      <c r="E126" s="606">
        <v>0.1</v>
      </c>
      <c r="F126" s="607">
        <v>15</v>
      </c>
    </row>
    <row r="127" ht="26" spans="1:6">
      <c r="A127" s="568">
        <v>53</v>
      </c>
      <c r="B127" s="568"/>
      <c r="C127" s="568" t="s">
        <v>2420</v>
      </c>
      <c r="D127" s="555" t="s">
        <v>2421</v>
      </c>
      <c r="E127" s="606">
        <v>0.1</v>
      </c>
      <c r="F127" s="607">
        <v>15</v>
      </c>
    </row>
    <row r="128" ht="26" spans="1:6">
      <c r="A128" s="568">
        <v>54</v>
      </c>
      <c r="B128" s="568" t="s">
        <v>2422</v>
      </c>
      <c r="C128" s="568" t="s">
        <v>2423</v>
      </c>
      <c r="D128" s="555" t="s">
        <v>2424</v>
      </c>
      <c r="E128" s="606">
        <v>0.1</v>
      </c>
      <c r="F128" s="607">
        <v>15</v>
      </c>
    </row>
    <row r="129" ht="14" spans="1:6">
      <c r="A129" s="568">
        <v>55</v>
      </c>
      <c r="B129" s="568" t="s">
        <v>2425</v>
      </c>
      <c r="C129" s="568" t="s">
        <v>2426</v>
      </c>
      <c r="D129" s="555" t="s">
        <v>2427</v>
      </c>
      <c r="E129" s="606">
        <v>0.1</v>
      </c>
      <c r="F129" s="607">
        <v>15</v>
      </c>
    </row>
    <row r="130" ht="14" spans="1:6">
      <c r="A130" s="568">
        <v>56</v>
      </c>
      <c r="B130" s="568"/>
      <c r="C130" s="568" t="s">
        <v>2428</v>
      </c>
      <c r="D130" s="555" t="s">
        <v>2429</v>
      </c>
      <c r="E130" s="606">
        <v>0.1</v>
      </c>
      <c r="F130" s="607">
        <v>15</v>
      </c>
    </row>
    <row r="131" ht="26" spans="1:6">
      <c r="A131" s="568">
        <v>57</v>
      </c>
      <c r="B131" s="568"/>
      <c r="C131" s="568" t="s">
        <v>2430</v>
      </c>
      <c r="D131" s="555" t="s">
        <v>2431</v>
      </c>
      <c r="E131" s="606">
        <v>0.1</v>
      </c>
      <c r="F131" s="607">
        <v>15</v>
      </c>
    </row>
    <row r="132" ht="26" spans="1:6">
      <c r="A132" s="568">
        <v>58</v>
      </c>
      <c r="B132" s="568" t="s">
        <v>2432</v>
      </c>
      <c r="C132" s="568" t="s">
        <v>2433</v>
      </c>
      <c r="D132" s="555" t="s">
        <v>2434</v>
      </c>
      <c r="E132" s="606">
        <v>0.1</v>
      </c>
      <c r="F132" s="607">
        <v>15</v>
      </c>
    </row>
    <row r="133" ht="26" spans="1:6">
      <c r="A133" s="568">
        <v>59</v>
      </c>
      <c r="B133" s="568"/>
      <c r="C133" s="568" t="s">
        <v>2435</v>
      </c>
      <c r="D133" s="555" t="s">
        <v>2436</v>
      </c>
      <c r="E133" s="606">
        <v>0.1</v>
      </c>
      <c r="F133" s="607">
        <v>15</v>
      </c>
    </row>
    <row r="134" ht="26" spans="1:6">
      <c r="A134" s="568">
        <v>60</v>
      </c>
      <c r="B134" s="588" t="s">
        <v>2437</v>
      </c>
      <c r="C134" s="568" t="s">
        <v>2438</v>
      </c>
      <c r="D134" s="555" t="s">
        <v>2439</v>
      </c>
      <c r="E134" s="606">
        <v>0.1</v>
      </c>
      <c r="F134" s="607">
        <v>15</v>
      </c>
    </row>
    <row r="135" ht="26" spans="1:6">
      <c r="A135" s="568">
        <v>61</v>
      </c>
      <c r="B135" s="596"/>
      <c r="C135" s="568" t="s">
        <v>2440</v>
      </c>
      <c r="D135" s="555" t="s">
        <v>2441</v>
      </c>
      <c r="E135" s="606">
        <v>0.1</v>
      </c>
      <c r="F135" s="607">
        <v>15</v>
      </c>
    </row>
    <row r="136" ht="26" spans="1:6">
      <c r="A136" s="568">
        <v>62</v>
      </c>
      <c r="B136" s="568" t="s">
        <v>2442</v>
      </c>
      <c r="C136" s="568" t="s">
        <v>2443</v>
      </c>
      <c r="D136" s="555" t="s">
        <v>2444</v>
      </c>
      <c r="E136" s="606">
        <v>0.1</v>
      </c>
      <c r="F136" s="607">
        <v>15</v>
      </c>
    </row>
    <row r="137" ht="26" spans="1:6">
      <c r="A137" s="568">
        <v>63</v>
      </c>
      <c r="B137" s="568" t="s">
        <v>2445</v>
      </c>
      <c r="C137" s="568" t="s">
        <v>2446</v>
      </c>
      <c r="D137" s="555" t="s">
        <v>2447</v>
      </c>
      <c r="E137" s="606">
        <v>0.1</v>
      </c>
      <c r="F137" s="607">
        <v>15</v>
      </c>
    </row>
    <row r="138" ht="14" spans="1:6">
      <c r="A138" s="568">
        <v>64</v>
      </c>
      <c r="B138" s="568"/>
      <c r="C138" s="568" t="s">
        <v>2448</v>
      </c>
      <c r="D138" s="555" t="s">
        <v>2449</v>
      </c>
      <c r="E138" s="606">
        <v>0.1</v>
      </c>
      <c r="F138" s="607">
        <v>15</v>
      </c>
    </row>
    <row r="139" ht="26" spans="1:6">
      <c r="A139" s="568">
        <v>65</v>
      </c>
      <c r="B139" s="568" t="s">
        <v>2450</v>
      </c>
      <c r="C139" s="568" t="s">
        <v>2451</v>
      </c>
      <c r="D139" s="555" t="s">
        <v>2452</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4"/>
  <cols>
    <col min="1" max="13" width="9" style="505"/>
    <col min="14" max="16384" width="9" style="506"/>
  </cols>
  <sheetData>
    <row r="1" ht="15.75" spans="1:20">
      <c r="A1" s="507" t="s">
        <v>2453</v>
      </c>
      <c r="B1" s="507"/>
      <c r="C1" s="507"/>
      <c r="D1" s="507"/>
      <c r="E1" s="507"/>
      <c r="F1" s="507"/>
      <c r="G1" s="507"/>
      <c r="H1" s="507"/>
      <c r="I1" s="507"/>
      <c r="J1" s="507"/>
      <c r="K1" s="507"/>
      <c r="L1" s="507"/>
      <c r="M1" s="507"/>
      <c r="N1" s="508"/>
    </row>
    <row r="2" spans="1:20">
      <c r="A2" s="509" t="s">
        <v>2454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2455</v>
      </c>
      <c r="R2" s="514" t="s">
        <v>2456</v>
      </c>
      <c r="S2" s="514" t="s">
        <v>2457</v>
      </c>
      <c r="T2" s="514" t="s">
        <v>2458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2459</v>
      </c>
      <c r="B93" s="507"/>
      <c r="C93" s="507"/>
      <c r="D93" s="507"/>
      <c r="E93" s="507"/>
      <c r="F93" s="507"/>
      <c r="G93" s="507"/>
      <c r="H93" s="507"/>
      <c r="I93" s="507"/>
      <c r="J93" s="507"/>
      <c r="K93" s="507"/>
      <c r="L93" s="507"/>
      <c r="M93" s="507"/>
    </row>
    <row r="94" spans="1:20">
      <c r="A94" s="509" t="s">
        <v>2454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1.1057</v>
      </c>
      <c r="Q94" s="514" t="s">
        <v>2455</v>
      </c>
      <c r="R94" s="514" t="s">
        <v>2456</v>
      </c>
      <c r="S94" s="514" t="s">
        <v>2457</v>
      </c>
      <c r="T94" s="514" t="s">
        <v>2458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2460</v>
      </c>
      <c r="B185" s="507"/>
      <c r="C185" s="507"/>
      <c r="D185" s="507"/>
      <c r="E185" s="507"/>
      <c r="F185" s="507"/>
      <c r="G185" s="507"/>
      <c r="H185" s="507"/>
      <c r="I185" s="507"/>
      <c r="J185" s="507"/>
      <c r="K185" s="507"/>
      <c r="L185" s="507"/>
      <c r="M185" s="507"/>
    </row>
    <row r="186" spans="1:20">
      <c r="A186" s="509" t="s">
        <v>2454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2455</v>
      </c>
      <c r="R186" s="514" t="s">
        <v>2456</v>
      </c>
      <c r="S186" s="514" t="s">
        <v>2457</v>
      </c>
      <c r="T186" s="514" t="s">
        <v>2458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2461</v>
      </c>
      <c r="B277" s="507"/>
      <c r="C277" s="507"/>
      <c r="D277" s="507"/>
      <c r="E277" s="507"/>
      <c r="F277" s="507"/>
      <c r="G277" s="507"/>
      <c r="H277" s="507"/>
      <c r="I277" s="507"/>
      <c r="J277" s="507"/>
      <c r="K277" s="507"/>
      <c r="L277" s="507"/>
      <c r="M277" s="507"/>
    </row>
    <row r="278" spans="1:21">
      <c r="A278" s="509" t="s">
        <v>2454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2455</v>
      </c>
      <c r="R278" s="514" t="s">
        <v>2456</v>
      </c>
      <c r="S278" s="514" t="s">
        <v>2462</v>
      </c>
      <c r="T278" s="514" t="s">
        <v>2463</v>
      </c>
      <c r="U278" s="514" t="s">
        <v>2458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2464</v>
      </c>
      <c r="B369" s="523"/>
      <c r="C369" s="523"/>
      <c r="D369" s="523"/>
      <c r="E369" s="523"/>
      <c r="F369" s="523"/>
      <c r="G369" s="523"/>
      <c r="H369" s="523"/>
      <c r="I369" s="523"/>
      <c r="J369" s="523"/>
      <c r="K369" s="523"/>
      <c r="L369" s="523"/>
      <c r="M369" s="523"/>
    </row>
    <row r="370" spans="1:20">
      <c r="A370" s="509" t="s">
        <v>2454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1.0517</v>
      </c>
      <c r="Q370" s="514" t="s">
        <v>2455</v>
      </c>
      <c r="R370" s="514" t="s">
        <v>2456</v>
      </c>
      <c r="S370" s="514" t="s">
        <v>2457</v>
      </c>
      <c r="T370" s="514" t="s">
        <v>2458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2465</v>
      </c>
      <c r="B1" s="418"/>
      <c r="C1" s="419"/>
      <c r="D1" s="419"/>
      <c r="E1" s="419"/>
      <c r="F1" s="419"/>
      <c r="G1" s="420"/>
    </row>
    <row r="2" s="409" customFormat="1" ht="18" customHeight="1" spans="1:7">
      <c r="A2" s="421" t="s">
        <v>2466</v>
      </c>
      <c r="B2" s="422">
        <f ca="1">C52</f>
        <v>29111</v>
      </c>
      <c r="C2" s="423" t="s">
        <v>1527</v>
      </c>
      <c r="D2" s="420"/>
      <c r="E2" s="420"/>
      <c r="F2" s="420"/>
      <c r="G2" s="420"/>
    </row>
    <row r="3" s="409" customFormat="1" ht="18" customHeight="1" spans="1:7">
      <c r="A3" s="424" t="s">
        <v>2467</v>
      </c>
      <c r="B3" s="425">
        <f ca="1">ROUND(B2*10000/'数据-汇总表'!E3,0)</f>
        <v>17406</v>
      </c>
      <c r="C3" s="423" t="s">
        <v>1852</v>
      </c>
      <c r="D3" s="420"/>
      <c r="E3" s="420"/>
      <c r="F3" s="420"/>
      <c r="G3" s="420"/>
    </row>
    <row r="4" s="410" customFormat="1" ht="15.5" spans="1:7">
      <c r="A4" s="426" t="s">
        <v>2468</v>
      </c>
      <c r="B4" s="427"/>
      <c r="C4" s="427"/>
      <c r="D4" s="427"/>
      <c r="E4" s="427"/>
      <c r="F4" s="427"/>
      <c r="G4" s="428"/>
    </row>
    <row r="5" s="411" customFormat="1" ht="13.5" customHeight="1" spans="1:7">
      <c r="A5" s="429" t="s">
        <v>1216</v>
      </c>
      <c r="B5" s="430" t="s">
        <v>2469</v>
      </c>
      <c r="C5" s="431">
        <f ca="1">C6+C7+C8</f>
        <v>20610</v>
      </c>
      <c r="D5" s="431" t="s">
        <v>2470</v>
      </c>
      <c r="E5" s="432" t="s">
        <v>2471</v>
      </c>
      <c r="F5" s="432" t="s">
        <v>2472</v>
      </c>
      <c r="G5" s="433"/>
    </row>
    <row r="6" s="411" customFormat="1" ht="13.5" customHeight="1" spans="1:7">
      <c r="A6" s="434" t="s">
        <v>1118</v>
      </c>
      <c r="B6" s="435" t="s">
        <v>2473</v>
      </c>
      <c r="C6" s="436">
        <v>20000</v>
      </c>
      <c r="D6" s="437"/>
      <c r="E6" s="438"/>
      <c r="F6" s="438"/>
      <c r="G6" s="439"/>
    </row>
    <row r="7" s="411" customFormat="1" ht="13.5" customHeight="1" spans="1:7">
      <c r="A7" s="434" t="s">
        <v>1120</v>
      </c>
      <c r="B7" s="435" t="s">
        <v>2474</v>
      </c>
      <c r="C7" s="440">
        <f>ROUND(C6*F7,0)</f>
        <v>610</v>
      </c>
      <c r="D7" s="440"/>
      <c r="E7" s="438"/>
      <c r="F7" s="441">
        <f>'数据-取费表'!B49+'数据-取费表'!B50</f>
        <v>0.0305</v>
      </c>
      <c r="G7" s="439"/>
    </row>
    <row r="8" s="412" customFormat="1" ht="13" spans="1:7">
      <c r="A8" s="434" t="s">
        <v>1128</v>
      </c>
      <c r="B8" s="435" t="s">
        <v>2475</v>
      </c>
      <c r="C8" s="440" t="str">
        <f ca="1">IF(G8="已包含在土地购买价格中","0",'数据-取费表'!B29)</f>
        <v>0</v>
      </c>
      <c r="D8" s="442"/>
      <c r="E8" s="440"/>
      <c r="F8" s="441"/>
      <c r="G8" s="443" t="s">
        <v>2476</v>
      </c>
    </row>
    <row r="9" s="411" customFormat="1" ht="13.5" customHeight="1" spans="1:7">
      <c r="A9" s="444" t="s">
        <v>1136</v>
      </c>
      <c r="B9" s="445" t="s">
        <v>2477</v>
      </c>
      <c r="C9" s="446">
        <f>ROUND(D9*E9/10000,0)</f>
        <v>0</v>
      </c>
      <c r="D9" s="447">
        <f>'数据-汇总表'!E5</f>
        <v>0</v>
      </c>
      <c r="E9" s="446">
        <f>'数据-取费表'!B27</f>
        <v>0</v>
      </c>
      <c r="F9" s="441"/>
      <c r="G9" s="448"/>
    </row>
    <row r="10" s="411" customFormat="1" ht="13.5" customHeight="1" spans="1:7">
      <c r="A10" s="444" t="s">
        <v>1139</v>
      </c>
      <c r="B10" s="445" t="s">
        <v>2478</v>
      </c>
      <c r="C10" s="446">
        <f>ROUND(D10*E10/10000,0)</f>
        <v>334</v>
      </c>
      <c r="D10" s="447">
        <f>'数据-汇总表'!E6</f>
        <v>16724.51</v>
      </c>
      <c r="E10" s="446">
        <f>'数据-取费表'!B28</f>
        <v>200</v>
      </c>
      <c r="F10" s="441"/>
      <c r="G10" s="448"/>
    </row>
    <row r="11" s="411" customFormat="1" ht="13.5" hidden="1" customHeight="1" spans="1:7">
      <c r="A11" s="449" t="s">
        <v>1221</v>
      </c>
      <c r="B11" s="435" t="s">
        <v>2479</v>
      </c>
      <c r="C11" s="431"/>
      <c r="D11" s="450"/>
      <c r="E11" s="438"/>
      <c r="F11" s="438"/>
      <c r="G11" s="439"/>
    </row>
    <row r="12" s="411" customFormat="1" ht="13.5" hidden="1" customHeight="1" spans="1:7">
      <c r="A12" s="449" t="s">
        <v>1223</v>
      </c>
      <c r="B12" s="435" t="s">
        <v>2480</v>
      </c>
      <c r="C12" s="431">
        <v>0</v>
      </c>
      <c r="D12" s="450"/>
      <c r="E12" s="451"/>
      <c r="F12" s="441">
        <v>0.0305</v>
      </c>
      <c r="G12" s="439"/>
    </row>
    <row r="13" s="411" customFormat="1" ht="13.5" hidden="1" customHeight="1" spans="1:7">
      <c r="A13" s="449" t="s">
        <v>1224</v>
      </c>
      <c r="B13" s="435" t="s">
        <v>2481</v>
      </c>
      <c r="C13" s="431"/>
      <c r="D13" s="450"/>
      <c r="E13" s="438"/>
      <c r="F13" s="438"/>
      <c r="G13" s="439"/>
    </row>
    <row r="14" s="411" customFormat="1" ht="13.5" hidden="1" customHeight="1" spans="1:7">
      <c r="A14" s="449" t="s">
        <v>1226</v>
      </c>
      <c r="B14" s="435" t="s">
        <v>2475</v>
      </c>
      <c r="C14" s="431"/>
      <c r="D14" s="450"/>
      <c r="E14" s="438"/>
      <c r="F14" s="438"/>
      <c r="G14" s="439" t="s">
        <v>2482</v>
      </c>
    </row>
    <row r="15" s="411" customFormat="1" ht="13.5" hidden="1" customHeight="1" spans="1:7">
      <c r="A15" s="449" t="s">
        <v>1228</v>
      </c>
      <c r="B15" s="435" t="s">
        <v>2483</v>
      </c>
      <c r="C15" s="440"/>
      <c r="D15" s="450"/>
      <c r="E15" s="438"/>
      <c r="F15" s="438"/>
      <c r="G15" s="439" t="s">
        <v>2484</v>
      </c>
    </row>
    <row r="16" s="411" customFormat="1" ht="13.5" hidden="1" customHeight="1" spans="1:7">
      <c r="A16" s="449" t="s">
        <v>1231</v>
      </c>
      <c r="B16" s="435" t="s">
        <v>2475</v>
      </c>
      <c r="C16" s="440"/>
      <c r="D16" s="450"/>
      <c r="E16" s="438"/>
      <c r="F16" s="438"/>
      <c r="G16" s="439"/>
    </row>
    <row r="17" s="411" customFormat="1" ht="13.5" hidden="1" customHeight="1" spans="1:7">
      <c r="A17" s="449" t="s">
        <v>1232</v>
      </c>
      <c r="B17" s="435" t="s">
        <v>2485</v>
      </c>
      <c r="C17" s="452"/>
      <c r="D17" s="453"/>
      <c r="E17" s="452"/>
      <c r="F17" s="452"/>
      <c r="G17" s="439" t="s">
        <v>2484</v>
      </c>
    </row>
    <row r="18" s="411" customFormat="1" ht="13.5" hidden="1" customHeight="1" spans="1:7">
      <c r="A18" s="449" t="s">
        <v>1234</v>
      </c>
      <c r="B18" s="435" t="s">
        <v>2486</v>
      </c>
      <c r="C18" s="440">
        <v>0</v>
      </c>
      <c r="D18" s="450"/>
      <c r="E18" s="438"/>
      <c r="F18" s="441">
        <v>0.0305</v>
      </c>
      <c r="G18" s="439" t="s">
        <v>2487</v>
      </c>
    </row>
    <row r="19" s="412" customFormat="1" ht="13.5" customHeight="1" spans="1:7">
      <c r="A19" s="454" t="s">
        <v>1122</v>
      </c>
      <c r="B19" s="430" t="s">
        <v>2488</v>
      </c>
      <c r="C19" s="431">
        <f>IF(G19="已包含在土地取得成本中","0",ROUND(D19*E19/10000,0))</f>
        <v>334</v>
      </c>
      <c r="D19" s="455">
        <f>'数据-汇总表'!E3</f>
        <v>16724.51</v>
      </c>
      <c r="E19" s="431">
        <f>'数据-取费表'!B31</f>
        <v>200</v>
      </c>
      <c r="F19" s="456"/>
      <c r="G19" s="443" t="s">
        <v>2489</v>
      </c>
    </row>
    <row r="20" s="411" customFormat="1" ht="13.5" customHeight="1" spans="1:7">
      <c r="A20" s="454" t="s">
        <v>2054</v>
      </c>
      <c r="B20" s="430" t="s">
        <v>2490</v>
      </c>
      <c r="C20" s="457">
        <f ca="1">ROUND((C5+C19)*F20,0)</f>
        <v>628</v>
      </c>
      <c r="D20" s="457"/>
      <c r="E20" s="457"/>
      <c r="F20" s="458">
        <f>'数据-取费表'!B38</f>
        <v>0.03</v>
      </c>
      <c r="G20" s="459" t="s">
        <v>2491</v>
      </c>
    </row>
    <row r="21" s="411" customFormat="1" ht="13.5" customHeight="1" spans="1:7">
      <c r="A21" s="454" t="s">
        <v>1986</v>
      </c>
      <c r="B21" s="430" t="s">
        <v>2492</v>
      </c>
      <c r="C21" s="460">
        <f>F21</f>
        <v>0.03</v>
      </c>
      <c r="D21" s="461" t="s">
        <v>2493</v>
      </c>
      <c r="E21" s="457"/>
      <c r="F21" s="458">
        <f>'数据-取费表'!B39</f>
        <v>0.03</v>
      </c>
      <c r="G21" s="462" t="s">
        <v>2494</v>
      </c>
    </row>
    <row r="22" s="411" customFormat="1" ht="13.5" customHeight="1" spans="1:7">
      <c r="A22" s="454" t="s">
        <v>1950</v>
      </c>
      <c r="B22" s="430" t="s">
        <v>2495</v>
      </c>
      <c r="C22" s="463">
        <f ca="1">ROUND(SUM(C23:C25),0)</f>
        <v>982</v>
      </c>
      <c r="D22" s="460">
        <f ca="1">C26</f>
        <v>0.0007</v>
      </c>
      <c r="E22" s="461" t="s">
        <v>2493</v>
      </c>
      <c r="F22" s="464">
        <f ca="1">'数据-取费表'!B41</f>
        <v>0.0306</v>
      </c>
      <c r="G22" s="459" t="str">
        <f>IF('数据-取费表'!B22&lt;=1,"单利计息","复利计息")</f>
        <v>复利计息</v>
      </c>
    </row>
    <row r="23" s="411" customFormat="1" ht="13.5" customHeight="1" spans="1:7">
      <c r="A23" s="465" t="s">
        <v>1118</v>
      </c>
      <c r="B23" s="435" t="s">
        <v>2496</v>
      </c>
      <c r="C23" s="466">
        <f ca="1">ROUND(IF('数据-取费表'!B22&lt;=1,C5*F22*'数据-取费表'!B23,C5*(POWER((1+F22),'数据-取费表'!B23)-1)),0)</f>
        <v>953</v>
      </c>
      <c r="D23" s="467"/>
      <c r="E23" s="467"/>
      <c r="F23" s="468"/>
      <c r="G23" s="469" t="s">
        <v>2497</v>
      </c>
    </row>
    <row r="24" s="411" customFormat="1" ht="13.5" customHeight="1" spans="1:7">
      <c r="A24" s="465" t="s">
        <v>1120</v>
      </c>
      <c r="B24" s="435" t="s">
        <v>2498</v>
      </c>
      <c r="C24" s="466">
        <f ca="1">ROUND(IF('数据-取费表'!B22&lt;=1,C19*F22*('数据-取费表'!B19/2+'数据-取费表'!B21),C19*(POWER((1+F22),('数据-取费表'!B19/2+'数据-取费表'!B21))-1)),0)</f>
        <v>15</v>
      </c>
      <c r="D24" s="467"/>
      <c r="E24" s="467"/>
      <c r="F24" s="468"/>
      <c r="G24" s="469" t="s">
        <v>2499</v>
      </c>
    </row>
    <row r="25" s="411" customFormat="1" ht="26" spans="1:7">
      <c r="A25" s="465" t="s">
        <v>1128</v>
      </c>
      <c r="B25" s="435" t="s">
        <v>2500</v>
      </c>
      <c r="C25" s="466">
        <f ca="1">ROUND(IF('数据-取费表'!B22&lt;=1,C20*F22*'数据-取费表'!B23/2,C20*(POWER((1+F22),'数据-取费表'!B23/2)-1)),0)</f>
        <v>14</v>
      </c>
      <c r="D25" s="467"/>
      <c r="E25" s="470"/>
      <c r="F25" s="468"/>
      <c r="G25" s="471" t="s">
        <v>2501</v>
      </c>
    </row>
    <row r="26" s="411" customFormat="1" ht="13" spans="1:7">
      <c r="A26" s="465" t="s">
        <v>1164</v>
      </c>
      <c r="B26" s="435" t="s">
        <v>2502</v>
      </c>
      <c r="C26" s="467">
        <f ca="1">ROUND(IF('数据-取费表'!B22&lt;=1,F21*F22*'数据-取费表'!B23/2,F21*(POWER((1+F22),'数据-取费表'!B23/2)-1)),4)</f>
        <v>0.0007</v>
      </c>
      <c r="D26" s="467"/>
      <c r="E26" s="470"/>
      <c r="F26" s="468"/>
      <c r="G26" s="472"/>
    </row>
    <row r="27" s="411" customFormat="1" ht="26" spans="1:7">
      <c r="A27" s="454" t="s">
        <v>1951</v>
      </c>
      <c r="B27" s="473" t="s">
        <v>2503</v>
      </c>
      <c r="C27" s="474">
        <f ca="1">C28</f>
        <v>1726</v>
      </c>
      <c r="D27" s="460">
        <f>C29</f>
        <v>0.0024</v>
      </c>
      <c r="E27" s="461" t="s">
        <v>2493</v>
      </c>
      <c r="F27" s="475">
        <f>'数据-取费表'!Q16</f>
        <v>0.08</v>
      </c>
      <c r="G27" s="476" t="s">
        <v>2504</v>
      </c>
    </row>
    <row r="28" s="411" customFormat="1" ht="13.5" customHeight="1" spans="1:7">
      <c r="A28" s="465" t="s">
        <v>1118</v>
      </c>
      <c r="B28" s="477" t="s">
        <v>2505</v>
      </c>
      <c r="C28" s="478">
        <f ca="1">ROUND((C5+C19+C20)*F27*'数据-取费表'!B21/'数据-取费表'!B20,0)</f>
        <v>1726</v>
      </c>
      <c r="D28" s="460"/>
      <c r="E28" s="461"/>
      <c r="F28" s="475"/>
      <c r="G28" s="476"/>
    </row>
    <row r="29" s="411" customFormat="1" ht="13.5" customHeight="1" spans="1:7">
      <c r="A29" s="465" t="s">
        <v>1120</v>
      </c>
      <c r="B29" s="477" t="s">
        <v>2506</v>
      </c>
      <c r="C29" s="467">
        <f>ROUND(C21*F27*'数据-取费表'!B21/'数据-取费表'!B20,4)</f>
        <v>0.0024</v>
      </c>
      <c r="D29" s="460"/>
      <c r="E29" s="461"/>
      <c r="F29" s="475"/>
      <c r="G29" s="476"/>
    </row>
    <row r="30" s="411" customFormat="1" ht="13.5" customHeight="1" spans="1:7">
      <c r="A30" s="454" t="s">
        <v>1199</v>
      </c>
      <c r="B30" s="430" t="s">
        <v>2507</v>
      </c>
      <c r="C30" s="460">
        <f>F30</f>
        <v>0</v>
      </c>
      <c r="D30" s="461" t="s">
        <v>2508</v>
      </c>
      <c r="E30" s="470"/>
      <c r="F30" s="464">
        <f>'数据-取费表'!B42</f>
        <v>0</v>
      </c>
      <c r="G30" s="462" t="s">
        <v>2509</v>
      </c>
    </row>
    <row r="31" ht="16.5" customHeight="1" spans="1:7">
      <c r="A31" s="479">
        <v>1</v>
      </c>
      <c r="B31" s="430" t="s">
        <v>2510</v>
      </c>
      <c r="C31" s="431">
        <f ca="1">ROUND((C5+C19+C20+C22+C27)/(1-C21-D22-D27-C30/(1+'数据-取费表'!B43)),0)</f>
        <v>25111</v>
      </c>
      <c r="D31" s="480"/>
      <c r="E31" s="431"/>
      <c r="F31" s="481"/>
      <c r="G31" s="462" t="s">
        <v>2511</v>
      </c>
    </row>
    <row r="32" s="410" customFormat="1" ht="15.5" spans="1:7">
      <c r="A32" s="482" t="s">
        <v>2512</v>
      </c>
      <c r="B32" s="483"/>
      <c r="C32" s="483"/>
      <c r="D32" s="483"/>
      <c r="E32" s="483"/>
      <c r="F32" s="483"/>
      <c r="G32" s="484"/>
    </row>
    <row r="33" s="411" customFormat="1" ht="13.5" customHeight="1" spans="1:7">
      <c r="A33" s="429" t="s">
        <v>1216</v>
      </c>
      <c r="B33" s="430" t="s">
        <v>2513</v>
      </c>
      <c r="C33" s="485">
        <f>SUM(C34:C38)</f>
        <v>4309</v>
      </c>
      <c r="D33" s="457"/>
      <c r="E33" s="432"/>
      <c r="F33" s="470"/>
      <c r="G33" s="462"/>
    </row>
    <row r="34" s="413" customFormat="1" ht="13.5" customHeight="1" spans="1:7">
      <c r="A34" s="465" t="s">
        <v>1118</v>
      </c>
      <c r="B34" s="435" t="s">
        <v>2514</v>
      </c>
      <c r="C34" s="440">
        <f>IF(F34=100%,'数据-取费表'!M16-SUMIF('数据-取费表'!C:C,"公共配套",'数据-取费表'!M:M),'数据-取费表'!O16-SUMIF('数据-取费表'!C:C,"公共配套",'数据-取费表'!O:O))</f>
        <v>3847</v>
      </c>
      <c r="D34" s="437"/>
      <c r="E34" s="440"/>
      <c r="F34" s="486">
        <f>IF('数据-取费表'!B24=0,1,'数据-取费表'!N16)</f>
        <v>1</v>
      </c>
      <c r="G34" s="439" t="s">
        <v>2515</v>
      </c>
    </row>
    <row r="35" ht="13.5" customHeight="1" spans="1:7">
      <c r="A35" s="465" t="s">
        <v>1120</v>
      </c>
      <c r="B35" s="435" t="s">
        <v>2516</v>
      </c>
      <c r="C35" s="440">
        <f>ROUND(C34*F35,0)</f>
        <v>115</v>
      </c>
      <c r="D35" s="440"/>
      <c r="E35" s="440"/>
      <c r="F35" s="487">
        <f>'数据-取费表'!B33</f>
        <v>0.03</v>
      </c>
      <c r="G35" s="439" t="s">
        <v>2517</v>
      </c>
    </row>
    <row r="36" ht="26" spans="1:7">
      <c r="A36" s="465" t="s">
        <v>1128</v>
      </c>
      <c r="B36" s="435" t="s">
        <v>2518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2519</v>
      </c>
    </row>
    <row r="37" s="413" customFormat="1" ht="13.5" customHeight="1" spans="1:7">
      <c r="A37" s="465" t="s">
        <v>1164</v>
      </c>
      <c r="B37" s="435" t="s">
        <v>2520</v>
      </c>
      <c r="C37" s="478">
        <f>ROUND(E37*D37*F34/10000,0)</f>
        <v>309</v>
      </c>
      <c r="D37" s="437">
        <f>'数据-汇总表'!E3</f>
        <v>16724.51</v>
      </c>
      <c r="E37" s="478">
        <f>'数据-取费表'!B35</f>
        <v>185</v>
      </c>
      <c r="F37" s="487"/>
      <c r="G37" s="489" t="s">
        <v>2521</v>
      </c>
    </row>
    <row r="38" ht="13.5" customHeight="1" spans="1:7">
      <c r="A38" s="465" t="s">
        <v>1147</v>
      </c>
      <c r="B38" s="435" t="s">
        <v>2480</v>
      </c>
      <c r="C38" s="440">
        <f>ROUND(C34*F38,0)</f>
        <v>38</v>
      </c>
      <c r="D38" s="440"/>
      <c r="E38" s="440"/>
      <c r="F38" s="487">
        <f>'数据-取费表'!B36</f>
        <v>0.01</v>
      </c>
      <c r="G38" s="439" t="s">
        <v>2517</v>
      </c>
    </row>
    <row r="39" s="411" customFormat="1" ht="13.5" customHeight="1" spans="1:7">
      <c r="A39" s="454" t="s">
        <v>1122</v>
      </c>
      <c r="B39" s="430" t="s">
        <v>2490</v>
      </c>
      <c r="C39" s="457">
        <f>ROUND(C33*F20,0)</f>
        <v>129</v>
      </c>
      <c r="D39" s="457"/>
      <c r="E39" s="457"/>
      <c r="F39" s="458"/>
      <c r="G39" s="459" t="s">
        <v>2210</v>
      </c>
    </row>
    <row r="40" s="411" customFormat="1" ht="13.5" customHeight="1" spans="1:7">
      <c r="A40" s="454" t="s">
        <v>2054</v>
      </c>
      <c r="B40" s="430" t="s">
        <v>2492</v>
      </c>
      <c r="C40" s="490">
        <f>F21</f>
        <v>0.03</v>
      </c>
      <c r="D40" s="461" t="s">
        <v>2522</v>
      </c>
      <c r="E40" s="457"/>
      <c r="F40" s="458"/>
      <c r="G40" s="462" t="s">
        <v>2523</v>
      </c>
    </row>
    <row r="41" s="411" customFormat="1" ht="13.5" customHeight="1" spans="1:7">
      <c r="A41" s="454" t="s">
        <v>1986</v>
      </c>
      <c r="B41" s="430" t="s">
        <v>2495</v>
      </c>
      <c r="C41" s="457">
        <f ca="1">ROUND(SUM(C42:C43),0)</f>
        <v>102</v>
      </c>
      <c r="D41" s="460">
        <f ca="1">C44</f>
        <v>0.0007</v>
      </c>
      <c r="E41" s="461" t="s">
        <v>2522</v>
      </c>
      <c r="F41" s="464"/>
      <c r="G41" s="459" t="str">
        <f>IF('数据-取费表'!B22&lt;=1,"单利计息","复利计息")</f>
        <v>复利计息</v>
      </c>
    </row>
    <row r="42" ht="13.5" customHeight="1" spans="1:7">
      <c r="A42" s="465" t="s">
        <v>1118</v>
      </c>
      <c r="B42" s="435" t="s">
        <v>2496</v>
      </c>
      <c r="C42" s="467">
        <f ca="1">ROUND(IF('数据-取费表'!B22&lt;=1,C33*F22*'数据-取费表'!B21/2,C33*(POWER((1+F22),'数据-取费表'!B21/2)-1)),0)</f>
        <v>99</v>
      </c>
      <c r="D42" s="467"/>
      <c r="E42" s="467"/>
      <c r="F42" s="468"/>
      <c r="G42" s="491" t="s">
        <v>2524</v>
      </c>
    </row>
    <row r="43" ht="13.5" customHeight="1" spans="1:7">
      <c r="A43" s="465" t="s">
        <v>1120</v>
      </c>
      <c r="B43" s="435" t="s">
        <v>2498</v>
      </c>
      <c r="C43" s="467">
        <f ca="1">ROUND(IF('数据-取费表'!B22&lt;=1,C39*F22*'数据-取费表'!B21/2,C39*(POWER((1+F22),'数据-取费表'!B21/2)-1)),0)</f>
        <v>3</v>
      </c>
      <c r="D43" s="467"/>
      <c r="E43" s="467"/>
      <c r="F43" s="468"/>
      <c r="G43" s="492"/>
    </row>
    <row r="44" ht="13.5" customHeight="1" spans="1:7">
      <c r="A44" s="465" t="s">
        <v>1128</v>
      </c>
      <c r="B44" s="435" t="s">
        <v>2500</v>
      </c>
      <c r="C44" s="467">
        <f ca="1">ROUND(IF('数据-取费表'!B22&lt;=1,C40*F22*'数据-取费表'!B21/2,C40*(POWER((1+F22),'数据-取费表'!B21/2)-1)),4)</f>
        <v>0.0007</v>
      </c>
      <c r="D44" s="467"/>
      <c r="E44" s="467"/>
      <c r="F44" s="468"/>
      <c r="G44" s="493"/>
    </row>
    <row r="45" s="411" customFormat="1" ht="13.5" customHeight="1" spans="1:7">
      <c r="A45" s="454" t="s">
        <v>1950</v>
      </c>
      <c r="B45" s="473" t="s">
        <v>2503</v>
      </c>
      <c r="C45" s="474">
        <f>C46</f>
        <v>355</v>
      </c>
      <c r="D45" s="460">
        <f>C47</f>
        <v>0.0024</v>
      </c>
      <c r="E45" s="461" t="s">
        <v>2522</v>
      </c>
      <c r="F45" s="475"/>
      <c r="G45" s="476" t="s">
        <v>2525</v>
      </c>
    </row>
    <row r="46" s="411" customFormat="1" ht="13.5" customHeight="1" spans="1:7">
      <c r="A46" s="465" t="s">
        <v>1118</v>
      </c>
      <c r="B46" s="477" t="s">
        <v>2526</v>
      </c>
      <c r="C46" s="478">
        <f>ROUND((C33+C39)*F27,0)</f>
        <v>355</v>
      </c>
      <c r="D46" s="494"/>
      <c r="E46" s="461"/>
      <c r="F46" s="475"/>
      <c r="G46" s="476"/>
    </row>
    <row r="47" s="411" customFormat="1" ht="13.5" customHeight="1" spans="1:7">
      <c r="A47" s="465" t="s">
        <v>1120</v>
      </c>
      <c r="B47" s="477" t="s">
        <v>2527</v>
      </c>
      <c r="C47" s="467">
        <f>ROUND(C40*F27,4)</f>
        <v>0.0024</v>
      </c>
      <c r="D47" s="494"/>
      <c r="E47" s="461"/>
      <c r="F47" s="475"/>
      <c r="G47" s="476"/>
    </row>
    <row r="48" s="411" customFormat="1" ht="13.5" customHeight="1" spans="1:7">
      <c r="A48" s="454" t="s">
        <v>1951</v>
      </c>
      <c r="B48" s="430" t="s">
        <v>2507</v>
      </c>
      <c r="C48" s="490">
        <f>F30</f>
        <v>0</v>
      </c>
      <c r="D48" s="461" t="s">
        <v>2528</v>
      </c>
      <c r="E48" s="457"/>
      <c r="F48" s="464"/>
      <c r="G48" s="462" t="s">
        <v>2529</v>
      </c>
    </row>
    <row r="49" ht="16.5" customHeight="1" spans="1:7">
      <c r="A49" s="454" t="s">
        <v>1199</v>
      </c>
      <c r="B49" s="430" t="s">
        <v>2530</v>
      </c>
      <c r="C49" s="457">
        <f ca="1">ROUND((C33+C39+C41+C45)/(1-C40-D41-D45-C48/(1+'数据-取费表'!B43)),0)</f>
        <v>5063</v>
      </c>
      <c r="D49" s="457"/>
      <c r="E49" s="457"/>
      <c r="F49" s="495"/>
      <c r="G49" s="462" t="s">
        <v>2531</v>
      </c>
    </row>
    <row r="50" s="413" customFormat="1" ht="26" spans="1:7">
      <c r="A50" s="454" t="s">
        <v>1202</v>
      </c>
      <c r="B50" s="430" t="s">
        <v>2532</v>
      </c>
      <c r="C50" s="457"/>
      <c r="D50" s="457"/>
      <c r="E50" s="457"/>
      <c r="F50" s="495">
        <f>IF('数据-取费表'!B24=0,'数据-取费表'!N16,1)</f>
        <v>0.79</v>
      </c>
      <c r="G50" s="476" t="s">
        <v>2533</v>
      </c>
    </row>
    <row r="51" ht="16.5" customHeight="1" spans="1:7">
      <c r="A51" s="454" t="s">
        <v>2534</v>
      </c>
      <c r="B51" s="430" t="s">
        <v>2535</v>
      </c>
      <c r="C51" s="457">
        <f ca="1">ROUND(C49*F50,0)</f>
        <v>4000</v>
      </c>
      <c r="D51" s="457"/>
      <c r="E51" s="457"/>
      <c r="F51" s="495"/>
      <c r="G51" s="462" t="s">
        <v>2536</v>
      </c>
    </row>
    <row r="52" s="410" customFormat="1" ht="16.25" spans="1:7">
      <c r="A52" s="496" t="s">
        <v>2537</v>
      </c>
      <c r="B52" s="497"/>
      <c r="C52" s="498">
        <f ca="1">C31+C51</f>
        <v>29111</v>
      </c>
      <c r="D52" s="497"/>
      <c r="E52" s="497"/>
      <c r="F52" s="497"/>
      <c r="G52" s="499"/>
    </row>
    <row r="55" ht="15.5" spans="1:7">
      <c r="B55" s="500" t="s">
        <v>2538</v>
      </c>
      <c r="C55" s="501"/>
    </row>
    <row r="56" ht="13" spans="1:7">
      <c r="B56" s="502" t="s">
        <v>2539</v>
      </c>
      <c r="C56" s="503">
        <f ca="1">ROUND(C51/C52,3)</f>
        <v>0.137</v>
      </c>
    </row>
    <row r="57" ht="13" spans="1:7">
      <c r="B57" s="502" t="s">
        <v>2540</v>
      </c>
      <c r="C57" s="504">
        <f ca="1">1-C56</f>
        <v>0.863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2541</v>
      </c>
      <c r="B1" s="375"/>
    </row>
    <row r="2" ht="14.75" spans="1:7">
      <c r="A2" s="375"/>
      <c r="B2" s="375"/>
    </row>
    <row r="3" ht="14.75" spans="1:7">
      <c r="A3" s="375"/>
      <c r="B3" s="375"/>
      <c r="C3" s="376" t="s">
        <v>229</v>
      </c>
      <c r="D3" s="376" t="s">
        <v>230</v>
      </c>
      <c r="E3" s="376" t="s">
        <v>232</v>
      </c>
      <c r="F3" s="376" t="s">
        <v>233</v>
      </c>
      <c r="G3" s="376" t="s">
        <v>231</v>
      </c>
    </row>
    <row r="4" ht="14.75" spans="1:7">
      <c r="A4" s="377" t="s">
        <v>2542</v>
      </c>
      <c r="B4" s="378" t="s">
        <v>2543</v>
      </c>
      <c r="C4" s="376"/>
      <c r="D4" s="376"/>
      <c r="E4" s="376"/>
      <c r="F4" s="376"/>
      <c r="G4" s="376"/>
    </row>
    <row r="5" spans="1:7">
      <c r="A5" s="379" t="s">
        <v>235</v>
      </c>
      <c r="B5" s="380" t="s">
        <v>2544</v>
      </c>
      <c r="C5" s="381">
        <v>0.098</v>
      </c>
      <c r="D5" s="381">
        <v>0.087</v>
      </c>
      <c r="E5" s="381">
        <v>0.087</v>
      </c>
      <c r="F5" s="381">
        <v>0.098</v>
      </c>
      <c r="G5" s="382">
        <v>0.095</v>
      </c>
    </row>
    <row r="6" spans="1:7">
      <c r="A6" s="383" t="s">
        <v>235</v>
      </c>
      <c r="B6" s="384" t="s">
        <v>2545</v>
      </c>
      <c r="C6" s="385">
        <v>0.098</v>
      </c>
      <c r="D6" s="385">
        <v>0.098</v>
      </c>
      <c r="E6" s="385">
        <v>0.098</v>
      </c>
      <c r="F6" s="385">
        <v>0.1</v>
      </c>
      <c r="G6" s="386">
        <v>0.099</v>
      </c>
    </row>
    <row r="7" spans="1:7">
      <c r="A7" s="383" t="s">
        <v>235</v>
      </c>
      <c r="B7" s="384" t="s">
        <v>2546</v>
      </c>
      <c r="C7" s="385">
        <v>0.097</v>
      </c>
      <c r="D7" s="385">
        <v>0.097</v>
      </c>
      <c r="E7" s="385">
        <v>0.096</v>
      </c>
      <c r="F7" s="385">
        <v>0.1</v>
      </c>
      <c r="G7" s="386">
        <v>0.098</v>
      </c>
    </row>
    <row r="8" spans="1:7">
      <c r="A8" s="383" t="s">
        <v>235</v>
      </c>
      <c r="B8" s="384" t="s">
        <v>2547</v>
      </c>
      <c r="C8" s="385">
        <v>0.081</v>
      </c>
      <c r="D8" s="385">
        <v>0.082</v>
      </c>
      <c r="E8" s="385">
        <v>0.07</v>
      </c>
      <c r="F8" s="385">
        <v>0.096</v>
      </c>
      <c r="G8" s="386">
        <v>0.089</v>
      </c>
    </row>
    <row r="9" ht="14.75" spans="1:7">
      <c r="A9" s="387" t="s">
        <v>235</v>
      </c>
      <c r="B9" s="388" t="s">
        <v>2548</v>
      </c>
      <c r="C9" s="389">
        <v>0.1</v>
      </c>
      <c r="D9" s="389">
        <v>0.1</v>
      </c>
      <c r="E9" s="389">
        <v>0.1</v>
      </c>
      <c r="F9" s="390"/>
      <c r="G9" s="391">
        <v>0.1</v>
      </c>
    </row>
    <row r="10" spans="1:7">
      <c r="A10" s="379" t="s">
        <v>251</v>
      </c>
      <c r="B10" s="380" t="s">
        <v>2549</v>
      </c>
      <c r="C10" s="381">
        <v>0.067</v>
      </c>
      <c r="D10" s="381">
        <v>0.079</v>
      </c>
      <c r="E10" s="381">
        <v>0.079</v>
      </c>
      <c r="F10" s="381">
        <v>0.1</v>
      </c>
      <c r="G10" s="382">
        <v>0.091</v>
      </c>
    </row>
    <row r="11" spans="1:7">
      <c r="A11" s="383" t="s">
        <v>251</v>
      </c>
      <c r="B11" s="384" t="s">
        <v>2550</v>
      </c>
      <c r="C11" s="385">
        <v>0.05</v>
      </c>
      <c r="D11" s="385">
        <v>0.053</v>
      </c>
      <c r="E11" s="385">
        <v>0.063</v>
      </c>
      <c r="F11" s="385">
        <v>0.1</v>
      </c>
      <c r="G11" s="386">
        <v>0.072</v>
      </c>
    </row>
    <row r="12" spans="1:7">
      <c r="A12" s="383" t="s">
        <v>251</v>
      </c>
      <c r="B12" s="384" t="s">
        <v>2551</v>
      </c>
      <c r="C12" s="385">
        <v>0.053</v>
      </c>
      <c r="D12" s="385">
        <v>0.09</v>
      </c>
      <c r="E12" s="385">
        <v>0.072</v>
      </c>
      <c r="F12" s="385">
        <v>0.1</v>
      </c>
      <c r="G12" s="386">
        <v>0.097</v>
      </c>
    </row>
    <row r="13" spans="1:7">
      <c r="A13" s="383" t="s">
        <v>251</v>
      </c>
      <c r="B13" s="384" t="s">
        <v>2552</v>
      </c>
      <c r="C13" s="385">
        <v>0.097</v>
      </c>
      <c r="D13" s="385">
        <v>0.092</v>
      </c>
      <c r="E13" s="385">
        <v>0.095</v>
      </c>
      <c r="F13" s="385">
        <v>0.1</v>
      </c>
      <c r="G13" s="386">
        <v>0.097</v>
      </c>
    </row>
    <row r="14" spans="1:7">
      <c r="A14" s="383" t="s">
        <v>251</v>
      </c>
      <c r="B14" s="384" t="s">
        <v>2553</v>
      </c>
      <c r="C14" s="385">
        <v>0.097</v>
      </c>
      <c r="D14" s="385">
        <v>0.097</v>
      </c>
      <c r="E14" s="385">
        <v>0.097</v>
      </c>
      <c r="F14" s="385">
        <v>0.1</v>
      </c>
      <c r="G14" s="386">
        <v>0.098</v>
      </c>
    </row>
    <row r="15" spans="1:7">
      <c r="A15" s="383" t="s">
        <v>251</v>
      </c>
      <c r="B15" s="384" t="s">
        <v>2554</v>
      </c>
      <c r="C15" s="385">
        <v>0.098</v>
      </c>
      <c r="D15" s="385">
        <v>0.091</v>
      </c>
      <c r="E15" s="385">
        <v>0.06</v>
      </c>
      <c r="F15" s="385">
        <v>0.1</v>
      </c>
      <c r="G15" s="386">
        <v>0.097</v>
      </c>
    </row>
    <row r="16" spans="1:7">
      <c r="A16" s="383" t="s">
        <v>251</v>
      </c>
      <c r="B16" s="384" t="s">
        <v>2555</v>
      </c>
      <c r="C16" s="385">
        <v>0.098</v>
      </c>
      <c r="D16" s="385">
        <v>0.097</v>
      </c>
      <c r="E16" s="385">
        <v>0.095</v>
      </c>
      <c r="F16" s="385">
        <v>0.1</v>
      </c>
      <c r="G16" s="386">
        <v>0.099</v>
      </c>
    </row>
    <row r="17" spans="1:7">
      <c r="A17" s="383" t="s">
        <v>251</v>
      </c>
      <c r="B17" s="384" t="s">
        <v>2556</v>
      </c>
      <c r="C17" s="385">
        <v>0.089</v>
      </c>
      <c r="D17" s="385">
        <v>0.092</v>
      </c>
      <c r="E17" s="385">
        <v>0.061</v>
      </c>
      <c r="F17" s="385">
        <v>0.1</v>
      </c>
      <c r="G17" s="386">
        <v>0.097</v>
      </c>
    </row>
    <row r="18" spans="1:7">
      <c r="A18" s="383" t="s">
        <v>251</v>
      </c>
      <c r="B18" s="384" t="s">
        <v>2557</v>
      </c>
      <c r="C18" s="385">
        <v>0.098</v>
      </c>
      <c r="D18" s="385">
        <v>0.098</v>
      </c>
      <c r="E18" s="385">
        <v>0.098</v>
      </c>
      <c r="F18" s="392"/>
      <c r="G18" s="386">
        <v>0.099</v>
      </c>
    </row>
    <row r="19" spans="1:7">
      <c r="A19" s="383" t="s">
        <v>251</v>
      </c>
      <c r="B19" s="384" t="s">
        <v>2558</v>
      </c>
      <c r="C19" s="385">
        <v>0.099</v>
      </c>
      <c r="D19" s="385">
        <v>0.074</v>
      </c>
      <c r="E19" s="385">
        <v>0.081</v>
      </c>
      <c r="F19" s="392"/>
      <c r="G19" s="386">
        <v>0.093</v>
      </c>
    </row>
    <row r="20" spans="1:7">
      <c r="A20" s="383" t="s">
        <v>251</v>
      </c>
      <c r="B20" s="384" t="s">
        <v>2559</v>
      </c>
      <c r="C20" s="385">
        <v>0.1</v>
      </c>
      <c r="D20" s="385">
        <v>0.089</v>
      </c>
      <c r="E20" s="385">
        <v>0.089</v>
      </c>
      <c r="F20" s="392"/>
      <c r="G20" s="386">
        <v>0.095</v>
      </c>
    </row>
    <row r="21" spans="1:7">
      <c r="A21" s="383" t="s">
        <v>251</v>
      </c>
      <c r="B21" s="384" t="s">
        <v>2560</v>
      </c>
      <c r="C21" s="385">
        <v>0.1</v>
      </c>
      <c r="D21" s="385">
        <v>0.091</v>
      </c>
      <c r="E21" s="385">
        <v>0.082</v>
      </c>
      <c r="F21" s="392"/>
      <c r="G21" s="386">
        <v>0.097</v>
      </c>
    </row>
    <row r="22" spans="1:7">
      <c r="A22" s="383" t="s">
        <v>251</v>
      </c>
      <c r="B22" s="384" t="s">
        <v>2561</v>
      </c>
      <c r="C22" s="385">
        <v>0.095</v>
      </c>
      <c r="D22" s="385">
        <v>0.099</v>
      </c>
      <c r="E22" s="385">
        <v>0.098</v>
      </c>
      <c r="F22" s="392"/>
      <c r="G22" s="386">
        <v>0.1</v>
      </c>
    </row>
    <row r="23" spans="1:7">
      <c r="A23" s="383" t="s">
        <v>251</v>
      </c>
      <c r="B23" s="384" t="s">
        <v>2562</v>
      </c>
      <c r="C23" s="385">
        <v>0.099</v>
      </c>
      <c r="D23" s="385">
        <v>0.1</v>
      </c>
      <c r="E23" s="385">
        <v>0.1</v>
      </c>
      <c r="F23" s="392"/>
      <c r="G23" s="386">
        <v>0.1</v>
      </c>
    </row>
    <row r="24" spans="1:7">
      <c r="A24" s="383" t="s">
        <v>251</v>
      </c>
      <c r="B24" s="384" t="s">
        <v>2563</v>
      </c>
      <c r="C24" s="385">
        <v>0.095</v>
      </c>
      <c r="D24" s="385">
        <v>0.1</v>
      </c>
      <c r="E24" s="385">
        <v>0.098</v>
      </c>
      <c r="F24" s="392"/>
      <c r="G24" s="386">
        <v>0.1</v>
      </c>
    </row>
    <row r="25" spans="1:7">
      <c r="A25" s="383" t="s">
        <v>251</v>
      </c>
      <c r="B25" s="384" t="s">
        <v>2564</v>
      </c>
      <c r="C25" s="385">
        <v>0.05</v>
      </c>
      <c r="D25" s="385">
        <v>0.096</v>
      </c>
      <c r="E25" s="385">
        <v>0.096</v>
      </c>
      <c r="F25" s="392"/>
      <c r="G25" s="386">
        <v>0.096</v>
      </c>
    </row>
    <row r="26" spans="1:7">
      <c r="A26" s="383" t="s">
        <v>251</v>
      </c>
      <c r="B26" s="384" t="s">
        <v>2565</v>
      </c>
      <c r="C26" s="385">
        <v>0.063</v>
      </c>
      <c r="D26" s="385">
        <v>0.099</v>
      </c>
      <c r="E26" s="385">
        <v>0.098</v>
      </c>
      <c r="F26" s="392"/>
      <c r="G26" s="386">
        <v>0.1</v>
      </c>
    </row>
    <row r="27" spans="1:7">
      <c r="A27" s="383" t="s">
        <v>251</v>
      </c>
      <c r="B27" s="384" t="s">
        <v>2566</v>
      </c>
      <c r="C27" s="385">
        <v>0.052</v>
      </c>
      <c r="D27" s="385">
        <v>0.095</v>
      </c>
      <c r="E27" s="385">
        <v>0.064</v>
      </c>
      <c r="F27" s="392"/>
      <c r="G27" s="386">
        <v>0.097</v>
      </c>
    </row>
    <row r="28" spans="1:7">
      <c r="A28" s="383" t="s">
        <v>251</v>
      </c>
      <c r="B28" s="384" t="s">
        <v>2567</v>
      </c>
      <c r="C28" s="392"/>
      <c r="D28" s="385">
        <v>0.063</v>
      </c>
      <c r="E28" s="385">
        <v>0.052</v>
      </c>
      <c r="F28" s="392"/>
      <c r="G28" s="386">
        <v>0.063</v>
      </c>
    </row>
    <row r="29" ht="14.75" spans="1:7">
      <c r="A29" s="387" t="s">
        <v>251</v>
      </c>
      <c r="B29" s="388" t="s">
        <v>2568</v>
      </c>
      <c r="C29" s="393"/>
      <c r="D29" s="389">
        <v>0.052</v>
      </c>
      <c r="E29" s="389">
        <v>0.07</v>
      </c>
      <c r="F29" s="393"/>
      <c r="G29" s="391">
        <v>0.071</v>
      </c>
    </row>
    <row r="30" spans="1:7">
      <c r="A30" s="394" t="s">
        <v>264</v>
      </c>
      <c r="B30" s="380" t="s">
        <v>2569</v>
      </c>
      <c r="C30" s="381">
        <v>0.066</v>
      </c>
      <c r="D30" s="381">
        <v>0.066</v>
      </c>
      <c r="E30" s="381">
        <v>0.057</v>
      </c>
      <c r="F30" s="381">
        <v>0.1</v>
      </c>
      <c r="G30" s="382">
        <v>0.068</v>
      </c>
    </row>
    <row r="31" spans="1:7">
      <c r="A31" s="395" t="s">
        <v>264</v>
      </c>
      <c r="B31" s="384" t="s">
        <v>2570</v>
      </c>
      <c r="C31" s="385">
        <v>0.055</v>
      </c>
      <c r="D31" s="385">
        <v>0.082</v>
      </c>
      <c r="E31" s="385">
        <v>0.064</v>
      </c>
      <c r="F31" s="385">
        <v>0.1</v>
      </c>
      <c r="G31" s="386">
        <v>0.095</v>
      </c>
    </row>
    <row r="32" spans="1:7">
      <c r="A32" s="395" t="s">
        <v>264</v>
      </c>
      <c r="B32" s="384" t="s">
        <v>2571</v>
      </c>
      <c r="C32" s="385">
        <v>0.082</v>
      </c>
      <c r="D32" s="385">
        <v>0.087</v>
      </c>
      <c r="E32" s="385">
        <v>0.095</v>
      </c>
      <c r="F32" s="385">
        <v>0.1</v>
      </c>
      <c r="G32" s="386">
        <v>0.096</v>
      </c>
    </row>
    <row r="33" spans="1:7">
      <c r="A33" s="395" t="s">
        <v>264</v>
      </c>
      <c r="B33" s="384" t="s">
        <v>2572</v>
      </c>
      <c r="C33" s="385">
        <v>0.099</v>
      </c>
      <c r="D33" s="385">
        <v>0.092</v>
      </c>
      <c r="E33" s="385">
        <v>0.087</v>
      </c>
      <c r="F33" s="385">
        <v>0.1</v>
      </c>
      <c r="G33" s="386">
        <v>0.097</v>
      </c>
    </row>
    <row r="34" spans="1:7">
      <c r="A34" s="395" t="s">
        <v>264</v>
      </c>
      <c r="B34" s="384" t="s">
        <v>2573</v>
      </c>
      <c r="C34" s="385">
        <v>0.084</v>
      </c>
      <c r="D34" s="385">
        <v>0.097</v>
      </c>
      <c r="E34" s="385">
        <v>0.071</v>
      </c>
      <c r="F34" s="385">
        <v>0.1</v>
      </c>
      <c r="G34" s="386">
        <v>0.098</v>
      </c>
    </row>
    <row r="35" spans="1:7">
      <c r="A35" s="395" t="s">
        <v>264</v>
      </c>
      <c r="B35" s="384" t="s">
        <v>2574</v>
      </c>
      <c r="C35" s="385">
        <v>0.083</v>
      </c>
      <c r="D35" s="385">
        <v>0.097</v>
      </c>
      <c r="E35" s="385">
        <v>0.061</v>
      </c>
      <c r="F35" s="385">
        <v>0.1</v>
      </c>
      <c r="G35" s="386">
        <v>0.099</v>
      </c>
    </row>
    <row r="36" spans="1:7">
      <c r="A36" s="395" t="s">
        <v>264</v>
      </c>
      <c r="B36" s="384" t="s">
        <v>2575</v>
      </c>
      <c r="C36" s="385">
        <v>0.097</v>
      </c>
      <c r="D36" s="385">
        <v>0.097</v>
      </c>
      <c r="E36" s="385">
        <v>0.078</v>
      </c>
      <c r="F36" s="385">
        <v>0.1</v>
      </c>
      <c r="G36" s="386">
        <v>0.099</v>
      </c>
    </row>
    <row r="37" spans="1:7">
      <c r="A37" s="395" t="s">
        <v>264</v>
      </c>
      <c r="B37" s="384" t="s">
        <v>2576</v>
      </c>
      <c r="C37" s="385">
        <v>0.097</v>
      </c>
      <c r="D37" s="385">
        <v>0.095</v>
      </c>
      <c r="E37" s="385">
        <v>0.078</v>
      </c>
      <c r="F37" s="385">
        <v>0.1</v>
      </c>
      <c r="G37" s="386">
        <v>0.097</v>
      </c>
    </row>
    <row r="38" spans="1:7">
      <c r="A38" s="395" t="s">
        <v>264</v>
      </c>
      <c r="B38" s="384" t="s">
        <v>2577</v>
      </c>
      <c r="C38" s="385">
        <v>0.097</v>
      </c>
      <c r="D38" s="385">
        <v>0.077</v>
      </c>
      <c r="E38" s="385">
        <v>0.07</v>
      </c>
      <c r="F38" s="385">
        <v>0.1</v>
      </c>
      <c r="G38" s="386">
        <v>0.077</v>
      </c>
    </row>
    <row r="39" spans="1:7">
      <c r="A39" s="395" t="s">
        <v>264</v>
      </c>
      <c r="B39" s="384" t="s">
        <v>2578</v>
      </c>
      <c r="C39" s="385">
        <v>0.095</v>
      </c>
      <c r="D39" s="385">
        <v>0.077</v>
      </c>
      <c r="E39" s="385">
        <v>0.066</v>
      </c>
      <c r="F39" s="385">
        <v>0.1</v>
      </c>
      <c r="G39" s="386">
        <v>0.086</v>
      </c>
    </row>
    <row r="40" spans="1:7">
      <c r="A40" s="395" t="s">
        <v>264</v>
      </c>
      <c r="B40" s="384" t="s">
        <v>2579</v>
      </c>
      <c r="C40" s="385">
        <v>0.077</v>
      </c>
      <c r="D40" s="385">
        <v>0.078</v>
      </c>
      <c r="E40" s="385">
        <v>0.082</v>
      </c>
      <c r="F40" s="396"/>
      <c r="G40" s="386">
        <v>0.078</v>
      </c>
    </row>
    <row r="41" spans="1:7">
      <c r="A41" s="395" t="s">
        <v>264</v>
      </c>
      <c r="B41" s="384" t="s">
        <v>2580</v>
      </c>
      <c r="C41" s="385">
        <v>0.078</v>
      </c>
      <c r="D41" s="385">
        <v>0.078</v>
      </c>
      <c r="E41" s="385">
        <v>0.082</v>
      </c>
      <c r="F41" s="396"/>
      <c r="G41" s="386">
        <v>0.086</v>
      </c>
    </row>
    <row r="42" spans="1:7">
      <c r="A42" s="395" t="s">
        <v>264</v>
      </c>
      <c r="B42" s="384" t="s">
        <v>2581</v>
      </c>
      <c r="C42" s="385">
        <v>0.078</v>
      </c>
      <c r="D42" s="385">
        <v>0.096</v>
      </c>
      <c r="E42" s="385">
        <v>0.072</v>
      </c>
      <c r="F42" s="396"/>
      <c r="G42" s="386">
        <v>0.098</v>
      </c>
    </row>
    <row r="43" spans="1:7">
      <c r="A43" s="395" t="s">
        <v>264</v>
      </c>
      <c r="B43" s="384" t="s">
        <v>2582</v>
      </c>
      <c r="C43" s="385">
        <v>0.078</v>
      </c>
      <c r="D43" s="385">
        <v>0.099</v>
      </c>
      <c r="E43" s="385">
        <v>0.096</v>
      </c>
      <c r="F43" s="396"/>
      <c r="G43" s="386">
        <v>0.1</v>
      </c>
    </row>
    <row r="44" spans="1:7">
      <c r="A44" s="395" t="s">
        <v>264</v>
      </c>
      <c r="B44" s="384" t="s">
        <v>2583</v>
      </c>
      <c r="C44" s="385">
        <v>0.096</v>
      </c>
      <c r="D44" s="385">
        <v>0.1</v>
      </c>
      <c r="E44" s="385">
        <v>0.098</v>
      </c>
      <c r="F44" s="396"/>
      <c r="G44" s="386">
        <v>0.1</v>
      </c>
    </row>
    <row r="45" spans="1:7">
      <c r="A45" s="395" t="s">
        <v>264</v>
      </c>
      <c r="B45" s="384" t="s">
        <v>2584</v>
      </c>
      <c r="C45" s="385">
        <v>0.099</v>
      </c>
      <c r="D45" s="385">
        <v>0.098</v>
      </c>
      <c r="E45" s="385">
        <v>0.095</v>
      </c>
      <c r="F45" s="396"/>
      <c r="G45" s="386">
        <v>0.098</v>
      </c>
    </row>
    <row r="46" spans="1:7">
      <c r="A46" s="395" t="s">
        <v>264</v>
      </c>
      <c r="B46" s="384" t="s">
        <v>2585</v>
      </c>
      <c r="C46" s="385">
        <v>0.1</v>
      </c>
      <c r="D46" s="385">
        <v>0.099</v>
      </c>
      <c r="E46" s="385">
        <v>0.096</v>
      </c>
      <c r="F46" s="396"/>
      <c r="G46" s="386">
        <v>0.1</v>
      </c>
    </row>
    <row r="47" spans="1:7">
      <c r="A47" s="395" t="s">
        <v>264</v>
      </c>
      <c r="B47" s="384" t="s">
        <v>2586</v>
      </c>
      <c r="C47" s="385">
        <v>0.098</v>
      </c>
      <c r="D47" s="385">
        <v>0.087</v>
      </c>
      <c r="E47" s="385">
        <v>0.059</v>
      </c>
      <c r="F47" s="396"/>
      <c r="G47" s="386">
        <v>0.096</v>
      </c>
    </row>
    <row r="48" spans="1:7">
      <c r="A48" s="395" t="s">
        <v>264</v>
      </c>
      <c r="B48" s="384" t="s">
        <v>2587</v>
      </c>
      <c r="C48" s="385">
        <v>0.099</v>
      </c>
      <c r="D48" s="385">
        <v>0.098</v>
      </c>
      <c r="E48" s="385">
        <v>0.095</v>
      </c>
      <c r="F48" s="396"/>
      <c r="G48" s="386">
        <v>0.098</v>
      </c>
    </row>
    <row r="49" spans="1:7">
      <c r="A49" s="395" t="s">
        <v>264</v>
      </c>
      <c r="B49" s="384" t="s">
        <v>2588</v>
      </c>
      <c r="C49" s="385">
        <v>0.088</v>
      </c>
      <c r="D49" s="385">
        <v>0.099</v>
      </c>
      <c r="E49" s="385">
        <v>0.07</v>
      </c>
      <c r="F49" s="396"/>
      <c r="G49" s="386">
        <v>0.1</v>
      </c>
    </row>
    <row r="50" spans="1:7">
      <c r="A50" s="395" t="s">
        <v>264</v>
      </c>
      <c r="B50" s="384" t="s">
        <v>2589</v>
      </c>
      <c r="C50" s="385">
        <v>0.098</v>
      </c>
      <c r="D50" s="385">
        <v>0.073</v>
      </c>
      <c r="E50" s="385">
        <v>0.071</v>
      </c>
      <c r="F50" s="396"/>
      <c r="G50" s="386">
        <v>0.073</v>
      </c>
    </row>
    <row r="51" spans="1:7">
      <c r="A51" s="395" t="s">
        <v>264</v>
      </c>
      <c r="B51" s="384" t="s">
        <v>2590</v>
      </c>
      <c r="C51" s="385">
        <v>0.099</v>
      </c>
      <c r="D51" s="385">
        <v>0.085</v>
      </c>
      <c r="E51" s="385">
        <v>0.063</v>
      </c>
      <c r="F51" s="396"/>
      <c r="G51" s="386">
        <v>0.096</v>
      </c>
    </row>
    <row r="52" spans="1:7">
      <c r="A52" s="395" t="s">
        <v>264</v>
      </c>
      <c r="B52" s="384" t="s">
        <v>2591</v>
      </c>
      <c r="C52" s="385">
        <v>0.074</v>
      </c>
      <c r="D52" s="385">
        <v>0.096</v>
      </c>
      <c r="E52" s="385">
        <v>0.05</v>
      </c>
      <c r="F52" s="396"/>
      <c r="G52" s="386">
        <v>0.098</v>
      </c>
    </row>
    <row r="53" spans="1:7">
      <c r="A53" s="395" t="s">
        <v>264</v>
      </c>
      <c r="B53" s="384" t="s">
        <v>2592</v>
      </c>
      <c r="C53" s="385">
        <v>0.086</v>
      </c>
      <c r="D53" s="396"/>
      <c r="E53" s="385">
        <v>0.092</v>
      </c>
      <c r="F53" s="396"/>
      <c r="G53" s="397"/>
    </row>
    <row r="54" ht="14.75" spans="1:7">
      <c r="A54" s="398" t="s">
        <v>264</v>
      </c>
      <c r="B54" s="388" t="s">
        <v>2593</v>
      </c>
      <c r="C54" s="389">
        <v>0.096</v>
      </c>
      <c r="D54" s="390"/>
      <c r="E54" s="399"/>
      <c r="F54" s="390"/>
      <c r="G54" s="400"/>
    </row>
    <row r="55" spans="1:7">
      <c r="A55" s="394" t="s">
        <v>275</v>
      </c>
      <c r="B55" s="380" t="s">
        <v>2594</v>
      </c>
      <c r="C55" s="381">
        <v>0.096</v>
      </c>
      <c r="D55" s="381">
        <v>0.084</v>
      </c>
      <c r="E55" s="381">
        <v>0.092</v>
      </c>
      <c r="F55" s="381">
        <v>0.1</v>
      </c>
      <c r="G55" s="382">
        <v>0.095</v>
      </c>
    </row>
    <row r="56" spans="1:7">
      <c r="A56" s="395" t="s">
        <v>275</v>
      </c>
      <c r="B56" s="384" t="s">
        <v>2595</v>
      </c>
      <c r="C56" s="385">
        <v>0.084</v>
      </c>
      <c r="D56" s="385">
        <v>0.092</v>
      </c>
      <c r="E56" s="385">
        <v>0.095</v>
      </c>
      <c r="F56" s="385">
        <v>0.092</v>
      </c>
      <c r="G56" s="386">
        <v>0.096</v>
      </c>
    </row>
    <row r="57" spans="1:7">
      <c r="A57" s="395" t="s">
        <v>275</v>
      </c>
      <c r="B57" s="384" t="s">
        <v>2596</v>
      </c>
      <c r="C57" s="385">
        <v>0.099</v>
      </c>
      <c r="D57" s="385">
        <v>0.096</v>
      </c>
      <c r="E57" s="385">
        <v>0.092</v>
      </c>
      <c r="F57" s="385">
        <v>0.1</v>
      </c>
      <c r="G57" s="386">
        <v>0.098</v>
      </c>
    </row>
    <row r="58" spans="1:7">
      <c r="A58" s="395" t="s">
        <v>275</v>
      </c>
      <c r="B58" s="384" t="s">
        <v>2597</v>
      </c>
      <c r="C58" s="385">
        <v>0.098</v>
      </c>
      <c r="D58" s="385">
        <v>0.095</v>
      </c>
      <c r="E58" s="385">
        <v>0.057</v>
      </c>
      <c r="F58" s="385">
        <v>0.1</v>
      </c>
      <c r="G58" s="386">
        <v>0.096</v>
      </c>
    </row>
    <row r="59" spans="1:7">
      <c r="A59" s="395" t="s">
        <v>275</v>
      </c>
      <c r="B59" s="384" t="s">
        <v>2598</v>
      </c>
      <c r="C59" s="385">
        <v>0.095</v>
      </c>
      <c r="D59" s="385">
        <v>0.1</v>
      </c>
      <c r="E59" s="385">
        <v>0.075</v>
      </c>
      <c r="F59" s="385">
        <v>0.1</v>
      </c>
      <c r="G59" s="386">
        <v>0.1</v>
      </c>
    </row>
    <row r="60" spans="1:7">
      <c r="A60" s="395" t="s">
        <v>275</v>
      </c>
      <c r="B60" s="384" t="s">
        <v>2599</v>
      </c>
      <c r="C60" s="385">
        <v>0.1</v>
      </c>
      <c r="D60" s="385">
        <v>0.097</v>
      </c>
      <c r="E60" s="385">
        <v>0.1</v>
      </c>
      <c r="F60" s="385">
        <v>0.1</v>
      </c>
      <c r="G60" s="386">
        <v>0.097</v>
      </c>
    </row>
    <row r="61" spans="1:7">
      <c r="A61" s="395" t="s">
        <v>275</v>
      </c>
      <c r="B61" s="384" t="s">
        <v>2600</v>
      </c>
      <c r="C61" s="385">
        <v>0.097</v>
      </c>
      <c r="D61" s="385">
        <v>0.1</v>
      </c>
      <c r="E61" s="385">
        <v>0.093</v>
      </c>
      <c r="F61" s="385">
        <v>0.1</v>
      </c>
      <c r="G61" s="386">
        <v>0.1</v>
      </c>
    </row>
    <row r="62" spans="1:7">
      <c r="A62" s="395" t="s">
        <v>275</v>
      </c>
      <c r="B62" s="384" t="s">
        <v>2601</v>
      </c>
      <c r="C62" s="385">
        <v>0.1</v>
      </c>
      <c r="D62" s="385">
        <v>0.097</v>
      </c>
      <c r="E62" s="385">
        <v>0.089</v>
      </c>
      <c r="F62" s="385">
        <v>0.1</v>
      </c>
      <c r="G62" s="386">
        <v>0.098</v>
      </c>
    </row>
    <row r="63" spans="1:7">
      <c r="A63" s="395" t="s">
        <v>275</v>
      </c>
      <c r="B63" s="384" t="s">
        <v>2602</v>
      </c>
      <c r="C63" s="385">
        <v>0.097</v>
      </c>
      <c r="D63" s="385">
        <v>0.097</v>
      </c>
      <c r="E63" s="385">
        <v>0.099</v>
      </c>
      <c r="F63" s="385">
        <v>0.1</v>
      </c>
      <c r="G63" s="386">
        <v>0.097</v>
      </c>
    </row>
    <row r="64" spans="1:7">
      <c r="A64" s="395" t="s">
        <v>275</v>
      </c>
      <c r="B64" s="384" t="s">
        <v>2603</v>
      </c>
      <c r="C64" s="385">
        <v>0.097</v>
      </c>
      <c r="D64" s="385">
        <v>0.074</v>
      </c>
      <c r="E64" s="385">
        <v>0.078</v>
      </c>
      <c r="F64" s="385">
        <v>0.1</v>
      </c>
      <c r="G64" s="386">
        <v>0.089</v>
      </c>
    </row>
    <row r="65" spans="1:7">
      <c r="A65" s="395" t="s">
        <v>275</v>
      </c>
      <c r="B65" s="384" t="s">
        <v>2604</v>
      </c>
      <c r="C65" s="385">
        <v>0.073</v>
      </c>
      <c r="D65" s="385">
        <v>0.098</v>
      </c>
      <c r="E65" s="385">
        <v>0.095</v>
      </c>
      <c r="F65" s="385">
        <v>0.1</v>
      </c>
      <c r="G65" s="386">
        <v>0.099</v>
      </c>
    </row>
    <row r="66" spans="1:7">
      <c r="A66" s="395" t="s">
        <v>275</v>
      </c>
      <c r="B66" s="384" t="s">
        <v>2605</v>
      </c>
      <c r="C66" s="385">
        <v>0.098</v>
      </c>
      <c r="D66" s="385">
        <v>0.095</v>
      </c>
      <c r="E66" s="385">
        <v>0.05</v>
      </c>
      <c r="F66" s="385">
        <v>0.1</v>
      </c>
      <c r="G66" s="386">
        <v>0.097</v>
      </c>
    </row>
    <row r="67" spans="1:7">
      <c r="A67" s="395" t="s">
        <v>275</v>
      </c>
      <c r="B67" s="384" t="s">
        <v>2606</v>
      </c>
      <c r="C67" s="385">
        <v>0.095</v>
      </c>
      <c r="D67" s="385">
        <v>0.097</v>
      </c>
      <c r="E67" s="385">
        <v>0.097</v>
      </c>
      <c r="F67" s="385">
        <v>0.1</v>
      </c>
      <c r="G67" s="386">
        <v>0.099</v>
      </c>
    </row>
    <row r="68" spans="1:7">
      <c r="A68" s="395" t="s">
        <v>275</v>
      </c>
      <c r="B68" s="384" t="s">
        <v>2607</v>
      </c>
      <c r="C68" s="385">
        <v>0.097</v>
      </c>
      <c r="D68" s="385">
        <v>0.068</v>
      </c>
      <c r="E68" s="385">
        <v>0.066</v>
      </c>
      <c r="F68" s="385">
        <v>0.1</v>
      </c>
      <c r="G68" s="386">
        <v>0.084</v>
      </c>
    </row>
    <row r="69" spans="1:7">
      <c r="A69" s="395" t="s">
        <v>275</v>
      </c>
      <c r="B69" s="384" t="s">
        <v>2608</v>
      </c>
      <c r="C69" s="385">
        <v>0.068</v>
      </c>
      <c r="D69" s="385">
        <v>0.098</v>
      </c>
      <c r="E69" s="385">
        <v>0.095</v>
      </c>
      <c r="F69" s="385">
        <v>0.1</v>
      </c>
      <c r="G69" s="386">
        <v>0.1</v>
      </c>
    </row>
    <row r="70" spans="1:7">
      <c r="A70" s="395" t="s">
        <v>275</v>
      </c>
      <c r="B70" s="384" t="s">
        <v>2609</v>
      </c>
      <c r="C70" s="385">
        <v>0.098</v>
      </c>
      <c r="D70" s="385">
        <v>0.089</v>
      </c>
      <c r="E70" s="385">
        <v>0.059</v>
      </c>
      <c r="F70" s="385">
        <v>0.1</v>
      </c>
      <c r="G70" s="386">
        <v>0.096</v>
      </c>
    </row>
    <row r="71" spans="1:7">
      <c r="A71" s="395" t="s">
        <v>275</v>
      </c>
      <c r="B71" s="384" t="s">
        <v>2610</v>
      </c>
      <c r="C71" s="385">
        <v>0.089</v>
      </c>
      <c r="D71" s="385">
        <v>0.099</v>
      </c>
      <c r="E71" s="385">
        <v>0.096</v>
      </c>
      <c r="F71" s="385">
        <v>0.1</v>
      </c>
      <c r="G71" s="386">
        <v>0.1</v>
      </c>
    </row>
    <row r="72" spans="1:7">
      <c r="A72" s="395" t="s">
        <v>275</v>
      </c>
      <c r="B72" s="384" t="s">
        <v>2611</v>
      </c>
      <c r="C72" s="385">
        <v>0.099</v>
      </c>
      <c r="D72" s="385">
        <v>0.1</v>
      </c>
      <c r="E72" s="385">
        <v>0.07</v>
      </c>
      <c r="F72" s="396"/>
      <c r="G72" s="386">
        <v>0.1</v>
      </c>
    </row>
    <row r="73" spans="1:7">
      <c r="A73" s="395" t="s">
        <v>275</v>
      </c>
      <c r="B73" s="384" t="s">
        <v>2612</v>
      </c>
      <c r="C73" s="385">
        <v>0.1</v>
      </c>
      <c r="D73" s="385">
        <v>0.1</v>
      </c>
      <c r="E73" s="385">
        <v>0.096</v>
      </c>
      <c r="F73" s="396"/>
      <c r="G73" s="386">
        <v>0.1</v>
      </c>
    </row>
    <row r="74" spans="1:7">
      <c r="A74" s="395" t="s">
        <v>275</v>
      </c>
      <c r="B74" s="384" t="s">
        <v>2613</v>
      </c>
      <c r="C74" s="385">
        <v>0.1</v>
      </c>
      <c r="D74" s="385">
        <v>0.1</v>
      </c>
      <c r="E74" s="385">
        <v>0.098</v>
      </c>
      <c r="F74" s="396"/>
      <c r="G74" s="386">
        <v>0.1</v>
      </c>
    </row>
    <row r="75" spans="1:7">
      <c r="A75" s="395" t="s">
        <v>275</v>
      </c>
      <c r="B75" s="384" t="s">
        <v>2614</v>
      </c>
      <c r="C75" s="385">
        <v>0.1</v>
      </c>
      <c r="D75" s="385">
        <v>0.099</v>
      </c>
      <c r="E75" s="385">
        <v>0.098</v>
      </c>
      <c r="F75" s="396"/>
      <c r="G75" s="386">
        <v>0.1</v>
      </c>
    </row>
    <row r="76" spans="1:7">
      <c r="A76" s="395" t="s">
        <v>275</v>
      </c>
      <c r="B76" s="384" t="s">
        <v>2615</v>
      </c>
      <c r="C76" s="385">
        <v>0.099</v>
      </c>
      <c r="D76" s="385">
        <v>0.1</v>
      </c>
      <c r="E76" s="385">
        <v>0.097</v>
      </c>
      <c r="F76" s="396"/>
      <c r="G76" s="386">
        <v>0.1</v>
      </c>
    </row>
    <row r="77" spans="1:7">
      <c r="A77" s="395" t="s">
        <v>275</v>
      </c>
      <c r="B77" s="384" t="s">
        <v>2616</v>
      </c>
      <c r="C77" s="385">
        <v>0.1</v>
      </c>
      <c r="D77" s="385">
        <v>0.1</v>
      </c>
      <c r="E77" s="385">
        <v>0.096</v>
      </c>
      <c r="F77" s="396"/>
      <c r="G77" s="386">
        <v>0.1</v>
      </c>
    </row>
    <row r="78" spans="1:7">
      <c r="A78" s="395" t="s">
        <v>275</v>
      </c>
      <c r="B78" s="384" t="s">
        <v>2617</v>
      </c>
      <c r="C78" s="385">
        <v>0.1</v>
      </c>
      <c r="D78" s="385">
        <v>0.085</v>
      </c>
      <c r="E78" s="385">
        <v>0.096</v>
      </c>
      <c r="F78" s="396"/>
      <c r="G78" s="386">
        <v>0.096</v>
      </c>
    </row>
    <row r="79" spans="1:7">
      <c r="A79" s="395" t="s">
        <v>275</v>
      </c>
      <c r="B79" s="384" t="s">
        <v>2618</v>
      </c>
      <c r="C79" s="385">
        <v>0.05</v>
      </c>
      <c r="D79" s="385">
        <v>0.096</v>
      </c>
      <c r="E79" s="385">
        <v>0.095</v>
      </c>
      <c r="F79" s="396"/>
      <c r="G79" s="386">
        <v>0.098</v>
      </c>
    </row>
    <row r="80" spans="1:7">
      <c r="A80" s="395" t="s">
        <v>275</v>
      </c>
      <c r="B80" s="384" t="s">
        <v>2619</v>
      </c>
      <c r="C80" s="385">
        <v>0.086</v>
      </c>
      <c r="D80" s="401"/>
      <c r="E80" s="385">
        <v>0.1</v>
      </c>
      <c r="F80" s="396"/>
      <c r="G80" s="397"/>
    </row>
    <row r="81" spans="1:7">
      <c r="A81" s="395" t="s">
        <v>275</v>
      </c>
      <c r="B81" s="384" t="s">
        <v>2620</v>
      </c>
      <c r="C81" s="385">
        <v>0.096</v>
      </c>
      <c r="D81" s="396"/>
      <c r="E81" s="385">
        <v>0.098</v>
      </c>
      <c r="F81" s="396"/>
      <c r="G81" s="397"/>
    </row>
    <row r="82" spans="1:7">
      <c r="A82" s="395" t="s">
        <v>275</v>
      </c>
      <c r="B82" s="384" t="s">
        <v>2621</v>
      </c>
      <c r="C82" s="401"/>
      <c r="D82" s="396"/>
      <c r="E82" s="385">
        <v>0.077</v>
      </c>
      <c r="F82" s="396"/>
      <c r="G82" s="397"/>
    </row>
    <row r="83" spans="1:7">
      <c r="A83" s="395" t="s">
        <v>275</v>
      </c>
      <c r="B83" s="384" t="s">
        <v>2622</v>
      </c>
      <c r="C83" s="396"/>
      <c r="D83" s="396"/>
      <c r="E83" s="396"/>
      <c r="F83" s="385">
        <v>0.1</v>
      </c>
      <c r="G83" s="402"/>
    </row>
    <row r="84" spans="1:7">
      <c r="A84" s="395" t="s">
        <v>275</v>
      </c>
      <c r="B84" s="384" t="s">
        <v>2623</v>
      </c>
      <c r="C84" s="396"/>
      <c r="D84" s="396"/>
      <c r="E84" s="396"/>
      <c r="F84" s="385">
        <v>0.1</v>
      </c>
      <c r="G84" s="402"/>
    </row>
    <row r="85" spans="1:7">
      <c r="A85" s="395" t="s">
        <v>275</v>
      </c>
      <c r="B85" s="384" t="s">
        <v>2624</v>
      </c>
      <c r="C85" s="396"/>
      <c r="D85" s="396"/>
      <c r="E85" s="396"/>
      <c r="F85" s="385">
        <v>0.1</v>
      </c>
      <c r="G85" s="402"/>
    </row>
    <row r="86" ht="14.75" spans="1:7">
      <c r="A86" s="398" t="s">
        <v>275</v>
      </c>
      <c r="B86" s="388" t="s">
        <v>2625</v>
      </c>
      <c r="C86" s="389">
        <v>0.098</v>
      </c>
      <c r="D86" s="389">
        <v>0.098</v>
      </c>
      <c r="E86" s="389">
        <v>0.096</v>
      </c>
      <c r="F86" s="399"/>
      <c r="G86" s="391">
        <v>0.1</v>
      </c>
    </row>
    <row r="87" spans="1:7">
      <c r="A87" s="394" t="s">
        <v>286</v>
      </c>
      <c r="B87" s="380" t="s">
        <v>2626</v>
      </c>
      <c r="C87" s="381">
        <v>0.1</v>
      </c>
      <c r="D87" s="381">
        <v>0.1</v>
      </c>
      <c r="E87" s="381">
        <v>0.098</v>
      </c>
      <c r="F87" s="381">
        <v>0.1</v>
      </c>
      <c r="G87" s="382">
        <v>0.1</v>
      </c>
    </row>
    <row r="88" spans="1:7">
      <c r="A88" s="395" t="s">
        <v>286</v>
      </c>
      <c r="B88" s="384" t="s">
        <v>2627</v>
      </c>
      <c r="C88" s="385">
        <v>0.091</v>
      </c>
      <c r="D88" s="385">
        <v>0.092</v>
      </c>
      <c r="E88" s="385">
        <v>0.1</v>
      </c>
      <c r="F88" s="385">
        <v>0.1</v>
      </c>
      <c r="G88" s="386">
        <v>0.096</v>
      </c>
    </row>
    <row r="89" spans="1:7">
      <c r="A89" s="395" t="s">
        <v>286</v>
      </c>
      <c r="B89" s="384" t="s">
        <v>2628</v>
      </c>
      <c r="C89" s="385">
        <v>0.1</v>
      </c>
      <c r="D89" s="385">
        <v>0.1</v>
      </c>
      <c r="E89" s="385">
        <v>0.067</v>
      </c>
      <c r="F89" s="385">
        <v>0.093</v>
      </c>
      <c r="G89" s="386">
        <v>0.1</v>
      </c>
    </row>
    <row r="90" spans="1:7">
      <c r="A90" s="395" t="s">
        <v>286</v>
      </c>
      <c r="B90" s="384" t="s">
        <v>2629</v>
      </c>
      <c r="C90" s="385">
        <v>0.096</v>
      </c>
      <c r="D90" s="385">
        <v>0.096</v>
      </c>
      <c r="E90" s="385">
        <v>0.1</v>
      </c>
      <c r="F90" s="385">
        <v>0.1</v>
      </c>
      <c r="G90" s="386">
        <v>0.098</v>
      </c>
    </row>
    <row r="91" spans="1:7">
      <c r="A91" s="395" t="s">
        <v>286</v>
      </c>
      <c r="B91" s="384" t="s">
        <v>2630</v>
      </c>
      <c r="C91" s="385">
        <v>0.077</v>
      </c>
      <c r="D91" s="385">
        <v>0.077</v>
      </c>
      <c r="E91" s="385">
        <v>0.096</v>
      </c>
      <c r="F91" s="385">
        <v>0.1</v>
      </c>
      <c r="G91" s="386">
        <v>0.077</v>
      </c>
    </row>
    <row r="92" spans="1:7">
      <c r="A92" s="395" t="s">
        <v>286</v>
      </c>
      <c r="B92" s="384" t="s">
        <v>2631</v>
      </c>
      <c r="C92" s="385">
        <v>0.1</v>
      </c>
      <c r="D92" s="385">
        <v>0.1</v>
      </c>
      <c r="E92" s="385">
        <v>0.092</v>
      </c>
      <c r="F92" s="385">
        <v>0.1</v>
      </c>
      <c r="G92" s="386">
        <v>0.1</v>
      </c>
    </row>
    <row r="93" spans="1:7">
      <c r="A93" s="395" t="s">
        <v>286</v>
      </c>
      <c r="B93" s="384" t="s">
        <v>2632</v>
      </c>
      <c r="C93" s="385">
        <v>0.098</v>
      </c>
      <c r="D93" s="385">
        <v>0.098</v>
      </c>
      <c r="E93" s="385">
        <v>0.096</v>
      </c>
      <c r="F93" s="385">
        <v>0.1</v>
      </c>
      <c r="G93" s="386">
        <v>0.099</v>
      </c>
    </row>
    <row r="94" spans="1:7">
      <c r="A94" s="395" t="s">
        <v>286</v>
      </c>
      <c r="B94" s="384" t="s">
        <v>2633</v>
      </c>
      <c r="C94" s="385">
        <v>0.088</v>
      </c>
      <c r="D94" s="385">
        <v>0.088</v>
      </c>
      <c r="E94" s="385">
        <v>0.096</v>
      </c>
      <c r="F94" s="385">
        <v>0.1</v>
      </c>
      <c r="G94" s="386">
        <v>0.088</v>
      </c>
    </row>
    <row r="95" spans="1:7">
      <c r="A95" s="395" t="s">
        <v>286</v>
      </c>
      <c r="B95" s="384" t="s">
        <v>2634</v>
      </c>
      <c r="C95" s="385">
        <v>0.096</v>
      </c>
      <c r="D95" s="385">
        <v>0.096</v>
      </c>
      <c r="E95" s="385">
        <v>0.1</v>
      </c>
      <c r="F95" s="385">
        <v>0.1</v>
      </c>
      <c r="G95" s="386">
        <v>0.098</v>
      </c>
    </row>
    <row r="96" spans="1:7">
      <c r="A96" s="395" t="s">
        <v>286</v>
      </c>
      <c r="B96" s="384" t="s">
        <v>2635</v>
      </c>
      <c r="C96" s="385">
        <v>0.097</v>
      </c>
      <c r="D96" s="385">
        <v>0.097</v>
      </c>
      <c r="E96" s="385">
        <v>0.1</v>
      </c>
      <c r="F96" s="385">
        <v>0.1</v>
      </c>
      <c r="G96" s="386">
        <v>0.098</v>
      </c>
    </row>
    <row r="97" spans="1:7">
      <c r="A97" s="395" t="s">
        <v>286</v>
      </c>
      <c r="B97" s="384" t="s">
        <v>2636</v>
      </c>
      <c r="C97" s="385">
        <v>0.096</v>
      </c>
      <c r="D97" s="385">
        <v>0.096</v>
      </c>
      <c r="E97" s="385">
        <v>0.099</v>
      </c>
      <c r="F97" s="385">
        <v>0.1</v>
      </c>
      <c r="G97" s="386">
        <v>0.098</v>
      </c>
    </row>
    <row r="98" spans="1:7">
      <c r="A98" s="395" t="s">
        <v>286</v>
      </c>
      <c r="B98" s="384" t="s">
        <v>2637</v>
      </c>
      <c r="C98" s="385">
        <v>0.098</v>
      </c>
      <c r="D98" s="385">
        <v>0.098</v>
      </c>
      <c r="E98" s="385">
        <v>0.1</v>
      </c>
      <c r="F98" s="385">
        <v>0.1</v>
      </c>
      <c r="G98" s="386">
        <v>0.099</v>
      </c>
    </row>
    <row r="99" spans="1:7">
      <c r="A99" s="395" t="s">
        <v>286</v>
      </c>
      <c r="B99" s="384" t="s">
        <v>2638</v>
      </c>
      <c r="C99" s="385">
        <v>0.096</v>
      </c>
      <c r="D99" s="385">
        <v>0.096</v>
      </c>
      <c r="E99" s="385">
        <v>0.1</v>
      </c>
      <c r="F99" s="385">
        <v>0.1</v>
      </c>
      <c r="G99" s="386">
        <v>0.097</v>
      </c>
    </row>
    <row r="100" spans="1:7">
      <c r="A100" s="395" t="s">
        <v>286</v>
      </c>
      <c r="B100" s="384" t="s">
        <v>2639</v>
      </c>
      <c r="C100" s="385">
        <v>0.1</v>
      </c>
      <c r="D100" s="385">
        <v>0.1</v>
      </c>
      <c r="E100" s="385">
        <v>0.097</v>
      </c>
      <c r="F100" s="385">
        <v>0.098</v>
      </c>
      <c r="G100" s="386">
        <v>0.1</v>
      </c>
    </row>
    <row r="101" spans="1:7">
      <c r="A101" s="395" t="s">
        <v>286</v>
      </c>
      <c r="B101" s="384" t="s">
        <v>2640</v>
      </c>
      <c r="C101" s="385">
        <v>0.1</v>
      </c>
      <c r="D101" s="385">
        <v>0.1</v>
      </c>
      <c r="E101" s="385">
        <v>0.095</v>
      </c>
      <c r="F101" s="385">
        <v>0.1</v>
      </c>
      <c r="G101" s="386">
        <v>0.1</v>
      </c>
    </row>
    <row r="102" spans="1:7">
      <c r="A102" s="395" t="s">
        <v>286</v>
      </c>
      <c r="B102" s="384" t="s">
        <v>2641</v>
      </c>
      <c r="C102" s="385">
        <v>0.1</v>
      </c>
      <c r="D102" s="385">
        <v>0.1</v>
      </c>
      <c r="E102" s="385">
        <v>0.099</v>
      </c>
      <c r="F102" s="385">
        <v>0.097</v>
      </c>
      <c r="G102" s="386">
        <v>0.1</v>
      </c>
    </row>
    <row r="103" spans="1:7">
      <c r="A103" s="395" t="s">
        <v>286</v>
      </c>
      <c r="B103" s="384" t="s">
        <v>2642</v>
      </c>
      <c r="C103" s="385">
        <v>0.1</v>
      </c>
      <c r="D103" s="385">
        <v>0.1</v>
      </c>
      <c r="E103" s="385">
        <v>0.098</v>
      </c>
      <c r="F103" s="385">
        <v>0.1</v>
      </c>
      <c r="G103" s="386">
        <v>0.1</v>
      </c>
    </row>
    <row r="104" spans="1:7">
      <c r="A104" s="395" t="s">
        <v>286</v>
      </c>
      <c r="B104" s="384" t="s">
        <v>2643</v>
      </c>
      <c r="C104" s="385">
        <v>0.1</v>
      </c>
      <c r="D104" s="385">
        <v>0.1</v>
      </c>
      <c r="E104" s="385">
        <v>0.098</v>
      </c>
      <c r="F104" s="385">
        <v>0.1</v>
      </c>
      <c r="G104" s="386">
        <v>0.1</v>
      </c>
    </row>
    <row r="105" spans="1:7">
      <c r="A105" s="395" t="s">
        <v>286</v>
      </c>
      <c r="B105" s="384" t="s">
        <v>2644</v>
      </c>
      <c r="C105" s="385">
        <v>0.098</v>
      </c>
      <c r="D105" s="385">
        <v>0.098</v>
      </c>
      <c r="E105" s="385">
        <v>0.098</v>
      </c>
      <c r="F105" s="385">
        <v>0.1</v>
      </c>
      <c r="G105" s="386">
        <v>0.099</v>
      </c>
    </row>
    <row r="106" spans="1:7">
      <c r="A106" s="395" t="s">
        <v>286</v>
      </c>
      <c r="B106" s="384" t="s">
        <v>2645</v>
      </c>
      <c r="C106" s="385">
        <v>0.097</v>
      </c>
      <c r="D106" s="385">
        <v>0.097</v>
      </c>
      <c r="E106" s="385">
        <v>0.097</v>
      </c>
      <c r="F106" s="385">
        <v>0.1</v>
      </c>
      <c r="G106" s="386">
        <v>0.099</v>
      </c>
    </row>
    <row r="107" spans="1:7">
      <c r="A107" s="395" t="s">
        <v>286</v>
      </c>
      <c r="B107" s="384" t="s">
        <v>2646</v>
      </c>
      <c r="C107" s="385">
        <v>0.1</v>
      </c>
      <c r="D107" s="385">
        <v>0.1</v>
      </c>
      <c r="E107" s="385">
        <v>0.086</v>
      </c>
      <c r="F107" s="385">
        <v>0.09</v>
      </c>
      <c r="G107" s="386">
        <v>0.1</v>
      </c>
    </row>
    <row r="108" spans="1:7">
      <c r="A108" s="395" t="s">
        <v>286</v>
      </c>
      <c r="B108" s="384" t="s">
        <v>2647</v>
      </c>
      <c r="C108" s="385">
        <v>0.1</v>
      </c>
      <c r="D108" s="385">
        <v>0.1</v>
      </c>
      <c r="E108" s="385">
        <v>0.096</v>
      </c>
      <c r="F108" s="396"/>
      <c r="G108" s="386">
        <v>0.1</v>
      </c>
    </row>
    <row r="109" spans="1:7">
      <c r="A109" s="395" t="s">
        <v>286</v>
      </c>
      <c r="B109" s="384" t="s">
        <v>2648</v>
      </c>
      <c r="C109" s="385">
        <v>0.1</v>
      </c>
      <c r="D109" s="385">
        <v>0.1</v>
      </c>
      <c r="E109" s="385">
        <v>0.1</v>
      </c>
      <c r="F109" s="396"/>
      <c r="G109" s="386">
        <v>0.1</v>
      </c>
    </row>
    <row r="110" spans="1:7">
      <c r="A110" s="395" t="s">
        <v>286</v>
      </c>
      <c r="B110" s="384" t="s">
        <v>2649</v>
      </c>
      <c r="C110" s="385">
        <v>0.1</v>
      </c>
      <c r="D110" s="385">
        <v>0.1</v>
      </c>
      <c r="E110" s="385">
        <v>0.1</v>
      </c>
      <c r="F110" s="396"/>
      <c r="G110" s="386">
        <v>0.1</v>
      </c>
    </row>
    <row r="111" spans="1:7">
      <c r="A111" s="395" t="s">
        <v>286</v>
      </c>
      <c r="B111" s="384" t="s">
        <v>2650</v>
      </c>
      <c r="C111" s="385">
        <v>0.1</v>
      </c>
      <c r="D111" s="385">
        <v>0.1</v>
      </c>
      <c r="E111" s="385">
        <v>0.095</v>
      </c>
      <c r="F111" s="396"/>
      <c r="G111" s="386">
        <v>0.1</v>
      </c>
    </row>
    <row r="112" spans="1:7">
      <c r="A112" s="395" t="s">
        <v>286</v>
      </c>
      <c r="B112" s="384" t="s">
        <v>2651</v>
      </c>
      <c r="C112" s="385">
        <v>0.097</v>
      </c>
      <c r="D112" s="385">
        <v>0.097</v>
      </c>
      <c r="E112" s="385">
        <v>0.05</v>
      </c>
      <c r="F112" s="396"/>
      <c r="G112" s="386">
        <v>0.098</v>
      </c>
    </row>
    <row r="113" spans="1:7">
      <c r="A113" s="395" t="s">
        <v>286</v>
      </c>
      <c r="B113" s="384" t="s">
        <v>2652</v>
      </c>
      <c r="C113" s="385">
        <v>0.1</v>
      </c>
      <c r="D113" s="385">
        <v>0.1</v>
      </c>
      <c r="E113" s="396"/>
      <c r="F113" s="396"/>
      <c r="G113" s="386">
        <v>0.1</v>
      </c>
    </row>
    <row r="114" spans="1:7">
      <c r="A114" s="395" t="s">
        <v>286</v>
      </c>
      <c r="B114" s="384" t="s">
        <v>2653</v>
      </c>
      <c r="C114" s="385">
        <v>0.097</v>
      </c>
      <c r="D114" s="385">
        <v>0.097</v>
      </c>
      <c r="E114" s="396"/>
      <c r="F114" s="396"/>
      <c r="G114" s="386">
        <v>0.099</v>
      </c>
    </row>
    <row r="115" spans="1:7">
      <c r="A115" s="395" t="s">
        <v>286</v>
      </c>
      <c r="B115" s="384" t="s">
        <v>2654</v>
      </c>
      <c r="C115" s="385">
        <v>0.1</v>
      </c>
      <c r="D115" s="385">
        <v>0.1</v>
      </c>
      <c r="E115" s="396"/>
      <c r="F115" s="396"/>
      <c r="G115" s="386">
        <v>0.1</v>
      </c>
    </row>
    <row r="116" spans="1:7">
      <c r="A116" s="395" t="s">
        <v>286</v>
      </c>
      <c r="B116" s="384" t="s">
        <v>2655</v>
      </c>
      <c r="C116" s="385">
        <v>0.1</v>
      </c>
      <c r="D116" s="385">
        <v>0.1</v>
      </c>
      <c r="E116" s="396"/>
      <c r="F116" s="396"/>
      <c r="G116" s="386">
        <v>0.1</v>
      </c>
    </row>
    <row r="117" spans="1:7">
      <c r="A117" s="395" t="s">
        <v>286</v>
      </c>
      <c r="B117" s="384" t="s">
        <v>2656</v>
      </c>
      <c r="C117" s="385">
        <v>0.097</v>
      </c>
      <c r="D117" s="385">
        <v>0.097</v>
      </c>
      <c r="E117" s="396"/>
      <c r="F117" s="396"/>
      <c r="G117" s="386">
        <v>0.097</v>
      </c>
    </row>
    <row r="118" spans="1:7">
      <c r="A118" s="395" t="s">
        <v>286</v>
      </c>
      <c r="B118" s="384" t="s">
        <v>2657</v>
      </c>
      <c r="C118" s="385">
        <v>0.1</v>
      </c>
      <c r="D118" s="385">
        <v>0.1</v>
      </c>
      <c r="E118" s="396"/>
      <c r="F118" s="396"/>
      <c r="G118" s="386">
        <v>0.1</v>
      </c>
    </row>
    <row r="119" spans="1:7">
      <c r="A119" s="395" t="s">
        <v>286</v>
      </c>
      <c r="B119" s="384" t="s">
        <v>2658</v>
      </c>
      <c r="C119" s="385">
        <v>0.051</v>
      </c>
      <c r="D119" s="385">
        <v>0.052</v>
      </c>
      <c r="E119" s="396"/>
      <c r="F119" s="401"/>
      <c r="G119" s="386">
        <v>0.06</v>
      </c>
    </row>
    <row r="120" spans="1:7">
      <c r="A120" s="395" t="s">
        <v>286</v>
      </c>
      <c r="B120" s="384" t="s">
        <v>2659</v>
      </c>
      <c r="C120" s="396"/>
      <c r="D120" s="396"/>
      <c r="E120" s="396"/>
      <c r="F120" s="385">
        <v>0.1</v>
      </c>
      <c r="G120" s="402"/>
    </row>
    <row r="121" spans="1:7">
      <c r="A121" s="395" t="s">
        <v>286</v>
      </c>
      <c r="B121" s="384" t="s">
        <v>2660</v>
      </c>
      <c r="C121" s="396"/>
      <c r="D121" s="396"/>
      <c r="E121" s="396"/>
      <c r="F121" s="385">
        <v>0.1</v>
      </c>
      <c r="G121" s="402"/>
    </row>
    <row r="122" spans="1:7">
      <c r="A122" s="395" t="s">
        <v>286</v>
      </c>
      <c r="B122" s="384" t="s">
        <v>2661</v>
      </c>
      <c r="C122" s="385">
        <v>0.1</v>
      </c>
      <c r="D122" s="385">
        <v>0.1</v>
      </c>
      <c r="E122" s="385">
        <v>0.098</v>
      </c>
      <c r="F122" s="385">
        <v>0.1</v>
      </c>
      <c r="G122" s="386">
        <v>0.1</v>
      </c>
    </row>
    <row r="123" spans="1:7">
      <c r="A123" s="395" t="s">
        <v>286</v>
      </c>
      <c r="B123" s="384" t="s">
        <v>2662</v>
      </c>
      <c r="C123" s="385">
        <v>0.1</v>
      </c>
      <c r="D123" s="385">
        <v>0.1</v>
      </c>
      <c r="E123" s="385">
        <v>0.098</v>
      </c>
      <c r="F123" s="385">
        <v>0.1</v>
      </c>
      <c r="G123" s="386">
        <v>0.1</v>
      </c>
    </row>
    <row r="124" spans="1:7">
      <c r="A124" s="395" t="s">
        <v>286</v>
      </c>
      <c r="B124" s="384" t="s">
        <v>2663</v>
      </c>
      <c r="C124" s="385">
        <v>0.1</v>
      </c>
      <c r="D124" s="385">
        <v>0.1</v>
      </c>
      <c r="E124" s="385">
        <v>0.098</v>
      </c>
      <c r="F124" s="401"/>
      <c r="G124" s="386">
        <v>0.1</v>
      </c>
    </row>
    <row r="125" spans="1:7">
      <c r="A125" s="395" t="s">
        <v>286</v>
      </c>
      <c r="B125" s="384" t="s">
        <v>2664</v>
      </c>
      <c r="C125" s="385">
        <v>0.098</v>
      </c>
      <c r="D125" s="385">
        <v>0.098</v>
      </c>
      <c r="E125" s="385">
        <v>0.096</v>
      </c>
      <c r="F125" s="401"/>
      <c r="G125" s="386">
        <v>0.1</v>
      </c>
    </row>
    <row r="126" ht="14.75" spans="1:7">
      <c r="A126" s="398" t="s">
        <v>286</v>
      </c>
      <c r="B126" s="388" t="s">
        <v>2665</v>
      </c>
      <c r="C126" s="389">
        <v>0.1</v>
      </c>
      <c r="D126" s="389">
        <v>0.1</v>
      </c>
      <c r="E126" s="389">
        <v>0.098</v>
      </c>
      <c r="F126" s="389">
        <v>0.1</v>
      </c>
      <c r="G126" s="391">
        <v>0.1</v>
      </c>
    </row>
    <row r="127" spans="1:7">
      <c r="A127" s="394" t="s">
        <v>295</v>
      </c>
      <c r="B127" s="380" t="s">
        <v>2666</v>
      </c>
      <c r="C127" s="381">
        <v>0.121</v>
      </c>
      <c r="D127" s="381">
        <v>0.121</v>
      </c>
      <c r="E127" s="381">
        <v>0.107</v>
      </c>
      <c r="F127" s="381">
        <v>0.13</v>
      </c>
      <c r="G127" s="382">
        <v>0.122</v>
      </c>
    </row>
    <row r="128" spans="1:7">
      <c r="A128" s="395" t="s">
        <v>295</v>
      </c>
      <c r="B128" s="384" t="s">
        <v>2667</v>
      </c>
      <c r="C128" s="385">
        <v>0.116</v>
      </c>
      <c r="D128" s="385">
        <v>0.117</v>
      </c>
      <c r="E128" s="385">
        <v>0.104</v>
      </c>
      <c r="F128" s="385">
        <v>0.13</v>
      </c>
      <c r="G128" s="386">
        <v>0.117</v>
      </c>
    </row>
    <row r="129" spans="1:7">
      <c r="A129" s="395" t="s">
        <v>295</v>
      </c>
      <c r="B129" s="384" t="s">
        <v>2668</v>
      </c>
      <c r="C129" s="385">
        <v>0.107</v>
      </c>
      <c r="D129" s="385">
        <v>0.108</v>
      </c>
      <c r="E129" s="385">
        <v>0.1</v>
      </c>
      <c r="F129" s="385">
        <v>0.13</v>
      </c>
      <c r="G129" s="386">
        <v>0.117</v>
      </c>
    </row>
    <row r="130" spans="1:7">
      <c r="A130" s="395" t="s">
        <v>295</v>
      </c>
      <c r="B130" s="384" t="s">
        <v>2669</v>
      </c>
      <c r="C130" s="385">
        <v>0.13</v>
      </c>
      <c r="D130" s="385">
        <v>0.13</v>
      </c>
      <c r="E130" s="385">
        <v>0.126</v>
      </c>
      <c r="F130" s="385">
        <v>0.13</v>
      </c>
      <c r="G130" s="386">
        <v>0.13</v>
      </c>
    </row>
    <row r="131" spans="1:7">
      <c r="A131" s="395" t="s">
        <v>295</v>
      </c>
      <c r="B131" s="384" t="s">
        <v>2670</v>
      </c>
      <c r="C131" s="385">
        <v>0.13</v>
      </c>
      <c r="D131" s="385">
        <v>0.13</v>
      </c>
      <c r="E131" s="385">
        <v>0.13</v>
      </c>
      <c r="F131" s="385">
        <v>0.13</v>
      </c>
      <c r="G131" s="386">
        <v>0.13</v>
      </c>
    </row>
    <row r="132" spans="1:7">
      <c r="A132" s="395" t="s">
        <v>295</v>
      </c>
      <c r="B132" s="384" t="s">
        <v>2671</v>
      </c>
      <c r="C132" s="385">
        <v>0.13</v>
      </c>
      <c r="D132" s="385">
        <v>0.13</v>
      </c>
      <c r="E132" s="385">
        <v>0.126</v>
      </c>
      <c r="F132" s="385">
        <v>0.13</v>
      </c>
      <c r="G132" s="386">
        <v>0.13</v>
      </c>
    </row>
    <row r="133" spans="1:7">
      <c r="A133" s="395" t="s">
        <v>295</v>
      </c>
      <c r="B133" s="384" t="s">
        <v>2672</v>
      </c>
      <c r="C133" s="385">
        <v>0.111</v>
      </c>
      <c r="D133" s="385">
        <v>0.111</v>
      </c>
      <c r="E133" s="385">
        <v>0.102</v>
      </c>
      <c r="F133" s="385">
        <v>0.13</v>
      </c>
      <c r="G133" s="386">
        <v>0.121</v>
      </c>
    </row>
    <row r="134" spans="1:7">
      <c r="A134" s="395" t="s">
        <v>295</v>
      </c>
      <c r="B134" s="384" t="s">
        <v>2673</v>
      </c>
      <c r="C134" s="385">
        <v>0.121</v>
      </c>
      <c r="D134" s="385">
        <v>0.121</v>
      </c>
      <c r="E134" s="385">
        <v>0.1</v>
      </c>
      <c r="F134" s="385">
        <v>0.13</v>
      </c>
      <c r="G134" s="386">
        <v>0.123</v>
      </c>
    </row>
    <row r="135" spans="1:7">
      <c r="A135" s="395" t="s">
        <v>295</v>
      </c>
      <c r="B135" s="384" t="s">
        <v>2674</v>
      </c>
      <c r="C135" s="385">
        <v>0.105</v>
      </c>
      <c r="D135" s="385">
        <v>0.106</v>
      </c>
      <c r="E135" s="385">
        <v>0.1</v>
      </c>
      <c r="F135" s="385">
        <v>0.13</v>
      </c>
      <c r="G135" s="386">
        <v>0.115</v>
      </c>
    </row>
    <row r="136" spans="1:7">
      <c r="A136" s="395" t="s">
        <v>295</v>
      </c>
      <c r="B136" s="384" t="s">
        <v>2675</v>
      </c>
      <c r="C136" s="385">
        <v>0.127</v>
      </c>
      <c r="D136" s="385">
        <v>0.127</v>
      </c>
      <c r="E136" s="385">
        <v>0.121</v>
      </c>
      <c r="F136" s="385">
        <v>0.123</v>
      </c>
      <c r="G136" s="386">
        <v>0.129</v>
      </c>
    </row>
    <row r="137" spans="1:7">
      <c r="A137" s="395" t="s">
        <v>295</v>
      </c>
      <c r="B137" s="384" t="s">
        <v>2676</v>
      </c>
      <c r="C137" s="385">
        <v>0.13</v>
      </c>
      <c r="D137" s="385">
        <v>0.13</v>
      </c>
      <c r="E137" s="385">
        <v>0.129</v>
      </c>
      <c r="F137" s="385">
        <v>0.13</v>
      </c>
      <c r="G137" s="386">
        <v>0.13</v>
      </c>
    </row>
    <row r="138" spans="1:7">
      <c r="A138" s="395" t="s">
        <v>295</v>
      </c>
      <c r="B138" s="384" t="s">
        <v>2677</v>
      </c>
      <c r="C138" s="385">
        <v>0.13</v>
      </c>
      <c r="D138" s="385">
        <v>0.13</v>
      </c>
      <c r="E138" s="385">
        <v>0.125</v>
      </c>
      <c r="F138" s="385">
        <v>0.13</v>
      </c>
      <c r="G138" s="386">
        <v>0.13</v>
      </c>
    </row>
    <row r="139" spans="1:7">
      <c r="A139" s="395" t="s">
        <v>295</v>
      </c>
      <c r="B139" s="384" t="s">
        <v>2678</v>
      </c>
      <c r="C139" s="385">
        <v>0.13</v>
      </c>
      <c r="D139" s="385">
        <v>0.13</v>
      </c>
      <c r="E139" s="385">
        <v>0.126</v>
      </c>
      <c r="F139" s="385">
        <v>0.13</v>
      </c>
      <c r="G139" s="386">
        <v>0.13</v>
      </c>
    </row>
    <row r="140" spans="1:7">
      <c r="A140" s="395" t="s">
        <v>295</v>
      </c>
      <c r="B140" s="384" t="s">
        <v>2679</v>
      </c>
      <c r="C140" s="385">
        <v>0.1</v>
      </c>
      <c r="D140" s="385">
        <v>0.1</v>
      </c>
      <c r="E140" s="385">
        <v>0.1</v>
      </c>
      <c r="F140" s="385">
        <v>0.123</v>
      </c>
      <c r="G140" s="386">
        <v>0.107</v>
      </c>
    </row>
    <row r="141" spans="1:7">
      <c r="A141" s="395" t="s">
        <v>295</v>
      </c>
      <c r="B141" s="384" t="s">
        <v>2680</v>
      </c>
      <c r="C141" s="385">
        <v>0.127</v>
      </c>
      <c r="D141" s="385">
        <v>0.127</v>
      </c>
      <c r="E141" s="385">
        <v>0.122</v>
      </c>
      <c r="F141" s="385">
        <v>0.1</v>
      </c>
      <c r="G141" s="386">
        <v>0.129</v>
      </c>
    </row>
    <row r="142" spans="1:7">
      <c r="A142" s="395" t="s">
        <v>295</v>
      </c>
      <c r="B142" s="384" t="s">
        <v>2681</v>
      </c>
      <c r="C142" s="385">
        <v>0.121</v>
      </c>
      <c r="D142" s="385">
        <v>0.122</v>
      </c>
      <c r="E142" s="385">
        <v>0.1</v>
      </c>
      <c r="F142" s="385">
        <v>0.123</v>
      </c>
      <c r="G142" s="386">
        <v>0.123</v>
      </c>
    </row>
    <row r="143" spans="1:7">
      <c r="A143" s="395" t="s">
        <v>295</v>
      </c>
      <c r="B143" s="384" t="s">
        <v>2682</v>
      </c>
      <c r="C143" s="385">
        <v>0.1</v>
      </c>
      <c r="D143" s="385">
        <v>0.1</v>
      </c>
      <c r="E143" s="385">
        <v>0.1</v>
      </c>
      <c r="F143" s="385">
        <v>0.13</v>
      </c>
      <c r="G143" s="386">
        <v>0.1</v>
      </c>
    </row>
    <row r="144" spans="1:7">
      <c r="A144" s="395" t="s">
        <v>295</v>
      </c>
      <c r="B144" s="384" t="s">
        <v>2683</v>
      </c>
      <c r="C144" s="385">
        <v>0.106</v>
      </c>
      <c r="D144" s="385">
        <v>0.105</v>
      </c>
      <c r="E144" s="385">
        <v>0.1</v>
      </c>
      <c r="F144" s="385">
        <v>0.13</v>
      </c>
      <c r="G144" s="386">
        <v>0.118</v>
      </c>
    </row>
    <row r="145" spans="1:7">
      <c r="A145" s="395" t="s">
        <v>295</v>
      </c>
      <c r="B145" s="384" t="s">
        <v>2684</v>
      </c>
      <c r="C145" s="385">
        <v>0.123</v>
      </c>
      <c r="D145" s="385">
        <v>0.123</v>
      </c>
      <c r="E145" s="385">
        <v>0.117</v>
      </c>
      <c r="F145" s="385">
        <v>0.13</v>
      </c>
      <c r="G145" s="386">
        <v>0.126</v>
      </c>
    </row>
    <row r="146" spans="1:7">
      <c r="A146" s="395" t="s">
        <v>295</v>
      </c>
      <c r="B146" s="384" t="s">
        <v>2685</v>
      </c>
      <c r="C146" s="385">
        <v>0.127</v>
      </c>
      <c r="D146" s="385">
        <v>0.127</v>
      </c>
      <c r="E146" s="385">
        <v>0.12</v>
      </c>
      <c r="F146" s="396"/>
      <c r="G146" s="386">
        <v>0.129</v>
      </c>
    </row>
    <row r="147" spans="1:7">
      <c r="A147" s="395" t="s">
        <v>295</v>
      </c>
      <c r="B147" s="384" t="s">
        <v>2686</v>
      </c>
      <c r="C147" s="385">
        <v>0.13</v>
      </c>
      <c r="D147" s="385">
        <v>0.13</v>
      </c>
      <c r="E147" s="385">
        <v>0.126</v>
      </c>
      <c r="F147" s="396"/>
      <c r="G147" s="386">
        <v>0.13</v>
      </c>
    </row>
    <row r="148" spans="1:7">
      <c r="A148" s="395" t="s">
        <v>295</v>
      </c>
      <c r="B148" s="384" t="s">
        <v>2687</v>
      </c>
      <c r="C148" s="385">
        <v>0.13</v>
      </c>
      <c r="D148" s="385">
        <v>0.13</v>
      </c>
      <c r="E148" s="385">
        <v>0.13</v>
      </c>
      <c r="F148" s="396"/>
      <c r="G148" s="386">
        <v>0.13</v>
      </c>
    </row>
    <row r="149" spans="1:7">
      <c r="A149" s="395" t="s">
        <v>295</v>
      </c>
      <c r="B149" s="384" t="s">
        <v>2688</v>
      </c>
      <c r="C149" s="385">
        <v>0.13</v>
      </c>
      <c r="D149" s="385">
        <v>0.13</v>
      </c>
      <c r="E149" s="385">
        <v>0.13</v>
      </c>
      <c r="F149" s="385">
        <v>0.13</v>
      </c>
      <c r="G149" s="386">
        <v>0.13</v>
      </c>
    </row>
    <row r="150" spans="1:7">
      <c r="A150" s="395" t="s">
        <v>295</v>
      </c>
      <c r="B150" s="384" t="s">
        <v>2689</v>
      </c>
      <c r="C150" s="385">
        <v>0.13</v>
      </c>
      <c r="D150" s="385">
        <v>0.13</v>
      </c>
      <c r="E150" s="385">
        <v>0.127</v>
      </c>
      <c r="F150" s="385">
        <v>0.13</v>
      </c>
      <c r="G150" s="386">
        <v>0.13</v>
      </c>
    </row>
    <row r="151" spans="1:7">
      <c r="A151" s="395" t="s">
        <v>295</v>
      </c>
      <c r="B151" s="384" t="s">
        <v>2690</v>
      </c>
      <c r="C151" s="385">
        <v>0.13</v>
      </c>
      <c r="D151" s="385">
        <v>0.13</v>
      </c>
      <c r="E151" s="385">
        <v>0.13</v>
      </c>
      <c r="F151" s="385">
        <v>0.13</v>
      </c>
      <c r="G151" s="386">
        <v>0.13</v>
      </c>
    </row>
    <row r="152" spans="1:7">
      <c r="A152" s="395" t="s">
        <v>295</v>
      </c>
      <c r="B152" s="384" t="s">
        <v>2691</v>
      </c>
      <c r="C152" s="385">
        <v>0.13</v>
      </c>
      <c r="D152" s="385">
        <v>0.13</v>
      </c>
      <c r="E152" s="385">
        <v>0.13</v>
      </c>
      <c r="F152" s="385">
        <v>0.13</v>
      </c>
      <c r="G152" s="386">
        <v>0.13</v>
      </c>
    </row>
    <row r="153" spans="1:7">
      <c r="A153" s="395" t="s">
        <v>295</v>
      </c>
      <c r="B153" s="384" t="s">
        <v>2692</v>
      </c>
      <c r="C153" s="385">
        <v>0.13</v>
      </c>
      <c r="D153" s="385">
        <v>0.13</v>
      </c>
      <c r="E153" s="385">
        <v>0.13</v>
      </c>
      <c r="F153" s="385">
        <v>0.13</v>
      </c>
      <c r="G153" s="386">
        <v>0.13</v>
      </c>
    </row>
    <row r="154" spans="1:7">
      <c r="A154" s="395" t="s">
        <v>295</v>
      </c>
      <c r="B154" s="384" t="s">
        <v>2693</v>
      </c>
      <c r="C154" s="385">
        <v>0.121</v>
      </c>
      <c r="D154" s="385">
        <v>0.121</v>
      </c>
      <c r="E154" s="385">
        <v>0.105</v>
      </c>
      <c r="F154" s="385">
        <v>0.121</v>
      </c>
      <c r="G154" s="386">
        <v>0.123</v>
      </c>
    </row>
    <row r="155" spans="1:7">
      <c r="A155" s="395" t="s">
        <v>295</v>
      </c>
      <c r="B155" s="384" t="s">
        <v>2694</v>
      </c>
      <c r="C155" s="385">
        <v>0.1</v>
      </c>
      <c r="D155" s="385">
        <v>0.1</v>
      </c>
      <c r="E155" s="385">
        <v>0.1</v>
      </c>
      <c r="F155" s="385">
        <v>0.1</v>
      </c>
      <c r="G155" s="386">
        <v>0.1</v>
      </c>
    </row>
    <row r="156" spans="1:7">
      <c r="A156" s="395" t="s">
        <v>295</v>
      </c>
      <c r="B156" s="384" t="s">
        <v>2695</v>
      </c>
      <c r="C156" s="385">
        <v>0.13</v>
      </c>
      <c r="D156" s="385">
        <v>0.13</v>
      </c>
      <c r="E156" s="385">
        <v>0.13</v>
      </c>
      <c r="F156" s="385">
        <v>0.13</v>
      </c>
      <c r="G156" s="386">
        <v>0.13</v>
      </c>
    </row>
    <row r="157" spans="1:7">
      <c r="A157" s="395" t="s">
        <v>295</v>
      </c>
      <c r="B157" s="384" t="s">
        <v>2696</v>
      </c>
      <c r="C157" s="385">
        <v>0.13</v>
      </c>
      <c r="D157" s="385">
        <v>0.13</v>
      </c>
      <c r="E157" s="385">
        <v>0.125</v>
      </c>
      <c r="F157" s="385">
        <v>0.13</v>
      </c>
      <c r="G157" s="386">
        <v>0.13</v>
      </c>
    </row>
    <row r="158" spans="1:7">
      <c r="A158" s="395" t="s">
        <v>295</v>
      </c>
      <c r="B158" s="384" t="s">
        <v>2697</v>
      </c>
      <c r="C158" s="385">
        <v>0.124</v>
      </c>
      <c r="D158" s="385">
        <v>0.124</v>
      </c>
      <c r="E158" s="385">
        <v>0.117</v>
      </c>
      <c r="F158" s="385">
        <v>0.121</v>
      </c>
      <c r="G158" s="386">
        <v>0.124</v>
      </c>
    </row>
    <row r="159" spans="1:7">
      <c r="A159" s="395" t="s">
        <v>295</v>
      </c>
      <c r="B159" s="384" t="s">
        <v>2698</v>
      </c>
      <c r="C159" s="385">
        <v>0.127</v>
      </c>
      <c r="D159" s="385">
        <v>0.127</v>
      </c>
      <c r="E159" s="385">
        <v>0.122</v>
      </c>
      <c r="F159" s="385">
        <v>0.13</v>
      </c>
      <c r="G159" s="386">
        <v>0.129</v>
      </c>
    </row>
    <row r="160" spans="1:7">
      <c r="A160" s="395" t="s">
        <v>295</v>
      </c>
      <c r="B160" s="384" t="s">
        <v>2699</v>
      </c>
      <c r="C160" s="385">
        <v>0.13</v>
      </c>
      <c r="D160" s="385">
        <v>0.13</v>
      </c>
      <c r="E160" s="385">
        <v>0.124</v>
      </c>
      <c r="F160" s="385">
        <v>0.126</v>
      </c>
      <c r="G160" s="386">
        <v>0.13</v>
      </c>
    </row>
    <row r="161" spans="1:7">
      <c r="A161" s="395" t="s">
        <v>295</v>
      </c>
      <c r="B161" s="384" t="s">
        <v>2700</v>
      </c>
      <c r="C161" s="385">
        <v>0.13</v>
      </c>
      <c r="D161" s="385">
        <v>0.13</v>
      </c>
      <c r="E161" s="385">
        <v>0.124</v>
      </c>
      <c r="F161" s="385">
        <v>0.127</v>
      </c>
      <c r="G161" s="386">
        <v>0.13</v>
      </c>
    </row>
    <row r="162" spans="1:7">
      <c r="A162" s="395" t="s">
        <v>295</v>
      </c>
      <c r="B162" s="384" t="s">
        <v>2701</v>
      </c>
      <c r="C162" s="385">
        <v>0.1</v>
      </c>
      <c r="D162" s="385">
        <v>0.1</v>
      </c>
      <c r="E162" s="385">
        <v>0.1</v>
      </c>
      <c r="F162" s="385">
        <v>0.121</v>
      </c>
      <c r="G162" s="386">
        <v>0.105</v>
      </c>
    </row>
    <row r="163" spans="1:7">
      <c r="A163" s="395" t="s">
        <v>295</v>
      </c>
      <c r="B163" s="384" t="s">
        <v>2702</v>
      </c>
      <c r="C163" s="385">
        <v>0.1</v>
      </c>
      <c r="D163" s="385">
        <v>0.1</v>
      </c>
      <c r="E163" s="385">
        <v>0.1</v>
      </c>
      <c r="F163" s="385">
        <v>0.1</v>
      </c>
      <c r="G163" s="386">
        <v>0.1</v>
      </c>
    </row>
    <row r="164" spans="1:7">
      <c r="A164" s="395" t="s">
        <v>295</v>
      </c>
      <c r="B164" s="384" t="s">
        <v>2703</v>
      </c>
      <c r="C164" s="401"/>
      <c r="D164" s="401"/>
      <c r="E164" s="401"/>
      <c r="F164" s="385">
        <v>0.1</v>
      </c>
      <c r="G164" s="397"/>
    </row>
    <row r="165" spans="1:7">
      <c r="A165" s="395" t="s">
        <v>295</v>
      </c>
      <c r="B165" s="384" t="s">
        <v>2704</v>
      </c>
      <c r="C165" s="385">
        <v>0.126</v>
      </c>
      <c r="D165" s="385">
        <v>0.126</v>
      </c>
      <c r="E165" s="385">
        <v>0.119</v>
      </c>
      <c r="F165" s="385">
        <v>0.13</v>
      </c>
      <c r="G165" s="386">
        <v>0.128</v>
      </c>
    </row>
    <row r="166" spans="1:7">
      <c r="A166" s="395" t="s">
        <v>295</v>
      </c>
      <c r="B166" s="384" t="s">
        <v>2705</v>
      </c>
      <c r="C166" s="385">
        <v>0.129</v>
      </c>
      <c r="D166" s="385">
        <v>0.129</v>
      </c>
      <c r="E166" s="385">
        <v>0.123</v>
      </c>
      <c r="F166" s="385">
        <v>0.128</v>
      </c>
      <c r="G166" s="386">
        <v>0.13</v>
      </c>
    </row>
    <row r="167" spans="1:7">
      <c r="A167" s="395" t="s">
        <v>295</v>
      </c>
      <c r="B167" s="384" t="s">
        <v>2706</v>
      </c>
      <c r="C167" s="385">
        <v>0.125</v>
      </c>
      <c r="D167" s="385">
        <v>0.125</v>
      </c>
      <c r="E167" s="385">
        <v>0.117</v>
      </c>
      <c r="F167" s="385">
        <v>0.13</v>
      </c>
      <c r="G167" s="386">
        <v>0.126</v>
      </c>
    </row>
    <row r="168" spans="1:7">
      <c r="A168" s="395" t="s">
        <v>295</v>
      </c>
      <c r="B168" s="384" t="s">
        <v>2707</v>
      </c>
      <c r="C168" s="385">
        <v>0.128</v>
      </c>
      <c r="D168" s="385">
        <v>0.128</v>
      </c>
      <c r="E168" s="385">
        <v>0.123</v>
      </c>
      <c r="F168" s="396"/>
      <c r="G168" s="386">
        <v>0.13</v>
      </c>
    </row>
    <row r="169" spans="1:7">
      <c r="A169" s="395" t="s">
        <v>295</v>
      </c>
      <c r="B169" s="384" t="s">
        <v>2708</v>
      </c>
      <c r="C169" s="401"/>
      <c r="D169" s="401"/>
      <c r="E169" s="401"/>
      <c r="F169" s="385">
        <v>0.05</v>
      </c>
      <c r="G169" s="397"/>
    </row>
    <row r="170" spans="1:7">
      <c r="A170" s="395" t="s">
        <v>295</v>
      </c>
      <c r="B170" s="384" t="s">
        <v>2709</v>
      </c>
      <c r="C170" s="401"/>
      <c r="D170" s="401"/>
      <c r="E170" s="401"/>
      <c r="F170" s="385">
        <v>0.05</v>
      </c>
      <c r="G170" s="397"/>
    </row>
    <row r="171" spans="1:7">
      <c r="A171" s="395" t="s">
        <v>295</v>
      </c>
      <c r="B171" s="384" t="s">
        <v>2710</v>
      </c>
      <c r="C171" s="401"/>
      <c r="D171" s="401"/>
      <c r="E171" s="401"/>
      <c r="F171" s="385">
        <v>0.05</v>
      </c>
      <c r="G171" s="402"/>
    </row>
    <row r="172" spans="1:7">
      <c r="A172" s="395" t="s">
        <v>295</v>
      </c>
      <c r="B172" s="384" t="s">
        <v>2711</v>
      </c>
      <c r="C172" s="401"/>
      <c r="D172" s="401"/>
      <c r="E172" s="401"/>
      <c r="F172" s="385">
        <v>0.05</v>
      </c>
      <c r="G172" s="402"/>
    </row>
    <row r="173" spans="1:7">
      <c r="A173" s="395" t="s">
        <v>295</v>
      </c>
      <c r="B173" s="384" t="s">
        <v>2712</v>
      </c>
      <c r="C173" s="401"/>
      <c r="D173" s="401"/>
      <c r="E173" s="401"/>
      <c r="F173" s="385">
        <v>0.05</v>
      </c>
      <c r="G173" s="397"/>
    </row>
    <row r="174" spans="1:7">
      <c r="A174" s="395" t="s">
        <v>295</v>
      </c>
      <c r="B174" s="384" t="s">
        <v>2713</v>
      </c>
      <c r="C174" s="401"/>
      <c r="D174" s="401"/>
      <c r="E174" s="401"/>
      <c r="F174" s="385">
        <v>0.05</v>
      </c>
      <c r="G174" s="397"/>
    </row>
    <row r="175" spans="1:7">
      <c r="A175" s="395" t="s">
        <v>295</v>
      </c>
      <c r="B175" s="384" t="s">
        <v>2714</v>
      </c>
      <c r="C175" s="401"/>
      <c r="D175" s="401"/>
      <c r="E175" s="401"/>
      <c r="F175" s="385">
        <v>0.05</v>
      </c>
      <c r="G175" s="397"/>
    </row>
    <row r="176" spans="1:7">
      <c r="A176" s="395" t="s">
        <v>295</v>
      </c>
      <c r="B176" s="384" t="s">
        <v>2715</v>
      </c>
      <c r="C176" s="401"/>
      <c r="D176" s="401"/>
      <c r="E176" s="401"/>
      <c r="F176" s="385">
        <v>0.05</v>
      </c>
      <c r="G176" s="397"/>
    </row>
    <row r="177" spans="1:7">
      <c r="A177" s="395" t="s">
        <v>295</v>
      </c>
      <c r="B177" s="384" t="s">
        <v>2716</v>
      </c>
      <c r="C177" s="396"/>
      <c r="D177" s="396"/>
      <c r="E177" s="396"/>
      <c r="F177" s="385">
        <v>0.05</v>
      </c>
      <c r="G177" s="402"/>
    </row>
    <row r="178" spans="1:7">
      <c r="A178" s="395" t="s">
        <v>295</v>
      </c>
      <c r="B178" s="384" t="s">
        <v>2717</v>
      </c>
      <c r="C178" s="396"/>
      <c r="D178" s="396"/>
      <c r="E178" s="396"/>
      <c r="F178" s="385">
        <v>0.05</v>
      </c>
      <c r="G178" s="402"/>
    </row>
    <row r="179" spans="1:7">
      <c r="A179" s="395" t="s">
        <v>295</v>
      </c>
      <c r="B179" s="384" t="s">
        <v>2718</v>
      </c>
      <c r="C179" s="396"/>
      <c r="D179" s="396"/>
      <c r="E179" s="396"/>
      <c r="F179" s="385">
        <v>0.05</v>
      </c>
      <c r="G179" s="402"/>
    </row>
    <row r="180" spans="1:7">
      <c r="A180" s="395" t="s">
        <v>295</v>
      </c>
      <c r="B180" s="384" t="s">
        <v>2719</v>
      </c>
      <c r="C180" s="396"/>
      <c r="D180" s="396"/>
      <c r="E180" s="396"/>
      <c r="F180" s="385">
        <v>0.05</v>
      </c>
      <c r="G180" s="402"/>
    </row>
    <row r="181" spans="1:7">
      <c r="A181" s="395" t="s">
        <v>295</v>
      </c>
      <c r="B181" s="384" t="s">
        <v>2720</v>
      </c>
      <c r="C181" s="396"/>
      <c r="D181" s="396"/>
      <c r="E181" s="396"/>
      <c r="F181" s="385">
        <v>0.05</v>
      </c>
      <c r="G181" s="402"/>
    </row>
    <row r="182" spans="1:7">
      <c r="A182" s="395" t="s">
        <v>295</v>
      </c>
      <c r="B182" s="384" t="s">
        <v>2721</v>
      </c>
      <c r="C182" s="396"/>
      <c r="D182" s="396"/>
      <c r="E182" s="396"/>
      <c r="F182" s="385">
        <v>0.05</v>
      </c>
      <c r="G182" s="402"/>
    </row>
    <row r="183" spans="1:7">
      <c r="A183" s="395" t="s">
        <v>295</v>
      </c>
      <c r="B183" s="384" t="s">
        <v>2722</v>
      </c>
      <c r="C183" s="396"/>
      <c r="D183" s="396"/>
      <c r="E183" s="396"/>
      <c r="F183" s="385">
        <v>0.05</v>
      </c>
      <c r="G183" s="402"/>
    </row>
    <row r="184" spans="1:7">
      <c r="A184" s="395" t="s">
        <v>295</v>
      </c>
      <c r="B184" s="384" t="s">
        <v>2723</v>
      </c>
      <c r="C184" s="396"/>
      <c r="D184" s="396"/>
      <c r="E184" s="396"/>
      <c r="F184" s="385">
        <v>0.05</v>
      </c>
      <c r="G184" s="402"/>
    </row>
    <row r="185" spans="1:7">
      <c r="A185" s="395" t="s">
        <v>295</v>
      </c>
      <c r="B185" s="384" t="s">
        <v>2724</v>
      </c>
      <c r="C185" s="396"/>
      <c r="D185" s="396"/>
      <c r="E185" s="396"/>
      <c r="F185" s="385">
        <v>0.05</v>
      </c>
      <c r="G185" s="402"/>
    </row>
    <row r="186" spans="1:7">
      <c r="A186" s="395" t="s">
        <v>295</v>
      </c>
      <c r="B186" s="384" t="s">
        <v>2725</v>
      </c>
      <c r="C186" s="396"/>
      <c r="D186" s="396"/>
      <c r="E186" s="396"/>
      <c r="F186" s="385">
        <v>0.05</v>
      </c>
      <c r="G186" s="402"/>
    </row>
    <row r="187" spans="1:7">
      <c r="A187" s="395" t="s">
        <v>295</v>
      </c>
      <c r="B187" s="384" t="s">
        <v>2726</v>
      </c>
      <c r="C187" s="396"/>
      <c r="D187" s="396"/>
      <c r="E187" s="396"/>
      <c r="F187" s="385">
        <v>0.05</v>
      </c>
      <c r="G187" s="402"/>
    </row>
    <row r="188" spans="1:7">
      <c r="A188" s="395" t="s">
        <v>295</v>
      </c>
      <c r="B188" s="384" t="s">
        <v>2727</v>
      </c>
      <c r="C188" s="396"/>
      <c r="D188" s="396"/>
      <c r="E188" s="396"/>
      <c r="F188" s="385">
        <v>0.05</v>
      </c>
      <c r="G188" s="402"/>
    </row>
    <row r="189" ht="14.75" spans="1:7">
      <c r="A189" s="398" t="s">
        <v>295</v>
      </c>
      <c r="B189" s="388" t="s">
        <v>2728</v>
      </c>
      <c r="C189" s="390"/>
      <c r="D189" s="390"/>
      <c r="E189" s="390"/>
      <c r="F189" s="389">
        <v>0.05</v>
      </c>
      <c r="G189" s="403"/>
    </row>
    <row r="190" spans="1:7">
      <c r="A190" s="394" t="s">
        <v>303</v>
      </c>
      <c r="B190" s="380" t="s">
        <v>2729</v>
      </c>
      <c r="C190" s="381">
        <v>0.124</v>
      </c>
      <c r="D190" s="381">
        <v>0.124</v>
      </c>
      <c r="E190" s="381">
        <v>0.129</v>
      </c>
      <c r="F190" s="381">
        <v>0.13</v>
      </c>
      <c r="G190" s="382">
        <v>0.127</v>
      </c>
    </row>
    <row r="191" spans="1:7">
      <c r="A191" s="395" t="s">
        <v>303</v>
      </c>
      <c r="B191" s="384" t="s">
        <v>2730</v>
      </c>
      <c r="C191" s="385">
        <v>0.13</v>
      </c>
      <c r="D191" s="385">
        <v>0.13</v>
      </c>
      <c r="E191" s="385">
        <v>0.13</v>
      </c>
      <c r="F191" s="385">
        <v>0.13</v>
      </c>
      <c r="G191" s="386">
        <v>0.13</v>
      </c>
    </row>
    <row r="192" spans="1:7">
      <c r="A192" s="395" t="s">
        <v>303</v>
      </c>
      <c r="B192" s="384" t="s">
        <v>2731</v>
      </c>
      <c r="C192" s="385">
        <v>0.13</v>
      </c>
      <c r="D192" s="385">
        <v>0.13</v>
      </c>
      <c r="E192" s="385">
        <v>0.13</v>
      </c>
      <c r="F192" s="385">
        <v>0.13</v>
      </c>
      <c r="G192" s="386">
        <v>0.13</v>
      </c>
    </row>
    <row r="193" spans="1:7">
      <c r="A193" s="395" t="s">
        <v>303</v>
      </c>
      <c r="B193" s="384" t="s">
        <v>2732</v>
      </c>
      <c r="C193" s="385">
        <v>0.13</v>
      </c>
      <c r="D193" s="385">
        <v>0.13</v>
      </c>
      <c r="E193" s="385">
        <v>0.13</v>
      </c>
      <c r="F193" s="385">
        <v>0.13</v>
      </c>
      <c r="G193" s="386">
        <v>0.13</v>
      </c>
    </row>
    <row r="194" spans="1:7">
      <c r="A194" s="395" t="s">
        <v>303</v>
      </c>
      <c r="B194" s="384" t="s">
        <v>2733</v>
      </c>
      <c r="C194" s="385">
        <v>0.123</v>
      </c>
      <c r="D194" s="385">
        <v>0.123</v>
      </c>
      <c r="E194" s="385">
        <v>0.128</v>
      </c>
      <c r="F194" s="385">
        <v>0.13</v>
      </c>
      <c r="G194" s="386">
        <v>0.126</v>
      </c>
    </row>
    <row r="195" spans="1:7">
      <c r="A195" s="395" t="s">
        <v>303</v>
      </c>
      <c r="B195" s="384" t="s">
        <v>2734</v>
      </c>
      <c r="C195" s="385">
        <v>0.127</v>
      </c>
      <c r="D195" s="385">
        <v>0.127</v>
      </c>
      <c r="E195" s="385">
        <v>0.121</v>
      </c>
      <c r="F195" s="385">
        <v>0.129</v>
      </c>
      <c r="G195" s="386">
        <v>0.129</v>
      </c>
    </row>
    <row r="196" spans="1:7">
      <c r="A196" s="395" t="s">
        <v>303</v>
      </c>
      <c r="B196" s="384" t="s">
        <v>2735</v>
      </c>
      <c r="C196" s="385">
        <v>0.127</v>
      </c>
      <c r="D196" s="385">
        <v>0.128</v>
      </c>
      <c r="E196" s="385">
        <v>0.122</v>
      </c>
      <c r="F196" s="385">
        <v>0.13</v>
      </c>
      <c r="G196" s="386">
        <v>0.129</v>
      </c>
    </row>
    <row r="197" spans="1:7">
      <c r="A197" s="395" t="s">
        <v>303</v>
      </c>
      <c r="B197" s="384" t="s">
        <v>2736</v>
      </c>
      <c r="C197" s="385">
        <v>0.126</v>
      </c>
      <c r="D197" s="385">
        <v>0.126</v>
      </c>
      <c r="E197" s="385">
        <v>0.119</v>
      </c>
      <c r="F197" s="385">
        <v>0.13</v>
      </c>
      <c r="G197" s="386">
        <v>0.128</v>
      </c>
    </row>
    <row r="198" spans="1:7">
      <c r="A198" s="395" t="s">
        <v>303</v>
      </c>
      <c r="B198" s="384" t="s">
        <v>2737</v>
      </c>
      <c r="C198" s="385">
        <v>0.13</v>
      </c>
      <c r="D198" s="385">
        <v>0.13</v>
      </c>
      <c r="E198" s="385">
        <v>0.126</v>
      </c>
      <c r="F198" s="401"/>
      <c r="G198" s="386">
        <v>0.13</v>
      </c>
    </row>
    <row r="199" spans="1:7">
      <c r="A199" s="395" t="s">
        <v>303</v>
      </c>
      <c r="B199" s="384" t="s">
        <v>2738</v>
      </c>
      <c r="C199" s="385">
        <v>0.13</v>
      </c>
      <c r="D199" s="385">
        <v>0.13</v>
      </c>
      <c r="E199" s="385">
        <v>0.13</v>
      </c>
      <c r="F199" s="385">
        <v>0.13</v>
      </c>
      <c r="G199" s="386">
        <v>0.13</v>
      </c>
    </row>
    <row r="200" spans="1:7">
      <c r="A200" s="395" t="s">
        <v>303</v>
      </c>
      <c r="B200" s="384" t="s">
        <v>2739</v>
      </c>
      <c r="C200" s="401"/>
      <c r="D200" s="401"/>
      <c r="E200" s="401"/>
      <c r="F200" s="385">
        <v>0.13</v>
      </c>
      <c r="G200" s="397"/>
    </row>
    <row r="201" spans="1:7">
      <c r="A201" s="395" t="s">
        <v>303</v>
      </c>
      <c r="B201" s="384" t="s">
        <v>2740</v>
      </c>
      <c r="C201" s="385">
        <v>0.13</v>
      </c>
      <c r="D201" s="385">
        <v>0.13</v>
      </c>
      <c r="E201" s="385">
        <v>0.13</v>
      </c>
      <c r="F201" s="385">
        <v>0.129</v>
      </c>
      <c r="G201" s="386">
        <v>0.13</v>
      </c>
    </row>
    <row r="202" spans="1:7">
      <c r="A202" s="395" t="s">
        <v>303</v>
      </c>
      <c r="B202" s="384" t="s">
        <v>2741</v>
      </c>
      <c r="C202" s="385">
        <v>0.13</v>
      </c>
      <c r="D202" s="385">
        <v>0.13</v>
      </c>
      <c r="E202" s="385">
        <v>0.13</v>
      </c>
      <c r="F202" s="385">
        <v>0.13</v>
      </c>
      <c r="G202" s="386">
        <v>0.13</v>
      </c>
    </row>
    <row r="203" spans="1:7">
      <c r="A203" s="395" t="s">
        <v>303</v>
      </c>
      <c r="B203" s="384" t="s">
        <v>2742</v>
      </c>
      <c r="C203" s="385">
        <v>0.129</v>
      </c>
      <c r="D203" s="385">
        <v>0.129</v>
      </c>
      <c r="E203" s="385">
        <v>0.13</v>
      </c>
      <c r="F203" s="385">
        <v>0.13</v>
      </c>
      <c r="G203" s="386">
        <v>0.13</v>
      </c>
    </row>
    <row r="204" spans="1:7">
      <c r="A204" s="395" t="s">
        <v>303</v>
      </c>
      <c r="B204" s="384" t="s">
        <v>2743</v>
      </c>
      <c r="C204" s="385">
        <v>0.129</v>
      </c>
      <c r="D204" s="385">
        <v>0.129</v>
      </c>
      <c r="E204" s="385">
        <v>0.123</v>
      </c>
      <c r="F204" s="385">
        <v>0.13</v>
      </c>
      <c r="G204" s="386">
        <v>0.13</v>
      </c>
    </row>
    <row r="205" spans="1:7">
      <c r="A205" s="395" t="s">
        <v>303</v>
      </c>
      <c r="B205" s="384" t="s">
        <v>2744</v>
      </c>
      <c r="C205" s="385">
        <v>0.13</v>
      </c>
      <c r="D205" s="385">
        <v>0.13</v>
      </c>
      <c r="E205" s="385">
        <v>0.13</v>
      </c>
      <c r="F205" s="385">
        <v>0.13</v>
      </c>
      <c r="G205" s="386">
        <v>0.13</v>
      </c>
    </row>
    <row r="206" spans="1:7">
      <c r="A206" s="395" t="s">
        <v>303</v>
      </c>
      <c r="B206" s="384" t="s">
        <v>2745</v>
      </c>
      <c r="C206" s="385">
        <v>0.13</v>
      </c>
      <c r="D206" s="385">
        <v>0.13</v>
      </c>
      <c r="E206" s="385">
        <v>0.13</v>
      </c>
      <c r="F206" s="385">
        <v>0.128</v>
      </c>
      <c r="G206" s="386">
        <v>0.13</v>
      </c>
    </row>
    <row r="207" spans="1:7">
      <c r="A207" s="395" t="s">
        <v>303</v>
      </c>
      <c r="B207" s="384" t="s">
        <v>2746</v>
      </c>
      <c r="C207" s="385">
        <v>0.13</v>
      </c>
      <c r="D207" s="385">
        <v>0.13</v>
      </c>
      <c r="E207" s="385">
        <v>0.13</v>
      </c>
      <c r="F207" s="385">
        <v>0.13</v>
      </c>
      <c r="G207" s="386">
        <v>0.13</v>
      </c>
    </row>
    <row r="208" spans="1:7">
      <c r="A208" s="395" t="s">
        <v>303</v>
      </c>
      <c r="B208" s="384" t="s">
        <v>2747</v>
      </c>
      <c r="C208" s="385">
        <v>0.13</v>
      </c>
      <c r="D208" s="385">
        <v>0.13</v>
      </c>
      <c r="E208" s="385">
        <v>0.13</v>
      </c>
      <c r="F208" s="385">
        <v>0.13</v>
      </c>
      <c r="G208" s="386">
        <v>0.13</v>
      </c>
    </row>
    <row r="209" spans="1:7">
      <c r="A209" s="395" t="s">
        <v>303</v>
      </c>
      <c r="B209" s="384" t="s">
        <v>568</v>
      </c>
      <c r="C209" s="385">
        <v>0.13</v>
      </c>
      <c r="D209" s="385">
        <v>0.13</v>
      </c>
      <c r="E209" s="385">
        <v>0.13</v>
      </c>
      <c r="F209" s="385">
        <v>0.13</v>
      </c>
      <c r="G209" s="386">
        <v>0.13</v>
      </c>
    </row>
    <row r="210" spans="1:7">
      <c r="A210" s="395" t="s">
        <v>303</v>
      </c>
      <c r="B210" s="384" t="s">
        <v>2748</v>
      </c>
      <c r="C210" s="385">
        <v>0.121</v>
      </c>
      <c r="D210" s="385">
        <v>0.121</v>
      </c>
      <c r="E210" s="385">
        <v>0.125</v>
      </c>
      <c r="F210" s="385">
        <v>0.13</v>
      </c>
      <c r="G210" s="386">
        <v>0.123</v>
      </c>
    </row>
    <row r="211" spans="1:7">
      <c r="A211" s="395" t="s">
        <v>303</v>
      </c>
      <c r="B211" s="384" t="s">
        <v>2749</v>
      </c>
      <c r="C211" s="385">
        <v>0.123</v>
      </c>
      <c r="D211" s="385">
        <v>0.123</v>
      </c>
      <c r="E211" s="385">
        <v>0.127</v>
      </c>
      <c r="F211" s="385">
        <v>0.115</v>
      </c>
      <c r="G211" s="386">
        <v>0.126</v>
      </c>
    </row>
    <row r="212" spans="1:7">
      <c r="A212" s="395" t="s">
        <v>303</v>
      </c>
      <c r="B212" s="384" t="s">
        <v>2750</v>
      </c>
      <c r="C212" s="385">
        <v>0.126</v>
      </c>
      <c r="D212" s="385">
        <v>0.126</v>
      </c>
      <c r="E212" s="385">
        <v>0.13</v>
      </c>
      <c r="F212" s="385">
        <v>0.13</v>
      </c>
      <c r="G212" s="386">
        <v>0.129</v>
      </c>
    </row>
    <row r="213" spans="1:7">
      <c r="A213" s="395" t="s">
        <v>303</v>
      </c>
      <c r="B213" s="384" t="s">
        <v>2751</v>
      </c>
      <c r="C213" s="385">
        <v>0.129</v>
      </c>
      <c r="D213" s="385">
        <v>0.13</v>
      </c>
      <c r="E213" s="385">
        <v>0.127</v>
      </c>
      <c r="F213" s="385">
        <v>0.13</v>
      </c>
      <c r="G213" s="386">
        <v>0.13</v>
      </c>
    </row>
    <row r="214" spans="1:7">
      <c r="A214" s="395" t="s">
        <v>303</v>
      </c>
      <c r="B214" s="384" t="s">
        <v>2752</v>
      </c>
      <c r="C214" s="385">
        <v>0.128</v>
      </c>
      <c r="D214" s="385">
        <v>0.128</v>
      </c>
      <c r="E214" s="385">
        <v>0.13</v>
      </c>
      <c r="F214" s="385">
        <v>0.13</v>
      </c>
      <c r="G214" s="386">
        <v>0.13</v>
      </c>
    </row>
    <row r="215" spans="1:7">
      <c r="A215" s="395" t="s">
        <v>303</v>
      </c>
      <c r="B215" s="384" t="s">
        <v>2753</v>
      </c>
      <c r="C215" s="385">
        <v>0.13</v>
      </c>
      <c r="D215" s="385">
        <v>0.13</v>
      </c>
      <c r="E215" s="385">
        <v>0.13</v>
      </c>
      <c r="F215" s="385">
        <v>0.129</v>
      </c>
      <c r="G215" s="386">
        <v>0.13</v>
      </c>
    </row>
    <row r="216" spans="1:7">
      <c r="A216" s="395" t="s">
        <v>303</v>
      </c>
      <c r="B216" s="384" t="s">
        <v>2754</v>
      </c>
      <c r="C216" s="385">
        <v>0.13</v>
      </c>
      <c r="D216" s="385">
        <v>0.13</v>
      </c>
      <c r="E216" s="385">
        <v>0.13</v>
      </c>
      <c r="F216" s="385">
        <v>0.13</v>
      </c>
      <c r="G216" s="386">
        <v>0.13</v>
      </c>
    </row>
    <row r="217" spans="1:7">
      <c r="A217" s="395" t="s">
        <v>303</v>
      </c>
      <c r="B217" s="384" t="s">
        <v>2755</v>
      </c>
      <c r="C217" s="385">
        <v>0.129</v>
      </c>
      <c r="D217" s="385">
        <v>0.129</v>
      </c>
      <c r="E217" s="385">
        <v>0.13</v>
      </c>
      <c r="F217" s="385">
        <v>0.13</v>
      </c>
      <c r="G217" s="386">
        <v>0.13</v>
      </c>
    </row>
    <row r="218" spans="1:7">
      <c r="A218" s="395" t="s">
        <v>303</v>
      </c>
      <c r="B218" s="384" t="s">
        <v>2756</v>
      </c>
      <c r="C218" s="396"/>
      <c r="D218" s="396"/>
      <c r="E218" s="396"/>
      <c r="F218" s="385">
        <v>0.05</v>
      </c>
      <c r="G218" s="402"/>
    </row>
    <row r="219" spans="1:7">
      <c r="A219" s="395" t="s">
        <v>303</v>
      </c>
      <c r="B219" s="384" t="s">
        <v>2757</v>
      </c>
      <c r="C219" s="396"/>
      <c r="D219" s="396"/>
      <c r="E219" s="396"/>
      <c r="F219" s="385">
        <v>0.05</v>
      </c>
      <c r="G219" s="402"/>
    </row>
    <row r="220" spans="1:7">
      <c r="A220" s="395" t="s">
        <v>303</v>
      </c>
      <c r="B220" s="384" t="s">
        <v>2758</v>
      </c>
      <c r="C220" s="396"/>
      <c r="D220" s="396"/>
      <c r="E220" s="396"/>
      <c r="F220" s="385">
        <v>0.05</v>
      </c>
      <c r="G220" s="402"/>
    </row>
    <row r="221" spans="1:7">
      <c r="A221" s="395" t="s">
        <v>303</v>
      </c>
      <c r="B221" s="384" t="s">
        <v>2759</v>
      </c>
      <c r="C221" s="396"/>
      <c r="D221" s="396"/>
      <c r="E221" s="396"/>
      <c r="F221" s="385">
        <v>0.05</v>
      </c>
      <c r="G221" s="402"/>
    </row>
    <row r="222" spans="1:7">
      <c r="A222" s="395" t="s">
        <v>303</v>
      </c>
      <c r="B222" s="384" t="s">
        <v>2760</v>
      </c>
      <c r="C222" s="396"/>
      <c r="D222" s="396"/>
      <c r="E222" s="396"/>
      <c r="F222" s="385">
        <v>0.05</v>
      </c>
      <c r="G222" s="402"/>
    </row>
    <row r="223" spans="1:7">
      <c r="A223" s="395" t="s">
        <v>303</v>
      </c>
      <c r="B223" s="384" t="s">
        <v>2761</v>
      </c>
      <c r="C223" s="396"/>
      <c r="D223" s="396"/>
      <c r="E223" s="396"/>
      <c r="F223" s="385">
        <v>0.05</v>
      </c>
      <c r="G223" s="402"/>
    </row>
    <row r="224" spans="1:7">
      <c r="A224" s="395" t="s">
        <v>303</v>
      </c>
      <c r="B224" s="384" t="s">
        <v>2762</v>
      </c>
      <c r="C224" s="396"/>
      <c r="D224" s="396"/>
      <c r="E224" s="396"/>
      <c r="F224" s="385">
        <v>0.05</v>
      </c>
      <c r="G224" s="402"/>
    </row>
    <row r="225" spans="1:7">
      <c r="A225" s="395" t="s">
        <v>303</v>
      </c>
      <c r="B225" s="384" t="s">
        <v>2763</v>
      </c>
      <c r="C225" s="396"/>
      <c r="D225" s="396"/>
      <c r="E225" s="396"/>
      <c r="F225" s="385">
        <v>0.05</v>
      </c>
      <c r="G225" s="402"/>
    </row>
    <row r="226" spans="1:7">
      <c r="A226" s="395" t="s">
        <v>303</v>
      </c>
      <c r="B226" s="384" t="s">
        <v>2764</v>
      </c>
      <c r="C226" s="396"/>
      <c r="D226" s="396"/>
      <c r="E226" s="396"/>
      <c r="F226" s="385">
        <v>0.05</v>
      </c>
      <c r="G226" s="402"/>
    </row>
    <row r="227" spans="1:7">
      <c r="A227" s="395" t="s">
        <v>303</v>
      </c>
      <c r="B227" s="384" t="s">
        <v>2765</v>
      </c>
      <c r="C227" s="396"/>
      <c r="D227" s="396"/>
      <c r="E227" s="396"/>
      <c r="F227" s="385">
        <v>0.05</v>
      </c>
      <c r="G227" s="402"/>
    </row>
    <row r="228" spans="1:7">
      <c r="A228" s="395" t="s">
        <v>303</v>
      </c>
      <c r="B228" s="384" t="s">
        <v>2766</v>
      </c>
      <c r="C228" s="396"/>
      <c r="D228" s="396"/>
      <c r="E228" s="396"/>
      <c r="F228" s="385">
        <v>0.05</v>
      </c>
      <c r="G228" s="402"/>
    </row>
    <row r="229" spans="1:7">
      <c r="A229" s="395" t="s">
        <v>303</v>
      </c>
      <c r="B229" s="384" t="s">
        <v>2767</v>
      </c>
      <c r="C229" s="396"/>
      <c r="D229" s="396"/>
      <c r="E229" s="396"/>
      <c r="F229" s="385">
        <v>0.05</v>
      </c>
      <c r="G229" s="402"/>
    </row>
    <row r="230" spans="1:7">
      <c r="A230" s="395" t="s">
        <v>303</v>
      </c>
      <c r="B230" s="384" t="s">
        <v>2768</v>
      </c>
      <c r="C230" s="396"/>
      <c r="D230" s="396"/>
      <c r="E230" s="396"/>
      <c r="F230" s="385">
        <v>0.05</v>
      </c>
      <c r="G230" s="402"/>
    </row>
    <row r="231" spans="1:7">
      <c r="A231" s="395" t="s">
        <v>303</v>
      </c>
      <c r="B231" s="384" t="s">
        <v>2769</v>
      </c>
      <c r="C231" s="396"/>
      <c r="D231" s="396"/>
      <c r="E231" s="396"/>
      <c r="F231" s="385">
        <v>0.05</v>
      </c>
      <c r="G231" s="402"/>
    </row>
    <row r="232" spans="1:7">
      <c r="A232" s="395" t="s">
        <v>303</v>
      </c>
      <c r="B232" s="384" t="s">
        <v>2770</v>
      </c>
      <c r="C232" s="396"/>
      <c r="D232" s="396"/>
      <c r="E232" s="396"/>
      <c r="F232" s="385">
        <v>0.05</v>
      </c>
      <c r="G232" s="402"/>
    </row>
    <row r="233" ht="14.75" spans="1:7">
      <c r="A233" s="398" t="s">
        <v>303</v>
      </c>
      <c r="B233" s="388" t="s">
        <v>2771</v>
      </c>
      <c r="C233" s="390"/>
      <c r="D233" s="390"/>
      <c r="E233" s="390"/>
      <c r="F233" s="389">
        <v>0.05</v>
      </c>
      <c r="G233" s="403"/>
    </row>
    <row r="234" spans="1:7">
      <c r="A234" s="394" t="s">
        <v>311</v>
      </c>
      <c r="B234" s="380" t="s">
        <v>2772</v>
      </c>
      <c r="C234" s="381">
        <v>0.13</v>
      </c>
      <c r="D234" s="381">
        <v>0.128</v>
      </c>
      <c r="E234" s="381">
        <v>0.142</v>
      </c>
      <c r="F234" s="381">
        <v>0.147</v>
      </c>
      <c r="G234" s="382">
        <v>0.14</v>
      </c>
    </row>
    <row r="235" spans="1:7">
      <c r="A235" s="395" t="s">
        <v>311</v>
      </c>
      <c r="B235" s="384" t="s">
        <v>2773</v>
      </c>
      <c r="C235" s="385">
        <v>0.136</v>
      </c>
      <c r="D235" s="385">
        <v>0.138</v>
      </c>
      <c r="E235" s="385">
        <v>0.145</v>
      </c>
      <c r="F235" s="385">
        <v>0.143</v>
      </c>
      <c r="G235" s="386">
        <v>0.141</v>
      </c>
    </row>
    <row r="236" spans="1:7">
      <c r="A236" s="395" t="s">
        <v>311</v>
      </c>
      <c r="B236" s="384" t="s">
        <v>2774</v>
      </c>
      <c r="C236" s="385">
        <v>0.15</v>
      </c>
      <c r="D236" s="385">
        <v>0.15</v>
      </c>
      <c r="E236" s="385">
        <v>0.15</v>
      </c>
      <c r="F236" s="385">
        <v>0.15</v>
      </c>
      <c r="G236" s="386">
        <v>0.15</v>
      </c>
    </row>
    <row r="237" spans="1:7">
      <c r="A237" s="395" t="s">
        <v>311</v>
      </c>
      <c r="B237" s="384" t="s">
        <v>2775</v>
      </c>
      <c r="C237" s="385">
        <v>0.15</v>
      </c>
      <c r="D237" s="385">
        <v>0.15</v>
      </c>
      <c r="E237" s="385">
        <v>0.15</v>
      </c>
      <c r="F237" s="385">
        <v>0.15</v>
      </c>
      <c r="G237" s="386">
        <v>0.15</v>
      </c>
    </row>
    <row r="238" spans="1:7">
      <c r="A238" s="395" t="s">
        <v>311</v>
      </c>
      <c r="B238" s="384" t="s">
        <v>2776</v>
      </c>
      <c r="C238" s="385">
        <v>0.149</v>
      </c>
      <c r="D238" s="385">
        <v>0.149</v>
      </c>
      <c r="E238" s="385">
        <v>0.15</v>
      </c>
      <c r="F238" s="385">
        <v>0.15</v>
      </c>
      <c r="G238" s="386">
        <v>0.15</v>
      </c>
    </row>
    <row r="239" spans="1:7">
      <c r="A239" s="395" t="s">
        <v>311</v>
      </c>
      <c r="B239" s="384" t="s">
        <v>2777</v>
      </c>
      <c r="C239" s="385">
        <v>0.15</v>
      </c>
      <c r="D239" s="385">
        <v>0.15</v>
      </c>
      <c r="E239" s="385">
        <v>0.15</v>
      </c>
      <c r="F239" s="385">
        <v>0.15</v>
      </c>
      <c r="G239" s="386">
        <v>0.15</v>
      </c>
    </row>
    <row r="240" spans="1:7">
      <c r="A240" s="395" t="s">
        <v>311</v>
      </c>
      <c r="B240" s="384" t="s">
        <v>2778</v>
      </c>
      <c r="C240" s="385">
        <v>0.15</v>
      </c>
      <c r="D240" s="385">
        <v>0.15</v>
      </c>
      <c r="E240" s="385">
        <v>0.15</v>
      </c>
      <c r="F240" s="385">
        <v>0.15</v>
      </c>
      <c r="G240" s="386">
        <v>0.15</v>
      </c>
    </row>
    <row r="241" spans="1:7">
      <c r="A241" s="395" t="s">
        <v>311</v>
      </c>
      <c r="B241" s="384" t="s">
        <v>2779</v>
      </c>
      <c r="C241" s="385">
        <v>0.141</v>
      </c>
      <c r="D241" s="385">
        <v>0.142</v>
      </c>
      <c r="E241" s="385">
        <v>0.149</v>
      </c>
      <c r="F241" s="385">
        <v>0.15</v>
      </c>
      <c r="G241" s="386">
        <v>0.144</v>
      </c>
    </row>
    <row r="242" spans="1:7">
      <c r="A242" s="395" t="s">
        <v>311</v>
      </c>
      <c r="B242" s="384" t="s">
        <v>2780</v>
      </c>
      <c r="C242" s="385">
        <v>0.141</v>
      </c>
      <c r="D242" s="385">
        <v>0.142</v>
      </c>
      <c r="E242" s="385">
        <v>0.148</v>
      </c>
      <c r="F242" s="385">
        <v>0.127</v>
      </c>
      <c r="G242" s="386">
        <v>0.144</v>
      </c>
    </row>
    <row r="243" spans="1:7">
      <c r="A243" s="395" t="s">
        <v>311</v>
      </c>
      <c r="B243" s="384" t="s">
        <v>2781</v>
      </c>
      <c r="C243" s="385">
        <v>0.147</v>
      </c>
      <c r="D243" s="385">
        <v>0.147</v>
      </c>
      <c r="E243" s="385">
        <v>0.15</v>
      </c>
      <c r="F243" s="385">
        <v>0.15</v>
      </c>
      <c r="G243" s="386">
        <v>0.149</v>
      </c>
    </row>
    <row r="244" spans="1:7">
      <c r="A244" s="395" t="s">
        <v>311</v>
      </c>
      <c r="B244" s="384" t="s">
        <v>2782</v>
      </c>
      <c r="C244" s="385">
        <v>0.15</v>
      </c>
      <c r="D244" s="385">
        <v>0.15</v>
      </c>
      <c r="E244" s="385">
        <v>0.15</v>
      </c>
      <c r="F244" s="385">
        <v>0.15</v>
      </c>
      <c r="G244" s="386">
        <v>0.15</v>
      </c>
    </row>
    <row r="245" spans="1:7">
      <c r="A245" s="395" t="s">
        <v>311</v>
      </c>
      <c r="B245" s="384" t="s">
        <v>2783</v>
      </c>
      <c r="C245" s="385">
        <v>0.142</v>
      </c>
      <c r="D245" s="385">
        <v>0.142</v>
      </c>
      <c r="E245" s="385">
        <v>0.15</v>
      </c>
      <c r="F245" s="385">
        <v>0.15</v>
      </c>
      <c r="G245" s="386">
        <v>0.145</v>
      </c>
    </row>
    <row r="246" spans="1:7">
      <c r="A246" s="395" t="s">
        <v>311</v>
      </c>
      <c r="B246" s="384" t="s">
        <v>2784</v>
      </c>
      <c r="C246" s="385">
        <v>0.142</v>
      </c>
      <c r="D246" s="385">
        <v>0.143</v>
      </c>
      <c r="E246" s="385">
        <v>0.15</v>
      </c>
      <c r="F246" s="385">
        <v>0.142</v>
      </c>
      <c r="G246" s="386">
        <v>0.144</v>
      </c>
    </row>
    <row r="247" spans="1:7">
      <c r="A247" s="395" t="s">
        <v>311</v>
      </c>
      <c r="B247" s="384" t="s">
        <v>2785</v>
      </c>
      <c r="C247" s="385">
        <v>0.149</v>
      </c>
      <c r="D247" s="385">
        <v>0.149</v>
      </c>
      <c r="E247" s="385">
        <v>0.15</v>
      </c>
      <c r="F247" s="385">
        <v>0.15</v>
      </c>
      <c r="G247" s="386">
        <v>0.15</v>
      </c>
    </row>
    <row r="248" spans="1:7">
      <c r="A248" s="395" t="s">
        <v>311</v>
      </c>
      <c r="B248" s="384" t="s">
        <v>2786</v>
      </c>
      <c r="C248" s="385">
        <v>0.144</v>
      </c>
      <c r="D248" s="385">
        <v>0.144</v>
      </c>
      <c r="E248" s="385">
        <v>0.149</v>
      </c>
      <c r="F248" s="385">
        <v>0.148</v>
      </c>
      <c r="G248" s="386">
        <v>0.146</v>
      </c>
    </row>
    <row r="249" spans="1:7">
      <c r="A249" s="395" t="s">
        <v>311</v>
      </c>
      <c r="B249" s="384" t="s">
        <v>2787</v>
      </c>
      <c r="C249" s="385">
        <v>0.14</v>
      </c>
      <c r="D249" s="385">
        <v>0.14</v>
      </c>
      <c r="E249" s="385">
        <v>0.147</v>
      </c>
      <c r="F249" s="385">
        <v>0.149</v>
      </c>
      <c r="G249" s="386">
        <v>0.142</v>
      </c>
    </row>
    <row r="250" spans="1:7">
      <c r="A250" s="395" t="s">
        <v>311</v>
      </c>
      <c r="B250" s="384" t="s">
        <v>2788</v>
      </c>
      <c r="C250" s="385">
        <v>0.144</v>
      </c>
      <c r="D250" s="385">
        <v>0.143</v>
      </c>
      <c r="E250" s="385">
        <v>0.149</v>
      </c>
      <c r="F250" s="385">
        <v>0.15</v>
      </c>
      <c r="G250" s="386">
        <v>0.146</v>
      </c>
    </row>
    <row r="251" spans="1:7">
      <c r="A251" s="395" t="s">
        <v>311</v>
      </c>
      <c r="B251" s="384" t="s">
        <v>2789</v>
      </c>
      <c r="C251" s="401"/>
      <c r="D251" s="396"/>
      <c r="E251" s="396"/>
      <c r="F251" s="385">
        <v>0.1</v>
      </c>
      <c r="G251" s="402"/>
    </row>
    <row r="252" spans="1:7">
      <c r="A252" s="395" t="s">
        <v>311</v>
      </c>
      <c r="B252" s="384" t="s">
        <v>2790</v>
      </c>
      <c r="C252" s="385">
        <v>0.144</v>
      </c>
      <c r="D252" s="385">
        <v>0.144</v>
      </c>
      <c r="E252" s="385">
        <v>0.15</v>
      </c>
      <c r="F252" s="385">
        <v>0.149</v>
      </c>
      <c r="G252" s="386">
        <v>0.146</v>
      </c>
    </row>
    <row r="253" spans="1:7">
      <c r="A253" s="395" t="s">
        <v>311</v>
      </c>
      <c r="B253" s="384" t="s">
        <v>2791</v>
      </c>
      <c r="C253" s="385">
        <v>0.142</v>
      </c>
      <c r="D253" s="385">
        <v>0.142</v>
      </c>
      <c r="E253" s="385">
        <v>0.146</v>
      </c>
      <c r="F253" s="385">
        <v>0.148</v>
      </c>
      <c r="G253" s="386">
        <v>0.145</v>
      </c>
    </row>
    <row r="254" spans="1:7">
      <c r="A254" s="395" t="s">
        <v>311</v>
      </c>
      <c r="B254" s="384" t="s">
        <v>2792</v>
      </c>
      <c r="C254" s="385">
        <v>0.15</v>
      </c>
      <c r="D254" s="385">
        <v>0.15</v>
      </c>
      <c r="E254" s="385">
        <v>0.15</v>
      </c>
      <c r="F254" s="385">
        <v>0.15</v>
      </c>
      <c r="G254" s="386">
        <v>0.15</v>
      </c>
    </row>
    <row r="255" spans="1:7">
      <c r="A255" s="395" t="s">
        <v>311</v>
      </c>
      <c r="B255" s="384" t="s">
        <v>2793</v>
      </c>
      <c r="C255" s="385">
        <v>0.143</v>
      </c>
      <c r="D255" s="385">
        <v>0.143</v>
      </c>
      <c r="E255" s="385">
        <v>0.15</v>
      </c>
      <c r="F255" s="385">
        <v>0.15</v>
      </c>
      <c r="G255" s="386">
        <v>0.145</v>
      </c>
    </row>
    <row r="256" spans="1:7">
      <c r="A256" s="395" t="s">
        <v>311</v>
      </c>
      <c r="B256" s="384" t="s">
        <v>2794</v>
      </c>
      <c r="C256" s="385">
        <v>0.15</v>
      </c>
      <c r="D256" s="385">
        <v>0.15</v>
      </c>
      <c r="E256" s="385">
        <v>0.15</v>
      </c>
      <c r="F256" s="385">
        <v>0.146</v>
      </c>
      <c r="G256" s="386">
        <v>0.15</v>
      </c>
    </row>
    <row r="257" spans="1:7">
      <c r="A257" s="395" t="s">
        <v>311</v>
      </c>
      <c r="B257" s="384" t="s">
        <v>2795</v>
      </c>
      <c r="C257" s="385">
        <v>0.142</v>
      </c>
      <c r="D257" s="385">
        <v>0.143</v>
      </c>
      <c r="E257" s="385">
        <v>0.148</v>
      </c>
      <c r="F257" s="385">
        <v>0.15</v>
      </c>
      <c r="G257" s="386">
        <v>0.145</v>
      </c>
    </row>
    <row r="258" spans="1:7">
      <c r="A258" s="395" t="s">
        <v>311</v>
      </c>
      <c r="B258" s="384" t="s">
        <v>2796</v>
      </c>
      <c r="C258" s="385">
        <v>0.143</v>
      </c>
      <c r="D258" s="385">
        <v>0.143</v>
      </c>
      <c r="E258" s="385">
        <v>0.15</v>
      </c>
      <c r="F258" s="385">
        <v>0.148</v>
      </c>
      <c r="G258" s="386">
        <v>0.146</v>
      </c>
    </row>
    <row r="259" spans="1:7">
      <c r="A259" s="395" t="s">
        <v>311</v>
      </c>
      <c r="B259" s="384" t="s">
        <v>2797</v>
      </c>
      <c r="C259" s="385">
        <v>0.144</v>
      </c>
      <c r="D259" s="385">
        <v>0.144</v>
      </c>
      <c r="E259" s="385">
        <v>0.149</v>
      </c>
      <c r="F259" s="385">
        <v>0.147</v>
      </c>
      <c r="G259" s="386">
        <v>0.146</v>
      </c>
    </row>
    <row r="260" spans="1:7">
      <c r="A260" s="395" t="s">
        <v>311</v>
      </c>
      <c r="B260" s="384" t="s">
        <v>2798</v>
      </c>
      <c r="C260" s="385">
        <v>0.109</v>
      </c>
      <c r="D260" s="385">
        <v>0.111</v>
      </c>
      <c r="E260" s="385">
        <v>0.131</v>
      </c>
      <c r="F260" s="385">
        <v>0.126</v>
      </c>
      <c r="G260" s="386">
        <v>0.119</v>
      </c>
    </row>
    <row r="261" spans="1:7">
      <c r="A261" s="395" t="s">
        <v>311</v>
      </c>
      <c r="B261" s="384" t="s">
        <v>2799</v>
      </c>
      <c r="C261" s="385">
        <v>0.1</v>
      </c>
      <c r="D261" s="385">
        <v>0.1</v>
      </c>
      <c r="E261" s="385">
        <v>0.118</v>
      </c>
      <c r="F261" s="385">
        <v>0.108</v>
      </c>
      <c r="G261" s="386">
        <v>0.107</v>
      </c>
    </row>
    <row r="262" spans="1:7">
      <c r="A262" s="395" t="s">
        <v>311</v>
      </c>
      <c r="B262" s="384" t="s">
        <v>2800</v>
      </c>
      <c r="C262" s="385">
        <v>0.1</v>
      </c>
      <c r="D262" s="385">
        <v>0.1</v>
      </c>
      <c r="E262" s="385">
        <v>0.1</v>
      </c>
      <c r="F262" s="385">
        <v>0.141</v>
      </c>
      <c r="G262" s="386">
        <v>0.1</v>
      </c>
    </row>
    <row r="263" spans="1:7">
      <c r="A263" s="395" t="s">
        <v>311</v>
      </c>
      <c r="B263" s="384" t="s">
        <v>2801</v>
      </c>
      <c r="C263" s="385">
        <v>0.148</v>
      </c>
      <c r="D263" s="385">
        <v>0.148</v>
      </c>
      <c r="E263" s="385">
        <v>0.15</v>
      </c>
      <c r="F263" s="385">
        <v>0.147</v>
      </c>
      <c r="G263" s="386">
        <v>0.15</v>
      </c>
    </row>
    <row r="264" spans="1:7">
      <c r="A264" s="395" t="s">
        <v>311</v>
      </c>
      <c r="B264" s="384" t="s">
        <v>2802</v>
      </c>
      <c r="C264" s="385">
        <v>0.143</v>
      </c>
      <c r="D264" s="385">
        <v>0.143</v>
      </c>
      <c r="E264" s="385">
        <v>0.15</v>
      </c>
      <c r="F264" s="385">
        <v>0.149</v>
      </c>
      <c r="G264" s="386">
        <v>0.146</v>
      </c>
    </row>
    <row r="265" spans="1:7">
      <c r="A265" s="395" t="s">
        <v>311</v>
      </c>
      <c r="B265" s="384" t="s">
        <v>2803</v>
      </c>
      <c r="C265" s="396"/>
      <c r="D265" s="396"/>
      <c r="E265" s="396"/>
      <c r="F265" s="385">
        <v>0.05</v>
      </c>
      <c r="G265" s="402"/>
    </row>
    <row r="266" spans="1:7">
      <c r="A266" s="395" t="s">
        <v>311</v>
      </c>
      <c r="B266" s="384" t="s">
        <v>2804</v>
      </c>
      <c r="C266" s="396"/>
      <c r="D266" s="396"/>
      <c r="E266" s="396"/>
      <c r="F266" s="385">
        <v>0.05</v>
      </c>
      <c r="G266" s="402"/>
    </row>
    <row r="267" spans="1:7">
      <c r="A267" s="395" t="s">
        <v>311</v>
      </c>
      <c r="B267" s="384" t="s">
        <v>2805</v>
      </c>
      <c r="C267" s="396"/>
      <c r="D267" s="396"/>
      <c r="E267" s="396"/>
      <c r="F267" s="385">
        <v>0.05</v>
      </c>
      <c r="G267" s="402"/>
    </row>
    <row r="268" spans="1:7">
      <c r="A268" s="395" t="s">
        <v>311</v>
      </c>
      <c r="B268" s="384" t="s">
        <v>2806</v>
      </c>
      <c r="C268" s="396"/>
      <c r="D268" s="396"/>
      <c r="E268" s="396"/>
      <c r="F268" s="385">
        <v>0.05</v>
      </c>
      <c r="G268" s="402"/>
    </row>
    <row r="269" spans="1:7">
      <c r="A269" s="395" t="s">
        <v>311</v>
      </c>
      <c r="B269" s="384" t="s">
        <v>2807</v>
      </c>
      <c r="C269" s="396"/>
      <c r="D269" s="396"/>
      <c r="E269" s="396"/>
      <c r="F269" s="385">
        <v>0.05</v>
      </c>
      <c r="G269" s="402"/>
    </row>
    <row r="270" spans="1:7">
      <c r="A270" s="395" t="s">
        <v>311</v>
      </c>
      <c r="B270" s="384" t="s">
        <v>2808</v>
      </c>
      <c r="C270" s="396"/>
      <c r="D270" s="396"/>
      <c r="E270" s="396"/>
      <c r="F270" s="385">
        <v>0.05</v>
      </c>
      <c r="G270" s="402"/>
    </row>
    <row r="271" spans="1:7">
      <c r="A271" s="395" t="s">
        <v>311</v>
      </c>
      <c r="B271" s="384" t="s">
        <v>2809</v>
      </c>
      <c r="C271" s="396"/>
      <c r="D271" s="396"/>
      <c r="E271" s="396"/>
      <c r="F271" s="385">
        <v>0.05</v>
      </c>
      <c r="G271" s="402"/>
    </row>
    <row r="272" spans="1:7">
      <c r="A272" s="395" t="s">
        <v>311</v>
      </c>
      <c r="B272" s="384" t="s">
        <v>2810</v>
      </c>
      <c r="C272" s="396"/>
      <c r="D272" s="396"/>
      <c r="E272" s="396"/>
      <c r="F272" s="385">
        <v>0.05</v>
      </c>
      <c r="G272" s="402"/>
    </row>
    <row r="273" spans="1:7">
      <c r="A273" s="395" t="s">
        <v>311</v>
      </c>
      <c r="B273" s="384" t="s">
        <v>2811</v>
      </c>
      <c r="C273" s="396"/>
      <c r="D273" s="396"/>
      <c r="E273" s="396"/>
      <c r="F273" s="385">
        <v>0.05</v>
      </c>
      <c r="G273" s="402"/>
    </row>
    <row r="274" spans="1:7">
      <c r="A274" s="395" t="s">
        <v>311</v>
      </c>
      <c r="B274" s="384" t="s">
        <v>2812</v>
      </c>
      <c r="C274" s="396"/>
      <c r="D274" s="396"/>
      <c r="E274" s="396"/>
      <c r="F274" s="385">
        <v>0.05</v>
      </c>
      <c r="G274" s="402"/>
    </row>
    <row r="275" spans="1:7">
      <c r="A275" s="395" t="s">
        <v>311</v>
      </c>
      <c r="B275" s="384" t="s">
        <v>2813</v>
      </c>
      <c r="C275" s="396"/>
      <c r="D275" s="396"/>
      <c r="E275" s="396"/>
      <c r="F275" s="385">
        <v>0.05</v>
      </c>
      <c r="G275" s="402"/>
    </row>
    <row r="276" ht="14.75" spans="1:7">
      <c r="A276" s="398" t="s">
        <v>311</v>
      </c>
      <c r="B276" s="388" t="s">
        <v>2814</v>
      </c>
      <c r="C276" s="390"/>
      <c r="D276" s="390"/>
      <c r="E276" s="390"/>
      <c r="F276" s="389">
        <v>0.05</v>
      </c>
      <c r="G276" s="403"/>
    </row>
    <row r="277" spans="1:7">
      <c r="A277" s="394" t="s">
        <v>318</v>
      </c>
      <c r="B277" s="380" t="s">
        <v>2815</v>
      </c>
      <c r="C277" s="381">
        <v>0.15</v>
      </c>
      <c r="D277" s="381">
        <v>0.15</v>
      </c>
      <c r="E277" s="381">
        <v>0.15</v>
      </c>
      <c r="F277" s="381">
        <v>0.15</v>
      </c>
      <c r="G277" s="382">
        <v>0.15</v>
      </c>
    </row>
    <row r="278" spans="1:7">
      <c r="A278" s="395" t="s">
        <v>318</v>
      </c>
      <c r="B278" s="384" t="s">
        <v>2816</v>
      </c>
      <c r="C278" s="385">
        <v>0.15</v>
      </c>
      <c r="D278" s="385">
        <v>0.15</v>
      </c>
      <c r="E278" s="385">
        <v>0.15</v>
      </c>
      <c r="F278" s="385">
        <v>0.15</v>
      </c>
      <c r="G278" s="386">
        <v>0.15</v>
      </c>
    </row>
    <row r="279" spans="1:7">
      <c r="A279" s="395" t="s">
        <v>318</v>
      </c>
      <c r="B279" s="384" t="s">
        <v>2817</v>
      </c>
      <c r="C279" s="385">
        <v>0.15</v>
      </c>
      <c r="D279" s="385">
        <v>0.15</v>
      </c>
      <c r="E279" s="385">
        <v>0.15</v>
      </c>
      <c r="F279" s="385">
        <v>0.15</v>
      </c>
      <c r="G279" s="386">
        <v>0.15</v>
      </c>
    </row>
    <row r="280" spans="1:7">
      <c r="A280" s="395" t="s">
        <v>318</v>
      </c>
      <c r="B280" s="384" t="s">
        <v>2818</v>
      </c>
      <c r="C280" s="385">
        <v>0.15</v>
      </c>
      <c r="D280" s="385">
        <v>0.15</v>
      </c>
      <c r="E280" s="385">
        <v>0.15</v>
      </c>
      <c r="F280" s="385">
        <v>0.15</v>
      </c>
      <c r="G280" s="386">
        <v>0.15</v>
      </c>
    </row>
    <row r="281" spans="1:7">
      <c r="A281" s="395" t="s">
        <v>318</v>
      </c>
      <c r="B281" s="384" t="s">
        <v>2819</v>
      </c>
      <c r="C281" s="385">
        <v>0.15</v>
      </c>
      <c r="D281" s="385">
        <v>0.15</v>
      </c>
      <c r="E281" s="385">
        <v>0.15</v>
      </c>
      <c r="F281" s="385">
        <v>0.15</v>
      </c>
      <c r="G281" s="386">
        <v>0.15</v>
      </c>
    </row>
    <row r="282" spans="1:7">
      <c r="A282" s="395" t="s">
        <v>318</v>
      </c>
      <c r="B282" s="384" t="s">
        <v>2820</v>
      </c>
      <c r="C282" s="385">
        <v>0.15</v>
      </c>
      <c r="D282" s="385">
        <v>0.15</v>
      </c>
      <c r="E282" s="385">
        <v>0.15</v>
      </c>
      <c r="F282" s="385">
        <v>0.145</v>
      </c>
      <c r="G282" s="386">
        <v>0.15</v>
      </c>
    </row>
    <row r="283" spans="1:7">
      <c r="A283" s="395" t="s">
        <v>318</v>
      </c>
      <c r="B283" s="384" t="s">
        <v>2821</v>
      </c>
      <c r="C283" s="385">
        <v>0.15</v>
      </c>
      <c r="D283" s="385">
        <v>0.15</v>
      </c>
      <c r="E283" s="385">
        <v>0.15</v>
      </c>
      <c r="F283" s="385">
        <v>0.142</v>
      </c>
      <c r="G283" s="386">
        <v>0.15</v>
      </c>
    </row>
    <row r="284" spans="1:7">
      <c r="A284" s="395" t="s">
        <v>318</v>
      </c>
      <c r="B284" s="384" t="s">
        <v>2822</v>
      </c>
      <c r="C284" s="385">
        <v>0.15</v>
      </c>
      <c r="D284" s="385">
        <v>0.15</v>
      </c>
      <c r="E284" s="385">
        <v>0.15</v>
      </c>
      <c r="F284" s="385">
        <v>0.15</v>
      </c>
      <c r="G284" s="386">
        <v>0.15</v>
      </c>
    </row>
    <row r="285" spans="1:7">
      <c r="A285" s="395" t="s">
        <v>318</v>
      </c>
      <c r="B285" s="384" t="s">
        <v>2823</v>
      </c>
      <c r="C285" s="385">
        <v>0.15</v>
      </c>
      <c r="D285" s="385">
        <v>0.15</v>
      </c>
      <c r="E285" s="385">
        <v>0.15</v>
      </c>
      <c r="F285" s="385">
        <v>0.15</v>
      </c>
      <c r="G285" s="386">
        <v>0.15</v>
      </c>
    </row>
    <row r="286" spans="1:7">
      <c r="A286" s="395" t="s">
        <v>318</v>
      </c>
      <c r="B286" s="384" t="s">
        <v>2824</v>
      </c>
      <c r="C286" s="385">
        <v>0.145</v>
      </c>
      <c r="D286" s="385">
        <v>0.145</v>
      </c>
      <c r="E286" s="385">
        <v>0.15</v>
      </c>
      <c r="F286" s="385">
        <v>0.141</v>
      </c>
      <c r="G286" s="386">
        <v>0.145</v>
      </c>
    </row>
    <row r="287" spans="1:7">
      <c r="A287" s="395" t="s">
        <v>318</v>
      </c>
      <c r="B287" s="384" t="s">
        <v>2825</v>
      </c>
      <c r="C287" s="385">
        <v>0.11</v>
      </c>
      <c r="D287" s="385">
        <v>0.111</v>
      </c>
      <c r="E287" s="385">
        <v>0.141</v>
      </c>
      <c r="F287" s="385">
        <v>0.11</v>
      </c>
      <c r="G287" s="386">
        <v>0.12</v>
      </c>
    </row>
    <row r="288" spans="1:7">
      <c r="A288" s="395" t="s">
        <v>318</v>
      </c>
      <c r="B288" s="384" t="s">
        <v>2826</v>
      </c>
      <c r="C288" s="385">
        <v>0.142</v>
      </c>
      <c r="D288" s="385">
        <v>0.143</v>
      </c>
      <c r="E288" s="385">
        <v>0.15</v>
      </c>
      <c r="F288" s="385">
        <v>0.142</v>
      </c>
      <c r="G288" s="386">
        <v>0.144</v>
      </c>
    </row>
    <row r="289" spans="1:7">
      <c r="A289" s="395" t="s">
        <v>318</v>
      </c>
      <c r="B289" s="384" t="s">
        <v>2827</v>
      </c>
      <c r="C289" s="385">
        <v>0.143</v>
      </c>
      <c r="D289" s="385">
        <v>0.143</v>
      </c>
      <c r="E289" s="385">
        <v>0.148</v>
      </c>
      <c r="F289" s="385">
        <v>0.144</v>
      </c>
      <c r="G289" s="386">
        <v>0.144</v>
      </c>
    </row>
    <row r="290" spans="1:7">
      <c r="A290" s="395" t="s">
        <v>318</v>
      </c>
      <c r="B290" s="384" t="s">
        <v>2828</v>
      </c>
      <c r="C290" s="385">
        <v>0.148</v>
      </c>
      <c r="D290" s="385">
        <v>0.149</v>
      </c>
      <c r="E290" s="385">
        <v>0.15</v>
      </c>
      <c r="F290" s="385">
        <v>0.127</v>
      </c>
      <c r="G290" s="386">
        <v>0.15</v>
      </c>
    </row>
    <row r="291" spans="1:7">
      <c r="A291" s="395" t="s">
        <v>318</v>
      </c>
      <c r="B291" s="384" t="s">
        <v>2829</v>
      </c>
      <c r="C291" s="385">
        <v>0.15</v>
      </c>
      <c r="D291" s="385">
        <v>0.15</v>
      </c>
      <c r="E291" s="385">
        <v>0.15</v>
      </c>
      <c r="F291" s="385">
        <v>0.149</v>
      </c>
      <c r="G291" s="386">
        <v>0.15</v>
      </c>
    </row>
    <row r="292" spans="1:7">
      <c r="A292" s="395" t="s">
        <v>318</v>
      </c>
      <c r="B292" s="384" t="s">
        <v>2830</v>
      </c>
      <c r="C292" s="385">
        <v>0.15</v>
      </c>
      <c r="D292" s="385">
        <v>0.15</v>
      </c>
      <c r="E292" s="385">
        <v>0.15</v>
      </c>
      <c r="F292" s="385">
        <v>0.144</v>
      </c>
      <c r="G292" s="386">
        <v>0.15</v>
      </c>
    </row>
    <row r="293" spans="1:7">
      <c r="A293" s="395" t="s">
        <v>318</v>
      </c>
      <c r="B293" s="384" t="s">
        <v>2831</v>
      </c>
      <c r="C293" s="385">
        <v>0.15</v>
      </c>
      <c r="D293" s="385">
        <v>0.15</v>
      </c>
      <c r="E293" s="385">
        <v>0.15</v>
      </c>
      <c r="F293" s="385">
        <v>0.145</v>
      </c>
      <c r="G293" s="386">
        <v>0.15</v>
      </c>
    </row>
    <row r="294" spans="1:7">
      <c r="A294" s="395" t="s">
        <v>318</v>
      </c>
      <c r="B294" s="384" t="s">
        <v>2832</v>
      </c>
      <c r="C294" s="385">
        <v>0.15</v>
      </c>
      <c r="D294" s="385">
        <v>0.15</v>
      </c>
      <c r="E294" s="385">
        <v>0.15</v>
      </c>
      <c r="F294" s="385">
        <v>0.149</v>
      </c>
      <c r="G294" s="386">
        <v>0.15</v>
      </c>
    </row>
    <row r="295" spans="1:7">
      <c r="A295" s="395" t="s">
        <v>318</v>
      </c>
      <c r="B295" s="384" t="s">
        <v>2833</v>
      </c>
      <c r="C295" s="385">
        <v>0.15</v>
      </c>
      <c r="D295" s="385">
        <v>0.15</v>
      </c>
      <c r="E295" s="385">
        <v>0.15</v>
      </c>
      <c r="F295" s="385">
        <v>0.148</v>
      </c>
      <c r="G295" s="386">
        <v>0.15</v>
      </c>
    </row>
    <row r="296" spans="1:7">
      <c r="A296" s="395" t="s">
        <v>318</v>
      </c>
      <c r="B296" s="384" t="s">
        <v>2834</v>
      </c>
      <c r="C296" s="385">
        <v>0.15</v>
      </c>
      <c r="D296" s="385">
        <v>0.15</v>
      </c>
      <c r="E296" s="385">
        <v>0.15</v>
      </c>
      <c r="F296" s="385">
        <v>0.144</v>
      </c>
      <c r="G296" s="386">
        <v>0.15</v>
      </c>
    </row>
    <row r="297" spans="1:7">
      <c r="A297" s="395" t="s">
        <v>318</v>
      </c>
      <c r="B297" s="384" t="s">
        <v>2835</v>
      </c>
      <c r="C297" s="385">
        <v>0.15</v>
      </c>
      <c r="D297" s="385">
        <v>0.15</v>
      </c>
      <c r="E297" s="385">
        <v>0.15</v>
      </c>
      <c r="F297" s="385">
        <v>0.145</v>
      </c>
      <c r="G297" s="386">
        <v>0.15</v>
      </c>
    </row>
    <row r="298" spans="1:7">
      <c r="A298" s="395" t="s">
        <v>318</v>
      </c>
      <c r="B298" s="384" t="s">
        <v>2836</v>
      </c>
      <c r="C298" s="385">
        <v>0.15</v>
      </c>
      <c r="D298" s="385">
        <v>0.15</v>
      </c>
      <c r="E298" s="385">
        <v>0.15</v>
      </c>
      <c r="F298" s="385">
        <v>0.15</v>
      </c>
      <c r="G298" s="386">
        <v>0.15</v>
      </c>
    </row>
    <row r="299" spans="1:7">
      <c r="A299" s="395" t="s">
        <v>318</v>
      </c>
      <c r="B299" s="404" t="s">
        <v>2837</v>
      </c>
      <c r="C299" s="385">
        <v>0.15</v>
      </c>
      <c r="D299" s="385">
        <v>0.15</v>
      </c>
      <c r="E299" s="385">
        <v>0.15</v>
      </c>
      <c r="F299" s="385">
        <v>0.145</v>
      </c>
      <c r="G299" s="386">
        <v>0.15</v>
      </c>
    </row>
    <row r="300" spans="1:7">
      <c r="A300" s="395" t="s">
        <v>318</v>
      </c>
      <c r="B300" s="404" t="s">
        <v>2838</v>
      </c>
      <c r="C300" s="385">
        <v>0.15</v>
      </c>
      <c r="D300" s="385">
        <v>0.15</v>
      </c>
      <c r="E300" s="385">
        <v>0.15</v>
      </c>
      <c r="F300" s="385">
        <v>0.146</v>
      </c>
      <c r="G300" s="386">
        <v>0.15</v>
      </c>
    </row>
    <row r="301" spans="1:7">
      <c r="A301" s="395" t="s">
        <v>318</v>
      </c>
      <c r="B301" s="404" t="s">
        <v>2839</v>
      </c>
      <c r="C301" s="385">
        <v>0.126</v>
      </c>
      <c r="D301" s="385">
        <v>0.124</v>
      </c>
      <c r="E301" s="385">
        <v>0.141</v>
      </c>
      <c r="F301" s="385">
        <v>0.144</v>
      </c>
      <c r="G301" s="386">
        <v>0.13</v>
      </c>
    </row>
    <row r="302" spans="1:7">
      <c r="A302" s="395" t="s">
        <v>318</v>
      </c>
      <c r="B302" s="384" t="s">
        <v>2840</v>
      </c>
      <c r="C302" s="385">
        <v>0.15</v>
      </c>
      <c r="D302" s="385">
        <v>0.15</v>
      </c>
      <c r="E302" s="385">
        <v>0.15</v>
      </c>
      <c r="F302" s="385">
        <v>0.147</v>
      </c>
      <c r="G302" s="386">
        <v>0.15</v>
      </c>
    </row>
    <row r="303" spans="1:7">
      <c r="A303" s="395" t="s">
        <v>318</v>
      </c>
      <c r="B303" s="384" t="s">
        <v>2841</v>
      </c>
      <c r="C303" s="385">
        <v>0.15</v>
      </c>
      <c r="D303" s="385">
        <v>0.15</v>
      </c>
      <c r="E303" s="385">
        <v>0.15</v>
      </c>
      <c r="F303" s="385">
        <v>0.142</v>
      </c>
      <c r="G303" s="386">
        <v>0.15</v>
      </c>
    </row>
    <row r="304" spans="1:7">
      <c r="A304" s="395" t="s">
        <v>318</v>
      </c>
      <c r="B304" s="384" t="s">
        <v>2842</v>
      </c>
      <c r="C304" s="385">
        <v>0.15</v>
      </c>
      <c r="D304" s="385">
        <v>0.15</v>
      </c>
      <c r="E304" s="385">
        <v>0.15</v>
      </c>
      <c r="F304" s="385">
        <v>0.145</v>
      </c>
      <c r="G304" s="386">
        <v>0.15</v>
      </c>
    </row>
    <row r="305" spans="1:7">
      <c r="A305" s="395" t="s">
        <v>318</v>
      </c>
      <c r="B305" s="384" t="s">
        <v>2843</v>
      </c>
      <c r="C305" s="385">
        <v>0.15</v>
      </c>
      <c r="D305" s="385">
        <v>0.15</v>
      </c>
      <c r="E305" s="385">
        <v>0.15</v>
      </c>
      <c r="F305" s="385">
        <v>0.111</v>
      </c>
      <c r="G305" s="386">
        <v>0.15</v>
      </c>
    </row>
    <row r="306" spans="1:7">
      <c r="A306" s="395" t="s">
        <v>318</v>
      </c>
      <c r="B306" s="384" t="s">
        <v>2844</v>
      </c>
      <c r="C306" s="385">
        <v>0.15</v>
      </c>
      <c r="D306" s="385">
        <v>0.15</v>
      </c>
      <c r="E306" s="385">
        <v>0.15</v>
      </c>
      <c r="F306" s="385">
        <v>0.126</v>
      </c>
      <c r="G306" s="386">
        <v>0.15</v>
      </c>
    </row>
    <row r="307" spans="1:7">
      <c r="A307" s="395" t="s">
        <v>318</v>
      </c>
      <c r="B307" s="384" t="s">
        <v>2845</v>
      </c>
      <c r="C307" s="385">
        <v>0.15</v>
      </c>
      <c r="D307" s="385">
        <v>0.15</v>
      </c>
      <c r="E307" s="385">
        <v>0.15</v>
      </c>
      <c r="F307" s="385">
        <v>0.12</v>
      </c>
      <c r="G307" s="386">
        <v>0.15</v>
      </c>
    </row>
    <row r="308" spans="1:7">
      <c r="A308" s="395" t="s">
        <v>318</v>
      </c>
      <c r="B308" s="384" t="s">
        <v>2846</v>
      </c>
      <c r="C308" s="385">
        <v>0.15</v>
      </c>
      <c r="D308" s="385">
        <v>0.15</v>
      </c>
      <c r="E308" s="385">
        <v>0.15</v>
      </c>
      <c r="F308" s="385">
        <v>0.13</v>
      </c>
      <c r="G308" s="386">
        <v>0.15</v>
      </c>
    </row>
    <row r="309" spans="1:7">
      <c r="A309" s="395" t="s">
        <v>318</v>
      </c>
      <c r="B309" s="384" t="s">
        <v>2847</v>
      </c>
      <c r="C309" s="385">
        <v>0.15</v>
      </c>
      <c r="D309" s="385">
        <v>0.15</v>
      </c>
      <c r="E309" s="385">
        <v>0.15</v>
      </c>
      <c r="F309" s="385">
        <v>0.141</v>
      </c>
      <c r="G309" s="386">
        <v>0.15</v>
      </c>
    </row>
    <row r="310" spans="1:7">
      <c r="A310" s="395" t="s">
        <v>318</v>
      </c>
      <c r="B310" s="384" t="s">
        <v>2848</v>
      </c>
      <c r="C310" s="385">
        <v>0.15</v>
      </c>
      <c r="D310" s="385">
        <v>0.15</v>
      </c>
      <c r="E310" s="385">
        <v>0.15</v>
      </c>
      <c r="F310" s="385">
        <v>0.15</v>
      </c>
      <c r="G310" s="386">
        <v>0.15</v>
      </c>
    </row>
    <row r="311" spans="1:7">
      <c r="A311" s="395" t="s">
        <v>318</v>
      </c>
      <c r="B311" s="384" t="s">
        <v>2849</v>
      </c>
      <c r="C311" s="385">
        <v>0.132</v>
      </c>
      <c r="D311" s="385">
        <v>0.133</v>
      </c>
      <c r="E311" s="385">
        <v>0.145</v>
      </c>
      <c r="F311" s="385">
        <v>0.142</v>
      </c>
      <c r="G311" s="386">
        <v>0.14</v>
      </c>
    </row>
    <row r="312" spans="1:7">
      <c r="A312" s="395" t="s">
        <v>318</v>
      </c>
      <c r="B312" s="384" t="s">
        <v>2850</v>
      </c>
      <c r="C312" s="385">
        <v>0.138</v>
      </c>
      <c r="D312" s="385">
        <v>0.14</v>
      </c>
      <c r="E312" s="385">
        <v>0.146</v>
      </c>
      <c r="F312" s="385">
        <v>0.149</v>
      </c>
      <c r="G312" s="386">
        <v>0.142</v>
      </c>
    </row>
    <row r="313" spans="1:7">
      <c r="A313" s="395" t="s">
        <v>318</v>
      </c>
      <c r="B313" s="384" t="s">
        <v>2851</v>
      </c>
      <c r="C313" s="385">
        <v>0.125</v>
      </c>
      <c r="D313" s="385">
        <v>0.127</v>
      </c>
      <c r="E313" s="385">
        <v>0.144</v>
      </c>
      <c r="F313" s="385">
        <v>0.115</v>
      </c>
      <c r="G313" s="386">
        <v>0.136</v>
      </c>
    </row>
    <row r="314" spans="1:7">
      <c r="A314" s="395" t="s">
        <v>318</v>
      </c>
      <c r="B314" s="384" t="s">
        <v>2852</v>
      </c>
      <c r="C314" s="401"/>
      <c r="D314" s="401"/>
      <c r="E314" s="401"/>
      <c r="F314" s="385">
        <v>0.05</v>
      </c>
      <c r="G314" s="402"/>
    </row>
    <row r="315" spans="1:7">
      <c r="A315" s="395" t="s">
        <v>318</v>
      </c>
      <c r="B315" s="384" t="s">
        <v>2853</v>
      </c>
      <c r="C315" s="401"/>
      <c r="D315" s="401"/>
      <c r="E315" s="401"/>
      <c r="F315" s="385">
        <v>0.05</v>
      </c>
      <c r="G315" s="402"/>
    </row>
    <row r="316" spans="1:7">
      <c r="A316" s="395" t="s">
        <v>318</v>
      </c>
      <c r="B316" s="384" t="s">
        <v>2854</v>
      </c>
      <c r="C316" s="396"/>
      <c r="D316" s="396"/>
      <c r="E316" s="396"/>
      <c r="F316" s="385">
        <v>0.05</v>
      </c>
      <c r="G316" s="402"/>
    </row>
    <row r="317" spans="1:7">
      <c r="A317" s="395" t="s">
        <v>318</v>
      </c>
      <c r="B317" s="384" t="s">
        <v>2855</v>
      </c>
      <c r="C317" s="396"/>
      <c r="D317" s="396"/>
      <c r="E317" s="396"/>
      <c r="F317" s="385">
        <v>0.05</v>
      </c>
      <c r="G317" s="402"/>
    </row>
    <row r="318" spans="1:7">
      <c r="A318" s="395" t="s">
        <v>318</v>
      </c>
      <c r="B318" s="384" t="s">
        <v>2856</v>
      </c>
      <c r="C318" s="396"/>
      <c r="D318" s="396"/>
      <c r="E318" s="396"/>
      <c r="F318" s="385">
        <v>0.05</v>
      </c>
      <c r="G318" s="402"/>
    </row>
    <row r="319" spans="1:7">
      <c r="A319" s="395" t="s">
        <v>318</v>
      </c>
      <c r="B319" s="384" t="s">
        <v>2857</v>
      </c>
      <c r="C319" s="396"/>
      <c r="D319" s="396"/>
      <c r="E319" s="396"/>
      <c r="F319" s="385">
        <v>0.05</v>
      </c>
      <c r="G319" s="402"/>
    </row>
    <row r="320" spans="1:7">
      <c r="A320" s="395" t="s">
        <v>318</v>
      </c>
      <c r="B320" s="384" t="s">
        <v>2858</v>
      </c>
      <c r="C320" s="396"/>
      <c r="D320" s="396"/>
      <c r="E320" s="396"/>
      <c r="F320" s="385">
        <v>0.05</v>
      </c>
      <c r="G320" s="402"/>
    </row>
    <row r="321" spans="1:7">
      <c r="A321" s="395" t="s">
        <v>318</v>
      </c>
      <c r="B321" s="384" t="s">
        <v>2859</v>
      </c>
      <c r="C321" s="396"/>
      <c r="D321" s="396"/>
      <c r="E321" s="396"/>
      <c r="F321" s="385">
        <v>0.05</v>
      </c>
      <c r="G321" s="402"/>
    </row>
    <row r="322" spans="1:7">
      <c r="A322" s="395" t="s">
        <v>318</v>
      </c>
      <c r="B322" s="384" t="s">
        <v>2860</v>
      </c>
      <c r="C322" s="396"/>
      <c r="D322" s="396"/>
      <c r="E322" s="396"/>
      <c r="F322" s="385">
        <v>0.05</v>
      </c>
      <c r="G322" s="402"/>
    </row>
    <row r="323" spans="1:7">
      <c r="A323" s="395" t="s">
        <v>318</v>
      </c>
      <c r="B323" s="384" t="s">
        <v>2861</v>
      </c>
      <c r="C323" s="396"/>
      <c r="D323" s="396"/>
      <c r="E323" s="396"/>
      <c r="F323" s="385">
        <v>0.05</v>
      </c>
      <c r="G323" s="402"/>
    </row>
    <row r="324" spans="1:7">
      <c r="A324" s="395" t="s">
        <v>318</v>
      </c>
      <c r="B324" s="384" t="s">
        <v>2862</v>
      </c>
      <c r="C324" s="396"/>
      <c r="D324" s="396"/>
      <c r="E324" s="396"/>
      <c r="F324" s="385">
        <v>0.05</v>
      </c>
      <c r="G324" s="402"/>
    </row>
    <row r="325" spans="1:7">
      <c r="A325" s="395" t="s">
        <v>318</v>
      </c>
      <c r="B325" s="384" t="s">
        <v>2863</v>
      </c>
      <c r="C325" s="396"/>
      <c r="D325" s="396"/>
      <c r="E325" s="396"/>
      <c r="F325" s="385">
        <v>0.05</v>
      </c>
      <c r="G325" s="402"/>
    </row>
    <row r="326" ht="14.75" spans="1:7">
      <c r="A326" s="398" t="s">
        <v>318</v>
      </c>
      <c r="B326" s="388" t="s">
        <v>2864</v>
      </c>
      <c r="C326" s="390"/>
      <c r="D326" s="390"/>
      <c r="E326" s="390"/>
      <c r="F326" s="389">
        <v>0.05</v>
      </c>
      <c r="G326" s="403"/>
    </row>
    <row r="327" spans="1:7">
      <c r="A327" s="394" t="s">
        <v>324</v>
      </c>
      <c r="B327" s="380" t="s">
        <v>2865</v>
      </c>
      <c r="C327" s="381">
        <v>0.15</v>
      </c>
      <c r="D327" s="381">
        <v>0.15</v>
      </c>
      <c r="E327" s="381">
        <v>0.15</v>
      </c>
      <c r="F327" s="381">
        <v>0.15</v>
      </c>
      <c r="G327" s="382">
        <v>0.15</v>
      </c>
    </row>
    <row r="328" spans="1:7">
      <c r="A328" s="395" t="s">
        <v>324</v>
      </c>
      <c r="B328" s="384" t="s">
        <v>2866</v>
      </c>
      <c r="C328" s="385">
        <v>0.15</v>
      </c>
      <c r="D328" s="385">
        <v>0.15</v>
      </c>
      <c r="E328" s="385">
        <v>0.15</v>
      </c>
      <c r="F328" s="385">
        <v>0.126</v>
      </c>
      <c r="G328" s="386">
        <v>0.15</v>
      </c>
    </row>
    <row r="329" spans="1:7">
      <c r="A329" s="395" t="s">
        <v>324</v>
      </c>
      <c r="B329" s="384" t="s">
        <v>2867</v>
      </c>
      <c r="C329" s="385">
        <v>0.15</v>
      </c>
      <c r="D329" s="385">
        <v>0.15</v>
      </c>
      <c r="E329" s="385">
        <v>0.15</v>
      </c>
      <c r="F329" s="385">
        <v>0.15</v>
      </c>
      <c r="G329" s="386">
        <v>0.15</v>
      </c>
    </row>
    <row r="330" spans="1:7">
      <c r="A330" s="395" t="s">
        <v>324</v>
      </c>
      <c r="B330" s="384" t="s">
        <v>2868</v>
      </c>
      <c r="C330" s="385">
        <v>0.15</v>
      </c>
      <c r="D330" s="385">
        <v>0.15</v>
      </c>
      <c r="E330" s="385">
        <v>0.15</v>
      </c>
      <c r="F330" s="385">
        <v>0.15</v>
      </c>
      <c r="G330" s="386">
        <v>0.15</v>
      </c>
    </row>
    <row r="331" spans="1:7">
      <c r="A331" s="395" t="s">
        <v>324</v>
      </c>
      <c r="B331" s="384" t="s">
        <v>2869</v>
      </c>
      <c r="C331" s="385">
        <v>0.15</v>
      </c>
      <c r="D331" s="385">
        <v>0.15</v>
      </c>
      <c r="E331" s="385">
        <v>0.15</v>
      </c>
      <c r="F331" s="385">
        <v>0.15</v>
      </c>
      <c r="G331" s="386">
        <v>0.15</v>
      </c>
    </row>
    <row r="332" spans="1:7">
      <c r="A332" s="395" t="s">
        <v>324</v>
      </c>
      <c r="B332" s="384" t="s">
        <v>2870</v>
      </c>
      <c r="C332" s="385">
        <v>0.15</v>
      </c>
      <c r="D332" s="385">
        <v>0.15</v>
      </c>
      <c r="E332" s="385">
        <v>0.15</v>
      </c>
      <c r="F332" s="385">
        <v>0.15</v>
      </c>
      <c r="G332" s="386">
        <v>0.15</v>
      </c>
    </row>
    <row r="333" spans="1:7">
      <c r="A333" s="395" t="s">
        <v>324</v>
      </c>
      <c r="B333" s="384" t="s">
        <v>2871</v>
      </c>
      <c r="C333" s="385">
        <v>0.149</v>
      </c>
      <c r="D333" s="385">
        <v>0.149</v>
      </c>
      <c r="E333" s="385">
        <v>0.15</v>
      </c>
      <c r="F333" s="385">
        <v>0.116</v>
      </c>
      <c r="G333" s="386">
        <v>0.15</v>
      </c>
    </row>
    <row r="334" spans="1:7">
      <c r="A334" s="395" t="s">
        <v>324</v>
      </c>
      <c r="B334" s="384" t="s">
        <v>2872</v>
      </c>
      <c r="C334" s="385">
        <v>0.15</v>
      </c>
      <c r="D334" s="385">
        <v>0.15</v>
      </c>
      <c r="E334" s="385">
        <v>0.15</v>
      </c>
      <c r="F334" s="385">
        <v>0.13</v>
      </c>
      <c r="G334" s="386">
        <v>0.15</v>
      </c>
    </row>
    <row r="335" spans="1:7">
      <c r="A335" s="395" t="s">
        <v>324</v>
      </c>
      <c r="B335" s="384" t="s">
        <v>2873</v>
      </c>
      <c r="C335" s="385">
        <v>0.15</v>
      </c>
      <c r="D335" s="385">
        <v>0.15</v>
      </c>
      <c r="E335" s="385">
        <v>0.15</v>
      </c>
      <c r="F335" s="385">
        <v>0.144</v>
      </c>
      <c r="G335" s="386">
        <v>0.15</v>
      </c>
    </row>
    <row r="336" spans="1:7">
      <c r="A336" s="395" t="s">
        <v>324</v>
      </c>
      <c r="B336" s="384" t="s">
        <v>2874</v>
      </c>
      <c r="C336" s="385">
        <v>0.15</v>
      </c>
      <c r="D336" s="385">
        <v>0.15</v>
      </c>
      <c r="E336" s="385">
        <v>0.15</v>
      </c>
      <c r="F336" s="385">
        <v>0.142</v>
      </c>
      <c r="G336" s="386">
        <v>0.15</v>
      </c>
    </row>
    <row r="337" spans="1:7">
      <c r="A337" s="395" t="s">
        <v>324</v>
      </c>
      <c r="B337" s="384" t="s">
        <v>2875</v>
      </c>
      <c r="C337" s="385">
        <v>0.15</v>
      </c>
      <c r="D337" s="385">
        <v>0.15</v>
      </c>
      <c r="E337" s="385">
        <v>0.15</v>
      </c>
      <c r="F337" s="385">
        <v>0.145</v>
      </c>
      <c r="G337" s="386">
        <v>0.15</v>
      </c>
    </row>
    <row r="338" spans="1:7">
      <c r="A338" s="395" t="s">
        <v>324</v>
      </c>
      <c r="B338" s="384" t="s">
        <v>2876</v>
      </c>
      <c r="C338" s="385">
        <v>0.15</v>
      </c>
      <c r="D338" s="385">
        <v>0.15</v>
      </c>
      <c r="E338" s="385">
        <v>0.15</v>
      </c>
      <c r="F338" s="385">
        <v>0.15</v>
      </c>
      <c r="G338" s="386">
        <v>0.15</v>
      </c>
    </row>
    <row r="339" spans="1:7">
      <c r="A339" s="395" t="s">
        <v>324</v>
      </c>
      <c r="B339" s="384" t="s">
        <v>2877</v>
      </c>
      <c r="C339" s="385">
        <v>0.15</v>
      </c>
      <c r="D339" s="385">
        <v>0.15</v>
      </c>
      <c r="E339" s="385">
        <v>0.15</v>
      </c>
      <c r="F339" s="385">
        <v>0.147</v>
      </c>
      <c r="G339" s="386">
        <v>0.15</v>
      </c>
    </row>
    <row r="340" spans="1:7">
      <c r="A340" s="395" t="s">
        <v>324</v>
      </c>
      <c r="B340" s="384" t="s">
        <v>2878</v>
      </c>
      <c r="C340" s="385">
        <v>0.146</v>
      </c>
      <c r="D340" s="385">
        <v>0.146</v>
      </c>
      <c r="E340" s="385">
        <v>0.15</v>
      </c>
      <c r="F340" s="385">
        <v>0.141</v>
      </c>
      <c r="G340" s="386">
        <v>0.147</v>
      </c>
    </row>
    <row r="341" spans="1:7">
      <c r="A341" s="395" t="s">
        <v>324</v>
      </c>
      <c r="B341" s="384" t="s">
        <v>2879</v>
      </c>
      <c r="C341" s="385">
        <v>0.126</v>
      </c>
      <c r="D341" s="385">
        <v>0.124</v>
      </c>
      <c r="E341" s="385">
        <v>0.141</v>
      </c>
      <c r="F341" s="385">
        <v>0.144</v>
      </c>
      <c r="G341" s="386">
        <v>0.13</v>
      </c>
    </row>
    <row r="342" spans="1:7">
      <c r="A342" s="395" t="s">
        <v>324</v>
      </c>
      <c r="B342" s="384" t="s">
        <v>2880</v>
      </c>
      <c r="C342" s="385">
        <v>0.15</v>
      </c>
      <c r="D342" s="385">
        <v>0.15</v>
      </c>
      <c r="E342" s="385">
        <v>0.15</v>
      </c>
      <c r="F342" s="385">
        <v>0.144</v>
      </c>
      <c r="G342" s="386">
        <v>0.15</v>
      </c>
    </row>
    <row r="343" spans="1:7">
      <c r="A343" s="395" t="s">
        <v>324</v>
      </c>
      <c r="B343" s="384" t="s">
        <v>2881</v>
      </c>
      <c r="C343" s="385">
        <v>0.15</v>
      </c>
      <c r="D343" s="385">
        <v>0.15</v>
      </c>
      <c r="E343" s="385">
        <v>0.15</v>
      </c>
      <c r="F343" s="385">
        <v>0.128</v>
      </c>
      <c r="G343" s="386">
        <v>0.15</v>
      </c>
    </row>
    <row r="344" spans="1:7">
      <c r="A344" s="395" t="s">
        <v>324</v>
      </c>
      <c r="B344" s="384" t="s">
        <v>2882</v>
      </c>
      <c r="C344" s="385">
        <v>0.15</v>
      </c>
      <c r="D344" s="385">
        <v>0.15</v>
      </c>
      <c r="E344" s="385">
        <v>0.15</v>
      </c>
      <c r="F344" s="385">
        <v>0.148</v>
      </c>
      <c r="G344" s="386">
        <v>0.15</v>
      </c>
    </row>
    <row r="345" spans="1:7">
      <c r="A345" s="395" t="s">
        <v>324</v>
      </c>
      <c r="B345" s="384" t="s">
        <v>2883</v>
      </c>
      <c r="C345" s="385">
        <v>0.15</v>
      </c>
      <c r="D345" s="385">
        <v>0.15</v>
      </c>
      <c r="E345" s="385">
        <v>0.15</v>
      </c>
      <c r="F345" s="385">
        <v>0.138</v>
      </c>
      <c r="G345" s="386">
        <v>0.15</v>
      </c>
    </row>
    <row r="346" spans="1:7">
      <c r="A346" s="395" t="s">
        <v>324</v>
      </c>
      <c r="B346" s="384" t="s">
        <v>2884</v>
      </c>
      <c r="C346" s="385">
        <v>0.15</v>
      </c>
      <c r="D346" s="385">
        <v>0.15</v>
      </c>
      <c r="E346" s="385">
        <v>0.15</v>
      </c>
      <c r="F346" s="385">
        <v>0.144</v>
      </c>
      <c r="G346" s="386">
        <v>0.15</v>
      </c>
    </row>
    <row r="347" spans="1:7">
      <c r="A347" s="395" t="s">
        <v>324</v>
      </c>
      <c r="B347" s="384" t="s">
        <v>2885</v>
      </c>
      <c r="C347" s="385">
        <v>0.15</v>
      </c>
      <c r="D347" s="385">
        <v>0.15</v>
      </c>
      <c r="E347" s="385">
        <v>0.15</v>
      </c>
      <c r="F347" s="385">
        <v>0.146</v>
      </c>
      <c r="G347" s="386">
        <v>0.15</v>
      </c>
    </row>
    <row r="348" spans="1:7">
      <c r="A348" s="395" t="s">
        <v>324</v>
      </c>
      <c r="B348" s="384" t="s">
        <v>2886</v>
      </c>
      <c r="C348" s="385">
        <v>0.15</v>
      </c>
      <c r="D348" s="385">
        <v>0.15</v>
      </c>
      <c r="E348" s="385">
        <v>0.15</v>
      </c>
      <c r="F348" s="385">
        <v>0.144</v>
      </c>
      <c r="G348" s="386">
        <v>0.15</v>
      </c>
    </row>
    <row r="349" spans="1:7">
      <c r="A349" s="395" t="s">
        <v>324</v>
      </c>
      <c r="B349" s="384" t="s">
        <v>2887</v>
      </c>
      <c r="C349" s="385">
        <v>0.15</v>
      </c>
      <c r="D349" s="385">
        <v>0.15</v>
      </c>
      <c r="E349" s="385">
        <v>0.15</v>
      </c>
      <c r="F349" s="385">
        <v>0.15</v>
      </c>
      <c r="G349" s="386">
        <v>0.15</v>
      </c>
    </row>
    <row r="350" spans="1:7">
      <c r="A350" s="395" t="s">
        <v>324</v>
      </c>
      <c r="B350" s="384" t="s">
        <v>2888</v>
      </c>
      <c r="C350" s="385">
        <v>0.15</v>
      </c>
      <c r="D350" s="385">
        <v>0.15</v>
      </c>
      <c r="E350" s="385">
        <v>0.15</v>
      </c>
      <c r="F350" s="385">
        <v>0.147</v>
      </c>
      <c r="G350" s="386">
        <v>0.15</v>
      </c>
    </row>
    <row r="351" spans="1:7">
      <c r="A351" s="395" t="s">
        <v>324</v>
      </c>
      <c r="B351" s="384" t="s">
        <v>2889</v>
      </c>
      <c r="C351" s="385">
        <v>0.15</v>
      </c>
      <c r="D351" s="385">
        <v>0.15</v>
      </c>
      <c r="E351" s="385">
        <v>0.15</v>
      </c>
      <c r="F351" s="385">
        <v>0.13</v>
      </c>
      <c r="G351" s="386">
        <v>0.15</v>
      </c>
    </row>
    <row r="352" spans="1:7">
      <c r="A352" s="395" t="s">
        <v>324</v>
      </c>
      <c r="B352" s="384" t="s">
        <v>2890</v>
      </c>
      <c r="C352" s="385">
        <v>0.15</v>
      </c>
      <c r="D352" s="385">
        <v>0.15</v>
      </c>
      <c r="E352" s="385">
        <v>0.15</v>
      </c>
      <c r="F352" s="385">
        <v>0.146</v>
      </c>
      <c r="G352" s="386">
        <v>0.15</v>
      </c>
    </row>
    <row r="353" spans="1:7">
      <c r="A353" s="395" t="s">
        <v>324</v>
      </c>
      <c r="B353" s="384" t="s">
        <v>2891</v>
      </c>
      <c r="C353" s="385">
        <v>0.15</v>
      </c>
      <c r="D353" s="385">
        <v>0.15</v>
      </c>
      <c r="E353" s="385">
        <v>0.15</v>
      </c>
      <c r="F353" s="385">
        <v>0.145</v>
      </c>
      <c r="G353" s="386">
        <v>0.15</v>
      </c>
    </row>
    <row r="354" spans="1:7">
      <c r="A354" s="395" t="s">
        <v>324</v>
      </c>
      <c r="B354" s="384" t="s">
        <v>2892</v>
      </c>
      <c r="C354" s="385">
        <v>0.15</v>
      </c>
      <c r="D354" s="385">
        <v>0.15</v>
      </c>
      <c r="E354" s="385">
        <v>0.15</v>
      </c>
      <c r="F354" s="385">
        <v>0.141</v>
      </c>
      <c r="G354" s="386">
        <v>0.15</v>
      </c>
    </row>
    <row r="355" spans="1:7">
      <c r="A355" s="395" t="s">
        <v>324</v>
      </c>
      <c r="B355" s="384" t="s">
        <v>2893</v>
      </c>
      <c r="C355" s="385">
        <v>0.15</v>
      </c>
      <c r="D355" s="385">
        <v>0.15</v>
      </c>
      <c r="E355" s="385">
        <v>0.15</v>
      </c>
      <c r="F355" s="385">
        <v>0.15</v>
      </c>
      <c r="G355" s="386">
        <v>0.15</v>
      </c>
    </row>
    <row r="356" spans="1:7">
      <c r="A356" s="395" t="s">
        <v>324</v>
      </c>
      <c r="B356" s="384" t="s">
        <v>2894</v>
      </c>
      <c r="C356" s="385">
        <v>0.15</v>
      </c>
      <c r="D356" s="385">
        <v>0.15</v>
      </c>
      <c r="E356" s="385">
        <v>0.15</v>
      </c>
      <c r="F356" s="385">
        <v>0.15</v>
      </c>
      <c r="G356" s="386">
        <v>0.15</v>
      </c>
    </row>
    <row r="357" ht="14.75" spans="1:7">
      <c r="A357" s="398" t="s">
        <v>324</v>
      </c>
      <c r="B357" s="388" t="s">
        <v>2895</v>
      </c>
      <c r="C357" s="389">
        <v>0.126</v>
      </c>
      <c r="D357" s="389">
        <v>0.127</v>
      </c>
      <c r="E357" s="389">
        <v>0.143</v>
      </c>
      <c r="F357" s="389">
        <v>0.125</v>
      </c>
      <c r="G357" s="391">
        <v>0.129</v>
      </c>
    </row>
    <row r="358" spans="1:7">
      <c r="A358" s="394" t="s">
        <v>330</v>
      </c>
      <c r="B358" s="380" t="s">
        <v>2896</v>
      </c>
      <c r="C358" s="381">
        <v>0.15</v>
      </c>
      <c r="D358" s="381">
        <v>0.15</v>
      </c>
      <c r="E358" s="381">
        <v>0.15</v>
      </c>
      <c r="F358" s="381">
        <v>0.15</v>
      </c>
      <c r="G358" s="382">
        <v>0.15</v>
      </c>
    </row>
    <row r="359" spans="1:7">
      <c r="A359" s="395" t="s">
        <v>330</v>
      </c>
      <c r="B359" s="384" t="s">
        <v>2897</v>
      </c>
      <c r="C359" s="385">
        <v>0.1</v>
      </c>
      <c r="D359" s="385">
        <v>0.1</v>
      </c>
      <c r="E359" s="385">
        <v>0.1</v>
      </c>
      <c r="F359" s="385">
        <v>0.1</v>
      </c>
      <c r="G359" s="386">
        <v>0.1</v>
      </c>
    </row>
    <row r="360" spans="1:7">
      <c r="A360" s="395" t="s">
        <v>330</v>
      </c>
      <c r="B360" s="384" t="s">
        <v>2898</v>
      </c>
      <c r="C360" s="385">
        <v>0.15</v>
      </c>
      <c r="D360" s="385">
        <v>0.15</v>
      </c>
      <c r="E360" s="385">
        <v>0.15</v>
      </c>
      <c r="F360" s="385">
        <v>0.149</v>
      </c>
      <c r="G360" s="386">
        <v>0.15</v>
      </c>
    </row>
    <row r="361" spans="1:7">
      <c r="A361" s="395" t="s">
        <v>330</v>
      </c>
      <c r="B361" s="384" t="s">
        <v>2899</v>
      </c>
      <c r="C361" s="385">
        <v>0.15</v>
      </c>
      <c r="D361" s="385">
        <v>0.15</v>
      </c>
      <c r="E361" s="385">
        <v>0.15</v>
      </c>
      <c r="F361" s="385">
        <v>0.115</v>
      </c>
      <c r="G361" s="386">
        <v>0.15</v>
      </c>
    </row>
    <row r="362" spans="1:7">
      <c r="A362" s="395" t="s">
        <v>330</v>
      </c>
      <c r="B362" s="384" t="s">
        <v>2900</v>
      </c>
      <c r="C362" s="385">
        <v>0.15</v>
      </c>
      <c r="D362" s="385">
        <v>0.15</v>
      </c>
      <c r="E362" s="385">
        <v>0.15</v>
      </c>
      <c r="F362" s="385">
        <v>0.106</v>
      </c>
      <c r="G362" s="386">
        <v>0.15</v>
      </c>
    </row>
    <row r="363" spans="1:7">
      <c r="A363" s="395" t="s">
        <v>330</v>
      </c>
      <c r="B363" s="384" t="s">
        <v>2901</v>
      </c>
      <c r="C363" s="385">
        <v>0.15</v>
      </c>
      <c r="D363" s="385">
        <v>0.15</v>
      </c>
      <c r="E363" s="385">
        <v>0.15</v>
      </c>
      <c r="F363" s="385">
        <v>0.147</v>
      </c>
      <c r="G363" s="386">
        <v>0.15</v>
      </c>
    </row>
    <row r="364" spans="1:7">
      <c r="A364" s="395" t="s">
        <v>330</v>
      </c>
      <c r="B364" s="384" t="s">
        <v>2902</v>
      </c>
      <c r="C364" s="385">
        <v>0.15</v>
      </c>
      <c r="D364" s="385">
        <v>0.15</v>
      </c>
      <c r="E364" s="385">
        <v>0.15</v>
      </c>
      <c r="F364" s="385">
        <v>0.148</v>
      </c>
      <c r="G364" s="386">
        <v>0.15</v>
      </c>
    </row>
    <row r="365" spans="1:7">
      <c r="A365" s="395" t="s">
        <v>330</v>
      </c>
      <c r="B365" s="384" t="s">
        <v>2903</v>
      </c>
      <c r="C365" s="385">
        <v>0.15</v>
      </c>
      <c r="D365" s="385">
        <v>0.15</v>
      </c>
      <c r="E365" s="385">
        <v>0.15</v>
      </c>
      <c r="F365" s="385">
        <v>0.15</v>
      </c>
      <c r="G365" s="386">
        <v>0.15</v>
      </c>
    </row>
    <row r="366" spans="1:7">
      <c r="A366" s="395" t="s">
        <v>330</v>
      </c>
      <c r="B366" s="384" t="s">
        <v>2904</v>
      </c>
      <c r="C366" s="385">
        <v>0.15</v>
      </c>
      <c r="D366" s="385">
        <v>0.15</v>
      </c>
      <c r="E366" s="385">
        <v>0.15</v>
      </c>
      <c r="F366" s="385">
        <v>0.15</v>
      </c>
      <c r="G366" s="386">
        <v>0.15</v>
      </c>
    </row>
    <row r="367" spans="1:7">
      <c r="A367" s="395" t="s">
        <v>330</v>
      </c>
      <c r="B367" s="384" t="s">
        <v>2905</v>
      </c>
      <c r="C367" s="385">
        <v>0.15</v>
      </c>
      <c r="D367" s="385">
        <v>0.15</v>
      </c>
      <c r="E367" s="385">
        <v>0.15</v>
      </c>
      <c r="F367" s="385">
        <v>0.147</v>
      </c>
      <c r="G367" s="386">
        <v>0.15</v>
      </c>
    </row>
    <row r="368" spans="1:7">
      <c r="A368" s="395" t="s">
        <v>330</v>
      </c>
      <c r="B368" s="384" t="s">
        <v>2906</v>
      </c>
      <c r="C368" s="385">
        <v>0.15</v>
      </c>
      <c r="D368" s="385">
        <v>0.15</v>
      </c>
      <c r="E368" s="385">
        <v>0.15</v>
      </c>
      <c r="F368" s="385">
        <v>0.136</v>
      </c>
      <c r="G368" s="386">
        <v>0.15</v>
      </c>
    </row>
    <row r="369" spans="1:7">
      <c r="A369" s="395" t="s">
        <v>330</v>
      </c>
      <c r="B369" s="384" t="s">
        <v>2907</v>
      </c>
      <c r="C369" s="385">
        <v>0.15</v>
      </c>
      <c r="D369" s="385">
        <v>0.15</v>
      </c>
      <c r="E369" s="385">
        <v>0.15</v>
      </c>
      <c r="F369" s="385">
        <v>0.144</v>
      </c>
      <c r="G369" s="386">
        <v>0.15</v>
      </c>
    </row>
    <row r="370" spans="1:7">
      <c r="A370" s="395" t="s">
        <v>330</v>
      </c>
      <c r="B370" s="384" t="s">
        <v>2908</v>
      </c>
      <c r="C370" s="385">
        <v>0.15</v>
      </c>
      <c r="D370" s="385">
        <v>0.15</v>
      </c>
      <c r="E370" s="385">
        <v>0.15</v>
      </c>
      <c r="F370" s="385">
        <v>0.146</v>
      </c>
      <c r="G370" s="386">
        <v>0.15</v>
      </c>
    </row>
    <row r="371" spans="1:7">
      <c r="A371" s="395" t="s">
        <v>330</v>
      </c>
      <c r="B371" s="384" t="s">
        <v>2909</v>
      </c>
      <c r="C371" s="385">
        <v>0.15</v>
      </c>
      <c r="D371" s="385">
        <v>0.15</v>
      </c>
      <c r="E371" s="385">
        <v>0.15</v>
      </c>
      <c r="F371" s="385">
        <v>0.12</v>
      </c>
      <c r="G371" s="386">
        <v>0.15</v>
      </c>
    </row>
    <row r="372" spans="1:7">
      <c r="A372" s="395" t="s">
        <v>330</v>
      </c>
      <c r="B372" s="384" t="s">
        <v>2910</v>
      </c>
      <c r="C372" s="385">
        <v>0.15</v>
      </c>
      <c r="D372" s="385">
        <v>0.15</v>
      </c>
      <c r="E372" s="385">
        <v>0.15</v>
      </c>
      <c r="F372" s="385">
        <v>0.143</v>
      </c>
      <c r="G372" s="386">
        <v>0.15</v>
      </c>
    </row>
    <row r="373" spans="1:7">
      <c r="A373" s="395" t="s">
        <v>330</v>
      </c>
      <c r="B373" s="384" t="s">
        <v>2911</v>
      </c>
      <c r="C373" s="385">
        <v>0.15</v>
      </c>
      <c r="D373" s="385">
        <v>0.15</v>
      </c>
      <c r="E373" s="385">
        <v>0.15</v>
      </c>
      <c r="F373" s="385">
        <v>0.146</v>
      </c>
      <c r="G373" s="386">
        <v>0.15</v>
      </c>
    </row>
    <row r="374" spans="1:7">
      <c r="A374" s="395" t="s">
        <v>330</v>
      </c>
      <c r="B374" s="384" t="s">
        <v>2912</v>
      </c>
      <c r="C374" s="385">
        <v>0.15</v>
      </c>
      <c r="D374" s="385">
        <v>0.15</v>
      </c>
      <c r="E374" s="385">
        <v>0.15</v>
      </c>
      <c r="F374" s="385">
        <v>0.144</v>
      </c>
      <c r="G374" s="386">
        <v>0.15</v>
      </c>
    </row>
    <row r="375" spans="1:7">
      <c r="A375" s="395" t="s">
        <v>330</v>
      </c>
      <c r="B375" s="384" t="s">
        <v>2913</v>
      </c>
      <c r="C375" s="385">
        <v>0.15</v>
      </c>
      <c r="D375" s="385">
        <v>0.15</v>
      </c>
      <c r="E375" s="385">
        <v>0.15</v>
      </c>
      <c r="F375" s="385">
        <v>0.13</v>
      </c>
      <c r="G375" s="386">
        <v>0.15</v>
      </c>
    </row>
    <row r="376" spans="1:7">
      <c r="A376" s="395" t="s">
        <v>330</v>
      </c>
      <c r="B376" s="384" t="s">
        <v>2914</v>
      </c>
      <c r="C376" s="385">
        <v>0.15</v>
      </c>
      <c r="D376" s="385">
        <v>0.15</v>
      </c>
      <c r="E376" s="385">
        <v>0.15</v>
      </c>
      <c r="F376" s="385">
        <v>0.142</v>
      </c>
      <c r="G376" s="386">
        <v>0.15</v>
      </c>
    </row>
    <row r="377" ht="14.75" spans="1:7">
      <c r="A377" s="398" t="s">
        <v>330</v>
      </c>
      <c r="B377" s="388" t="s">
        <v>2915</v>
      </c>
      <c r="C377" s="389">
        <v>0.15</v>
      </c>
      <c r="D377" s="389">
        <v>0.15</v>
      </c>
      <c r="E377" s="389">
        <v>0.15</v>
      </c>
      <c r="F377" s="389">
        <v>0.14</v>
      </c>
      <c r="G377" s="391">
        <v>0.15</v>
      </c>
    </row>
    <row r="378" spans="1:7">
      <c r="A378" s="394" t="s">
        <v>336</v>
      </c>
      <c r="B378" s="380" t="s">
        <v>2916</v>
      </c>
      <c r="C378" s="381">
        <v>0.15</v>
      </c>
      <c r="D378" s="381">
        <v>0.15</v>
      </c>
      <c r="E378" s="381">
        <v>0.15</v>
      </c>
      <c r="F378" s="381">
        <v>0.107</v>
      </c>
      <c r="G378" s="382">
        <v>0.15</v>
      </c>
    </row>
    <row r="379" spans="1:7">
      <c r="A379" s="395" t="s">
        <v>336</v>
      </c>
      <c r="B379" s="384" t="s">
        <v>2917</v>
      </c>
      <c r="C379" s="385">
        <v>0.15</v>
      </c>
      <c r="D379" s="385">
        <v>0.15</v>
      </c>
      <c r="E379" s="385">
        <v>0.15</v>
      </c>
      <c r="F379" s="385">
        <v>0.115</v>
      </c>
      <c r="G379" s="386">
        <v>0.149</v>
      </c>
    </row>
    <row r="380" spans="1:7">
      <c r="A380" s="395" t="s">
        <v>336</v>
      </c>
      <c r="B380" s="384" t="s">
        <v>2918</v>
      </c>
      <c r="C380" s="385">
        <v>0.15</v>
      </c>
      <c r="D380" s="385">
        <v>0.15</v>
      </c>
      <c r="E380" s="385">
        <v>0.15</v>
      </c>
      <c r="F380" s="385">
        <v>0.1</v>
      </c>
      <c r="G380" s="386">
        <v>0.148</v>
      </c>
    </row>
    <row r="381" spans="1:7">
      <c r="A381" s="395" t="s">
        <v>336</v>
      </c>
      <c r="B381" s="384" t="s">
        <v>2919</v>
      </c>
      <c r="C381" s="385">
        <v>0.15</v>
      </c>
      <c r="D381" s="385">
        <v>0.15</v>
      </c>
      <c r="E381" s="385">
        <v>0.15</v>
      </c>
      <c r="F381" s="385">
        <v>0.126</v>
      </c>
      <c r="G381" s="386">
        <v>0.15</v>
      </c>
    </row>
    <row r="382" spans="1:7">
      <c r="A382" s="395" t="s">
        <v>336</v>
      </c>
      <c r="B382" s="384" t="s">
        <v>2920</v>
      </c>
      <c r="C382" s="385">
        <v>0.15</v>
      </c>
      <c r="D382" s="385">
        <v>0.15</v>
      </c>
      <c r="E382" s="385">
        <v>0.15</v>
      </c>
      <c r="F382" s="385">
        <v>0.15</v>
      </c>
      <c r="G382" s="386">
        <v>0.15</v>
      </c>
    </row>
    <row r="383" spans="1:7">
      <c r="A383" s="395" t="s">
        <v>336</v>
      </c>
      <c r="B383" s="384" t="s">
        <v>2921</v>
      </c>
      <c r="C383" s="385">
        <v>0.15</v>
      </c>
      <c r="D383" s="385">
        <v>0.15</v>
      </c>
      <c r="E383" s="385">
        <v>0.15</v>
      </c>
      <c r="F383" s="385">
        <v>0.147</v>
      </c>
      <c r="G383" s="386">
        <v>0.15</v>
      </c>
    </row>
    <row r="384" ht="14.75" spans="1:7">
      <c r="A384" s="405" t="s">
        <v>336</v>
      </c>
      <c r="B384" s="406" t="s">
        <v>2922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2923</v>
      </c>
      <c r="B1" s="363"/>
      <c r="C1" s="363"/>
      <c r="D1" s="363"/>
      <c r="E1" s="363"/>
      <c r="F1" s="364"/>
    </row>
    <row r="2" spans="1:6">
      <c r="A2" s="365" t="s">
        <v>2924</v>
      </c>
      <c r="B2" s="366"/>
      <c r="C2" s="366"/>
      <c r="D2" s="366"/>
      <c r="E2" s="366"/>
      <c r="F2" s="366"/>
    </row>
    <row r="3" spans="1:6">
      <c r="A3" s="365" t="s">
        <v>2925</v>
      </c>
      <c r="B3" s="366"/>
      <c r="C3" s="366"/>
      <c r="D3" s="366"/>
      <c r="E3" s="366"/>
      <c r="F3" s="367" t="s">
        <v>2926</v>
      </c>
    </row>
    <row r="4" spans="1:6">
      <c r="A4" s="368" t="s">
        <v>451</v>
      </c>
      <c r="B4" s="368" t="s">
        <v>229</v>
      </c>
      <c r="C4" s="368" t="s">
        <v>230</v>
      </c>
      <c r="D4" s="368" t="s">
        <v>2927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45" workbookViewId="0">
      <selection activeCell="A67" sqref="A67"/>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46029</v>
      </c>
      <c r="B1" s="279" t="s">
        <v>2928</v>
      </c>
      <c r="C1" s="280"/>
      <c r="D1" s="280"/>
      <c r="E1" s="280"/>
      <c r="F1" s="280"/>
      <c r="G1" s="280"/>
      <c r="H1" s="280"/>
      <c r="I1" s="280"/>
      <c r="J1" s="281"/>
      <c r="K1" s="280" t="s">
        <v>2929</v>
      </c>
      <c r="L1" s="280"/>
      <c r="M1" s="280"/>
      <c r="N1" s="280"/>
      <c r="O1" s="280"/>
      <c r="P1" s="280"/>
      <c r="Q1" s="281"/>
      <c r="R1" s="282" t="s">
        <v>2930</v>
      </c>
      <c r="S1" s="277"/>
      <c r="T1" s="277"/>
      <c r="U1" s="277"/>
      <c r="V1" s="277"/>
      <c r="W1" s="277"/>
      <c r="X1" s="281"/>
      <c r="Y1" s="282" t="s">
        <v>2931</v>
      </c>
      <c r="Z1" s="277"/>
      <c r="AA1" s="277"/>
      <c r="AB1" s="277"/>
      <c r="AC1" s="277"/>
      <c r="AD1" s="277"/>
    </row>
    <row r="2" s="270" customFormat="1" ht="14.75" spans="1:44">
      <c r="B2" s="283"/>
      <c r="C2" s="284"/>
      <c r="D2" s="285" t="s">
        <v>2932</v>
      </c>
      <c r="E2" s="286" t="s">
        <v>229</v>
      </c>
      <c r="F2" s="286" t="s">
        <v>230</v>
      </c>
      <c r="G2" s="286" t="s">
        <v>232</v>
      </c>
      <c r="H2" s="286" t="s">
        <v>233</v>
      </c>
      <c r="I2" s="286" t="s">
        <v>231</v>
      </c>
      <c r="J2" s="287"/>
      <c r="K2" s="285" t="s">
        <v>2932</v>
      </c>
      <c r="L2" s="286" t="s">
        <v>229</v>
      </c>
      <c r="M2" s="286" t="s">
        <v>230</v>
      </c>
      <c r="N2" s="286" t="s">
        <v>232</v>
      </c>
      <c r="O2" s="286" t="s">
        <v>233</v>
      </c>
      <c r="P2" s="286" t="s">
        <v>231</v>
      </c>
      <c r="Q2" s="287"/>
      <c r="R2" s="285" t="s">
        <v>2932</v>
      </c>
      <c r="S2" s="286" t="s">
        <v>229</v>
      </c>
      <c r="T2" s="286" t="s">
        <v>230</v>
      </c>
      <c r="U2" s="286" t="s">
        <v>232</v>
      </c>
      <c r="V2" s="286" t="s">
        <v>233</v>
      </c>
      <c r="W2" s="286" t="s">
        <v>231</v>
      </c>
      <c r="X2" s="287"/>
      <c r="Y2" s="285" t="s">
        <v>2932</v>
      </c>
      <c r="Z2" s="286" t="s">
        <v>229</v>
      </c>
      <c r="AA2" s="286" t="s">
        <v>230</v>
      </c>
      <c r="AB2" s="286" t="s">
        <v>232</v>
      </c>
      <c r="AC2" s="286" t="s">
        <v>233</v>
      </c>
      <c r="AD2" s="286" t="s">
        <v>231</v>
      </c>
      <c r="AF2" t="s">
        <v>2932</v>
      </c>
      <c r="AG2" t="s">
        <v>229</v>
      </c>
      <c r="AH2" t="s">
        <v>230</v>
      </c>
      <c r="AI2" t="s">
        <v>232</v>
      </c>
      <c r="AJ2" t="s">
        <v>233</v>
      </c>
      <c r="AK2" t="s">
        <v>231</v>
      </c>
      <c r="AM2" t="s">
        <v>2932</v>
      </c>
      <c r="AN2" t="s">
        <v>229</v>
      </c>
      <c r="AO2" t="s">
        <v>230</v>
      </c>
      <c r="AP2" t="s">
        <v>232</v>
      </c>
      <c r="AQ2" t="s">
        <v>233</v>
      </c>
      <c r="AR2" t="s">
        <v>231</v>
      </c>
    </row>
    <row r="3" s="271" customFormat="1" ht="13" spans="1:44">
      <c r="A3" s="288" t="s">
        <v>2933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2935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2936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2937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2938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2939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2940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2941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2942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2943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2944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2945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2946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2947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2948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2949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2950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2951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2952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2953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2954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2955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2956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2957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2958</v>
      </c>
    </row>
    <row r="31" s="276" customFormat="1" spans="1:44">
      <c r="I31" s="345" t="s">
        <v>1628</v>
      </c>
    </row>
    <row r="32" s="276" customFormat="1"/>
    <row r="33" s="277" customFormat="1" ht="13" spans="1:44">
      <c r="B33" s="279" t="s">
        <v>2959</v>
      </c>
      <c r="C33" s="280"/>
      <c r="D33" s="280"/>
      <c r="E33" s="280"/>
      <c r="F33" s="280"/>
      <c r="G33" s="280"/>
      <c r="H33" s="280"/>
      <c r="I33" s="280"/>
      <c r="J33" s="281"/>
      <c r="K33" s="280" t="s">
        <v>2929</v>
      </c>
      <c r="L33" s="280"/>
      <c r="M33" s="280"/>
      <c r="N33" s="280"/>
      <c r="O33" s="280"/>
      <c r="P33" s="280"/>
      <c r="Q33" s="281"/>
      <c r="R33" s="282" t="s">
        <v>2930</v>
      </c>
      <c r="X33" s="281"/>
      <c r="Y33" s="282" t="s">
        <v>2931</v>
      </c>
    </row>
    <row r="34" s="270" customFormat="1" ht="14.75" spans="1:44">
      <c r="B34" s="283"/>
      <c r="C34" s="284"/>
      <c r="D34" s="285" t="s">
        <v>2932</v>
      </c>
      <c r="E34" s="286" t="s">
        <v>229</v>
      </c>
      <c r="F34" s="286" t="s">
        <v>230</v>
      </c>
      <c r="G34" s="286" t="s">
        <v>232</v>
      </c>
      <c r="H34" s="286"/>
      <c r="I34" s="286" t="s">
        <v>231</v>
      </c>
      <c r="J34" s="287"/>
      <c r="K34" s="285" t="s">
        <v>2932</v>
      </c>
      <c r="L34" s="286" t="s">
        <v>229</v>
      </c>
      <c r="M34" s="286" t="s">
        <v>230</v>
      </c>
      <c r="N34" s="286" t="s">
        <v>232</v>
      </c>
      <c r="O34" s="286"/>
      <c r="P34" s="286" t="s">
        <v>231</v>
      </c>
      <c r="Q34" s="287"/>
      <c r="R34" s="285" t="s">
        <v>2932</v>
      </c>
      <c r="S34" s="286" t="s">
        <v>229</v>
      </c>
      <c r="T34" s="286" t="s">
        <v>230</v>
      </c>
      <c r="U34" s="286" t="s">
        <v>232</v>
      </c>
      <c r="V34" s="286"/>
      <c r="W34" s="286" t="s">
        <v>231</v>
      </c>
      <c r="X34" s="287"/>
      <c r="Y34" s="285" t="s">
        <v>2932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2933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2935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2936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2937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2938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2939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2940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2941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2942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2943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2944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2945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2946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2947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2948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2949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2950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2951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2952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2953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2954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2955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2956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2957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2960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R64" sqref="R64"/>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2961</v>
      </c>
      <c r="C1" s="126"/>
      <c r="D1" s="126"/>
      <c r="E1" s="126"/>
      <c r="F1" s="126"/>
      <c r="G1" s="115" t="s">
        <v>2962</v>
      </c>
      <c r="N1" s="115" t="s">
        <v>2929</v>
      </c>
      <c r="S1" s="115" t="s">
        <v>2963</v>
      </c>
      <c r="X1" s="127" t="s">
        <v>2930</v>
      </c>
      <c r="AD1" s="127" t="s">
        <v>2931</v>
      </c>
    </row>
    <row r="2" s="116" customFormat="1" ht="14.75" spans="1:34">
      <c r="B2" s="128" t="s">
        <v>2964</v>
      </c>
      <c r="C2" s="128" t="s">
        <v>2965</v>
      </c>
      <c r="D2" s="129" t="s">
        <v>230</v>
      </c>
      <c r="E2" s="129" t="s">
        <v>232</v>
      </c>
      <c r="F2" s="128" t="s">
        <v>2966</v>
      </c>
      <c r="G2" s="130"/>
      <c r="I2" s="128" t="s">
        <v>2964</v>
      </c>
      <c r="J2" s="129" t="s">
        <v>2262</v>
      </c>
      <c r="K2" s="129" t="s">
        <v>232</v>
      </c>
      <c r="L2" s="128" t="s">
        <v>2966</v>
      </c>
      <c r="N2" s="128" t="s">
        <v>2964</v>
      </c>
      <c r="O2" s="129" t="s">
        <v>2262</v>
      </c>
      <c r="P2" s="129" t="s">
        <v>232</v>
      </c>
      <c r="Q2" s="128" t="s">
        <v>2966</v>
      </c>
      <c r="S2" s="128" t="s">
        <v>2964</v>
      </c>
      <c r="T2" s="129" t="s">
        <v>2262</v>
      </c>
      <c r="U2" s="129" t="s">
        <v>232</v>
      </c>
      <c r="V2" s="128" t="s">
        <v>2966</v>
      </c>
      <c r="X2" s="128" t="s">
        <v>2964</v>
      </c>
      <c r="Y2" s="128" t="s">
        <v>2965</v>
      </c>
      <c r="Z2" s="129" t="s">
        <v>230</v>
      </c>
      <c r="AA2" s="129" t="s">
        <v>232</v>
      </c>
      <c r="AB2" s="128" t="s">
        <v>2966</v>
      </c>
      <c r="AD2" s="128" t="s">
        <v>2964</v>
      </c>
      <c r="AE2" s="128" t="s">
        <v>2965</v>
      </c>
      <c r="AF2" s="129" t="s">
        <v>230</v>
      </c>
      <c r="AG2" s="129" t="s">
        <v>232</v>
      </c>
      <c r="AH2" s="128" t="s">
        <v>2966</v>
      </c>
    </row>
    <row r="3" s="117" customFormat="1" ht="14" spans="1:34">
      <c r="A3" s="131" t="s">
        <v>2933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2950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2951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2952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2953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2954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2955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2956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2957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2968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2969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2970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2971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2972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2973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2974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2975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2976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2980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2984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2987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2988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2992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2994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2995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2997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2999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3001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3004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3005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3008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3009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3012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3013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3017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3020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3021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3025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3029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3033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3036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3037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3040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3041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3044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3045</v>
      </c>
      <c r="G91" s="259"/>
      <c r="N91" s="259"/>
      <c r="S91" s="259"/>
    </row>
    <row r="92" s="123" customFormat="1" ht="13" spans="1:26">
      <c r="A92" s="123" t="s">
        <v>3046</v>
      </c>
      <c r="G92" s="259"/>
      <c r="N92" s="259"/>
      <c r="S92" s="259"/>
    </row>
    <row r="93" s="123" customFormat="1" ht="13" spans="1:26">
      <c r="A93" s="123" t="s">
        <v>3047</v>
      </c>
      <c r="G93" s="259"/>
      <c r="I93" s="260"/>
      <c r="J93" s="260"/>
      <c r="K93" s="260"/>
      <c r="L93" s="260"/>
      <c r="N93" s="261"/>
      <c r="O93" s="260"/>
      <c r="P93" s="260"/>
      <c r="Q93" s="260"/>
      <c r="S93" s="261"/>
      <c r="T93" s="260"/>
      <c r="U93" s="260"/>
      <c r="V93" s="260"/>
    </row>
    <row r="94" s="123" customFormat="1" ht="13" spans="1:26">
      <c r="A94" s="123" t="s">
        <v>3048</v>
      </c>
      <c r="G94" s="259"/>
      <c r="N94" s="259"/>
      <c r="S94" s="259"/>
    </row>
    <row r="101" ht="13.25"/>
    <row r="102" ht="13" spans="7:22">
      <c r="G102" s="124"/>
      <c r="S102" s="262" t="s">
        <v>3049</v>
      </c>
      <c r="T102" s="263" t="s">
        <v>3050</v>
      </c>
      <c r="U102" s="263" t="s">
        <v>3051</v>
      </c>
      <c r="V102" s="263" t="s">
        <v>3052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R64" sqref="R64"/>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3053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3054</v>
      </c>
      <c r="B2" s="84"/>
      <c r="C2" s="84"/>
      <c r="D2" s="84"/>
      <c r="E2" s="84"/>
      <c r="F2" s="84"/>
      <c r="G2" s="85" t="s">
        <v>3055</v>
      </c>
      <c r="I2" s="86" t="s">
        <v>2544</v>
      </c>
      <c r="J2" s="86" t="s">
        <v>2549</v>
      </c>
      <c r="K2" s="86" t="s">
        <v>2569</v>
      </c>
      <c r="L2" s="86" t="s">
        <v>2594</v>
      </c>
      <c r="M2" s="86" t="s">
        <v>2626</v>
      </c>
      <c r="N2" s="86" t="s">
        <v>2666</v>
      </c>
      <c r="O2" s="86" t="s">
        <v>2729</v>
      </c>
      <c r="P2" s="86" t="s">
        <v>2772</v>
      </c>
      <c r="Q2" s="86" t="s">
        <v>2815</v>
      </c>
      <c r="R2" s="86" t="s">
        <v>2865</v>
      </c>
      <c r="S2" s="86" t="s">
        <v>2896</v>
      </c>
      <c r="T2" s="86" t="s">
        <v>2916</v>
      </c>
    </row>
    <row r="3" s="76" customFormat="1" spans="1:20">
      <c r="A3" s="87" t="s">
        <v>2542</v>
      </c>
      <c r="B3" s="88"/>
      <c r="C3" s="89" t="s">
        <v>229</v>
      </c>
      <c r="D3" s="89" t="s">
        <v>230</v>
      </c>
      <c r="E3" s="89" t="s">
        <v>232</v>
      </c>
      <c r="F3" s="89" t="s">
        <v>233</v>
      </c>
      <c r="G3" s="89" t="s">
        <v>231</v>
      </c>
      <c r="H3" s="90"/>
      <c r="I3" s="91" t="s">
        <v>2545</v>
      </c>
      <c r="J3" s="92" t="s">
        <v>2550</v>
      </c>
      <c r="K3" s="92" t="s">
        <v>2570</v>
      </c>
      <c r="L3" s="91" t="s">
        <v>2595</v>
      </c>
      <c r="M3" s="91" t="s">
        <v>2627</v>
      </c>
      <c r="N3" s="91" t="s">
        <v>2667</v>
      </c>
      <c r="O3" s="91" t="s">
        <v>2730</v>
      </c>
      <c r="P3" s="91" t="s">
        <v>2773</v>
      </c>
      <c r="Q3" s="91" t="s">
        <v>2816</v>
      </c>
      <c r="R3" s="91" t="s">
        <v>2866</v>
      </c>
      <c r="S3" s="91" t="s">
        <v>2897</v>
      </c>
      <c r="T3" s="91" t="s">
        <v>2917</v>
      </c>
    </row>
    <row r="4" s="76" customFormat="1" ht="12.75" spans="1:20">
      <c r="A4" s="93"/>
      <c r="B4" s="94" t="s">
        <v>2543</v>
      </c>
      <c r="C4" s="94" t="s">
        <v>3056</v>
      </c>
      <c r="D4" s="94" t="s">
        <v>3056</v>
      </c>
      <c r="E4" s="94" t="s">
        <v>3056</v>
      </c>
      <c r="F4" s="95" t="s">
        <v>3056</v>
      </c>
      <c r="G4" s="95" t="s">
        <v>3056</v>
      </c>
      <c r="H4" s="90"/>
      <c r="I4" s="92" t="s">
        <v>2546</v>
      </c>
      <c r="J4" s="92" t="s">
        <v>2551</v>
      </c>
      <c r="K4" s="92" t="s">
        <v>2571</v>
      </c>
      <c r="L4" s="91" t="s">
        <v>2596</v>
      </c>
      <c r="M4" s="91" t="s">
        <v>2628</v>
      </c>
      <c r="N4" s="91" t="s">
        <v>2668</v>
      </c>
      <c r="O4" s="91" t="s">
        <v>2731</v>
      </c>
      <c r="P4" s="91" t="s">
        <v>2774</v>
      </c>
      <c r="Q4" s="91" t="s">
        <v>2817</v>
      </c>
      <c r="R4" s="91" t="s">
        <v>2867</v>
      </c>
      <c r="S4" s="91" t="s">
        <v>2898</v>
      </c>
      <c r="T4" s="91" t="s">
        <v>2918</v>
      </c>
    </row>
    <row r="5" spans="1:20">
      <c r="A5" s="96" t="s">
        <v>235</v>
      </c>
      <c r="B5" s="86" t="s">
        <v>2544</v>
      </c>
      <c r="C5" s="97">
        <v>34550</v>
      </c>
      <c r="D5" s="97">
        <v>34470</v>
      </c>
      <c r="E5" s="97">
        <v>34330</v>
      </c>
      <c r="F5" s="97">
        <v>13400</v>
      </c>
      <c r="G5" s="97">
        <v>25450</v>
      </c>
      <c r="H5" s="90"/>
      <c r="I5" s="91" t="s">
        <v>2547</v>
      </c>
      <c r="J5" s="92" t="s">
        <v>2552</v>
      </c>
      <c r="K5" s="92" t="s">
        <v>2572</v>
      </c>
      <c r="L5" s="91" t="s">
        <v>2597</v>
      </c>
      <c r="M5" s="91" t="s">
        <v>2629</v>
      </c>
      <c r="N5" s="91" t="s">
        <v>2669</v>
      </c>
      <c r="O5" s="91" t="s">
        <v>2732</v>
      </c>
      <c r="P5" s="91" t="s">
        <v>2775</v>
      </c>
      <c r="Q5" s="91" t="s">
        <v>2818</v>
      </c>
      <c r="R5" s="91" t="s">
        <v>2868</v>
      </c>
      <c r="S5" s="91" t="s">
        <v>2899</v>
      </c>
      <c r="T5" s="91" t="s">
        <v>2919</v>
      </c>
    </row>
    <row r="6" ht="12.75" spans="1:20">
      <c r="A6" s="91" t="s">
        <v>235</v>
      </c>
      <c r="B6" s="91" t="s">
        <v>2545</v>
      </c>
      <c r="C6" s="98">
        <v>36990</v>
      </c>
      <c r="D6" s="98">
        <v>36850</v>
      </c>
      <c r="E6" s="98">
        <v>36700</v>
      </c>
      <c r="F6" s="98">
        <v>14590</v>
      </c>
      <c r="G6" s="98">
        <v>27450</v>
      </c>
      <c r="H6" s="90"/>
      <c r="I6" s="99" t="s">
        <v>2548</v>
      </c>
      <c r="J6" s="92" t="s">
        <v>2553</v>
      </c>
      <c r="K6" s="92" t="s">
        <v>2573</v>
      </c>
      <c r="L6" s="91" t="s">
        <v>2598</v>
      </c>
      <c r="M6" s="91" t="s">
        <v>2630</v>
      </c>
      <c r="N6" s="91" t="s">
        <v>2670</v>
      </c>
      <c r="O6" s="91" t="s">
        <v>2733</v>
      </c>
      <c r="P6" s="91" t="s">
        <v>2776</v>
      </c>
      <c r="Q6" s="91" t="s">
        <v>2819</v>
      </c>
      <c r="R6" s="91" t="s">
        <v>2869</v>
      </c>
      <c r="S6" s="91" t="s">
        <v>2900</v>
      </c>
      <c r="T6" s="91" t="s">
        <v>2920</v>
      </c>
    </row>
    <row r="7" spans="1:20">
      <c r="A7" s="91" t="s">
        <v>235</v>
      </c>
      <c r="B7" s="92" t="s">
        <v>2546</v>
      </c>
      <c r="C7" s="98">
        <v>34850</v>
      </c>
      <c r="D7" s="98">
        <v>34690</v>
      </c>
      <c r="E7" s="98">
        <v>34550</v>
      </c>
      <c r="F7" s="98">
        <v>14360</v>
      </c>
      <c r="G7" s="98">
        <v>25620</v>
      </c>
      <c r="H7" s="90"/>
      <c r="J7" s="92" t="s">
        <v>2554</v>
      </c>
      <c r="K7" s="92" t="s">
        <v>2574</v>
      </c>
      <c r="L7" s="91" t="s">
        <v>2599</v>
      </c>
      <c r="M7" s="91" t="s">
        <v>2631</v>
      </c>
      <c r="N7" s="91" t="s">
        <v>2671</v>
      </c>
      <c r="O7" s="91" t="s">
        <v>2734</v>
      </c>
      <c r="P7" s="91" t="s">
        <v>2777</v>
      </c>
      <c r="Q7" s="91" t="s">
        <v>2820</v>
      </c>
      <c r="R7" s="91" t="s">
        <v>2870</v>
      </c>
      <c r="S7" s="91" t="s">
        <v>2901</v>
      </c>
      <c r="T7" s="91" t="s">
        <v>2921</v>
      </c>
    </row>
    <row r="8" ht="12.75" spans="1:20">
      <c r="A8" s="91" t="s">
        <v>235</v>
      </c>
      <c r="B8" s="91" t="s">
        <v>2547</v>
      </c>
      <c r="C8" s="98">
        <v>32630</v>
      </c>
      <c r="D8" s="98">
        <v>32510</v>
      </c>
      <c r="E8" s="98">
        <v>32420</v>
      </c>
      <c r="F8" s="98">
        <v>13300</v>
      </c>
      <c r="G8" s="98">
        <v>24010</v>
      </c>
      <c r="H8" s="90"/>
      <c r="J8" s="92" t="s">
        <v>2555</v>
      </c>
      <c r="K8" s="92" t="s">
        <v>2575</v>
      </c>
      <c r="L8" s="91" t="s">
        <v>2600</v>
      </c>
      <c r="M8" s="91" t="s">
        <v>2632</v>
      </c>
      <c r="N8" s="91" t="s">
        <v>2672</v>
      </c>
      <c r="O8" s="91" t="s">
        <v>2735</v>
      </c>
      <c r="P8" s="91" t="s">
        <v>2778</v>
      </c>
      <c r="Q8" s="91" t="s">
        <v>2821</v>
      </c>
      <c r="R8" s="91" t="s">
        <v>2871</v>
      </c>
      <c r="S8" s="91" t="s">
        <v>2902</v>
      </c>
      <c r="T8" s="100" t="s">
        <v>2922</v>
      </c>
    </row>
    <row r="9" ht="12.75" spans="1:20">
      <c r="A9" s="101" t="s">
        <v>235</v>
      </c>
      <c r="B9" s="99" t="s">
        <v>2548</v>
      </c>
      <c r="C9" s="102">
        <v>36370</v>
      </c>
      <c r="D9" s="102">
        <v>36210</v>
      </c>
      <c r="E9" s="102">
        <v>36050</v>
      </c>
      <c r="F9" s="102"/>
      <c r="G9" s="102">
        <v>26740</v>
      </c>
      <c r="H9" s="90"/>
      <c r="J9" s="92" t="s">
        <v>2556</v>
      </c>
      <c r="K9" s="92" t="s">
        <v>2576</v>
      </c>
      <c r="L9" s="91" t="s">
        <v>2601</v>
      </c>
      <c r="M9" s="91" t="s">
        <v>2633</v>
      </c>
      <c r="N9" s="91" t="s">
        <v>2673</v>
      </c>
      <c r="O9" s="91" t="s">
        <v>2736</v>
      </c>
      <c r="P9" s="91" t="s">
        <v>2779</v>
      </c>
      <c r="Q9" s="91" t="s">
        <v>2822</v>
      </c>
      <c r="R9" s="91" t="s">
        <v>2872</v>
      </c>
      <c r="S9" s="91" t="s">
        <v>2903</v>
      </c>
    </row>
    <row r="10" spans="1:20">
      <c r="A10" s="96" t="s">
        <v>251</v>
      </c>
      <c r="B10" s="86" t="s">
        <v>2549</v>
      </c>
      <c r="C10" s="98">
        <v>32350</v>
      </c>
      <c r="D10" s="98">
        <v>31430</v>
      </c>
      <c r="E10" s="98">
        <v>31320</v>
      </c>
      <c r="F10" s="98">
        <v>10850</v>
      </c>
      <c r="G10" s="98">
        <v>22860</v>
      </c>
      <c r="H10" s="90"/>
      <c r="J10" s="92" t="s">
        <v>2557</v>
      </c>
      <c r="K10" s="92" t="s">
        <v>2577</v>
      </c>
      <c r="L10" s="91" t="s">
        <v>2602</v>
      </c>
      <c r="M10" s="91" t="s">
        <v>2634</v>
      </c>
      <c r="N10" s="91" t="s">
        <v>2674</v>
      </c>
      <c r="O10" s="91" t="s">
        <v>2737</v>
      </c>
      <c r="P10" s="91" t="s">
        <v>2780</v>
      </c>
      <c r="Q10" s="91" t="s">
        <v>2823</v>
      </c>
      <c r="R10" s="91" t="s">
        <v>2873</v>
      </c>
      <c r="S10" s="91" t="s">
        <v>2904</v>
      </c>
    </row>
    <row r="11" spans="1:20">
      <c r="A11" s="91" t="s">
        <v>251</v>
      </c>
      <c r="B11" s="92" t="s">
        <v>2550</v>
      </c>
      <c r="C11" s="98">
        <v>31590</v>
      </c>
      <c r="D11" s="98">
        <v>29490</v>
      </c>
      <c r="E11" s="98">
        <v>28700</v>
      </c>
      <c r="F11" s="98">
        <v>10410</v>
      </c>
      <c r="G11" s="98">
        <v>21460</v>
      </c>
      <c r="H11" s="90"/>
      <c r="J11" s="92" t="s">
        <v>2558</v>
      </c>
      <c r="K11" s="92" t="s">
        <v>2578</v>
      </c>
      <c r="L11" s="91" t="s">
        <v>2603</v>
      </c>
      <c r="M11" s="91" t="s">
        <v>2635</v>
      </c>
      <c r="N11" s="91" t="s">
        <v>2675</v>
      </c>
      <c r="O11" s="91" t="s">
        <v>2738</v>
      </c>
      <c r="P11" s="91" t="s">
        <v>2781</v>
      </c>
      <c r="Q11" s="91" t="s">
        <v>2824</v>
      </c>
      <c r="R11" s="91" t="s">
        <v>2874</v>
      </c>
      <c r="S11" s="91" t="s">
        <v>2905</v>
      </c>
    </row>
    <row r="12" spans="1:20">
      <c r="A12" s="91" t="s">
        <v>251</v>
      </c>
      <c r="B12" s="92" t="s">
        <v>2551</v>
      </c>
      <c r="C12" s="98">
        <v>29640</v>
      </c>
      <c r="D12" s="98">
        <v>27550</v>
      </c>
      <c r="E12" s="98">
        <v>28010</v>
      </c>
      <c r="F12" s="98">
        <v>8730</v>
      </c>
      <c r="G12" s="98">
        <v>20050</v>
      </c>
      <c r="H12" s="90"/>
      <c r="J12" s="92" t="s">
        <v>2559</v>
      </c>
      <c r="K12" s="92" t="s">
        <v>2579</v>
      </c>
      <c r="L12" s="91" t="s">
        <v>2604</v>
      </c>
      <c r="M12" s="91" t="s">
        <v>2636</v>
      </c>
      <c r="N12" s="91" t="s">
        <v>2676</v>
      </c>
      <c r="O12" s="91" t="s">
        <v>2739</v>
      </c>
      <c r="P12" s="91" t="s">
        <v>2782</v>
      </c>
      <c r="Q12" s="91" t="s">
        <v>2825</v>
      </c>
      <c r="R12" s="91" t="s">
        <v>2875</v>
      </c>
      <c r="S12" s="91" t="s">
        <v>2906</v>
      </c>
    </row>
    <row r="13" spans="1:20">
      <c r="A13" s="91" t="s">
        <v>251</v>
      </c>
      <c r="B13" s="92" t="s">
        <v>2552</v>
      </c>
      <c r="C13" s="98">
        <v>29680</v>
      </c>
      <c r="D13" s="98">
        <v>27660</v>
      </c>
      <c r="E13" s="98">
        <v>28210</v>
      </c>
      <c r="F13" s="98">
        <v>9590</v>
      </c>
      <c r="G13" s="98">
        <v>20120</v>
      </c>
      <c r="H13" s="90"/>
      <c r="J13" s="92" t="s">
        <v>2560</v>
      </c>
      <c r="K13" s="92" t="s">
        <v>2580</v>
      </c>
      <c r="L13" s="91" t="s">
        <v>2605</v>
      </c>
      <c r="M13" s="91" t="s">
        <v>2637</v>
      </c>
      <c r="N13" s="91" t="s">
        <v>2677</v>
      </c>
      <c r="O13" s="91" t="s">
        <v>2740</v>
      </c>
      <c r="P13" s="91" t="s">
        <v>2783</v>
      </c>
      <c r="Q13" s="91" t="s">
        <v>2826</v>
      </c>
      <c r="R13" s="91" t="s">
        <v>2876</v>
      </c>
      <c r="S13" s="91" t="s">
        <v>2907</v>
      </c>
    </row>
    <row r="14" spans="1:20">
      <c r="A14" s="91" t="s">
        <v>251</v>
      </c>
      <c r="B14" s="92" t="s">
        <v>2553</v>
      </c>
      <c r="C14" s="98">
        <v>30520</v>
      </c>
      <c r="D14" s="98">
        <v>29510</v>
      </c>
      <c r="E14" s="98">
        <v>29400</v>
      </c>
      <c r="F14" s="98">
        <v>9630</v>
      </c>
      <c r="G14" s="98">
        <v>21480</v>
      </c>
      <c r="H14" s="90"/>
      <c r="J14" s="92" t="s">
        <v>2561</v>
      </c>
      <c r="K14" s="92" t="s">
        <v>2581</v>
      </c>
      <c r="L14" s="91" t="s">
        <v>2606</v>
      </c>
      <c r="M14" s="91" t="s">
        <v>2638</v>
      </c>
      <c r="N14" s="91" t="s">
        <v>2678</v>
      </c>
      <c r="O14" s="91" t="s">
        <v>2741</v>
      </c>
      <c r="P14" s="91" t="s">
        <v>2784</v>
      </c>
      <c r="Q14" s="91" t="s">
        <v>2827</v>
      </c>
      <c r="R14" s="91" t="s">
        <v>2877</v>
      </c>
      <c r="S14" s="91" t="s">
        <v>2908</v>
      </c>
    </row>
    <row r="15" spans="1:20">
      <c r="A15" s="91" t="s">
        <v>251</v>
      </c>
      <c r="B15" s="92" t="s">
        <v>2554</v>
      </c>
      <c r="C15" s="98">
        <v>29090</v>
      </c>
      <c r="D15" s="98">
        <v>27590</v>
      </c>
      <c r="E15" s="98">
        <v>28120</v>
      </c>
      <c r="F15" s="98">
        <v>9110</v>
      </c>
      <c r="G15" s="98">
        <v>20070</v>
      </c>
      <c r="H15" s="90"/>
      <c r="J15" s="92" t="s">
        <v>2562</v>
      </c>
      <c r="K15" s="92" t="s">
        <v>2582</v>
      </c>
      <c r="L15" s="91" t="s">
        <v>2607</v>
      </c>
      <c r="M15" s="91" t="s">
        <v>2639</v>
      </c>
      <c r="N15" s="91" t="s">
        <v>2679</v>
      </c>
      <c r="O15" s="91" t="s">
        <v>2742</v>
      </c>
      <c r="P15" s="91" t="s">
        <v>2785</v>
      </c>
      <c r="Q15" s="91" t="s">
        <v>2828</v>
      </c>
      <c r="R15" s="91" t="s">
        <v>2878</v>
      </c>
      <c r="S15" s="91" t="s">
        <v>2909</v>
      </c>
    </row>
    <row r="16" spans="1:20">
      <c r="A16" s="91" t="s">
        <v>251</v>
      </c>
      <c r="B16" s="92" t="s">
        <v>2555</v>
      </c>
      <c r="C16" s="98">
        <v>26790</v>
      </c>
      <c r="D16" s="98">
        <v>30370</v>
      </c>
      <c r="E16" s="98">
        <v>30240</v>
      </c>
      <c r="F16" s="98">
        <v>11590</v>
      </c>
      <c r="G16" s="98">
        <v>22090</v>
      </c>
      <c r="H16" s="90"/>
      <c r="J16" s="92" t="s">
        <v>2563</v>
      </c>
      <c r="K16" s="92" t="s">
        <v>2583</v>
      </c>
      <c r="L16" s="91" t="s">
        <v>2608</v>
      </c>
      <c r="M16" s="91" t="s">
        <v>2640</v>
      </c>
      <c r="N16" s="91" t="s">
        <v>2680</v>
      </c>
      <c r="O16" s="91" t="s">
        <v>2743</v>
      </c>
      <c r="P16" s="91" t="s">
        <v>2786</v>
      </c>
      <c r="Q16" s="91" t="s">
        <v>2829</v>
      </c>
      <c r="R16" s="91" t="s">
        <v>2879</v>
      </c>
      <c r="S16" s="91" t="s">
        <v>2910</v>
      </c>
    </row>
    <row r="17" ht="14.25" customHeight="1" spans="1:19">
      <c r="A17" s="91" t="s">
        <v>251</v>
      </c>
      <c r="B17" s="92" t="s">
        <v>2556</v>
      </c>
      <c r="C17" s="98">
        <v>29180</v>
      </c>
      <c r="D17" s="98">
        <v>27620</v>
      </c>
      <c r="E17" s="98">
        <v>28180</v>
      </c>
      <c r="F17" s="98">
        <v>10790</v>
      </c>
      <c r="G17" s="98">
        <v>20090</v>
      </c>
      <c r="H17" s="90"/>
      <c r="J17" s="92" t="s">
        <v>2564</v>
      </c>
      <c r="K17" s="92" t="s">
        <v>2584</v>
      </c>
      <c r="L17" s="91" t="s">
        <v>2609</v>
      </c>
      <c r="M17" s="91" t="s">
        <v>2641</v>
      </c>
      <c r="N17" s="91" t="s">
        <v>2681</v>
      </c>
      <c r="O17" s="91" t="s">
        <v>2744</v>
      </c>
      <c r="P17" s="91" t="s">
        <v>2787</v>
      </c>
      <c r="Q17" s="91" t="s">
        <v>2830</v>
      </c>
      <c r="R17" s="91" t="s">
        <v>2880</v>
      </c>
      <c r="S17" s="91" t="s">
        <v>2911</v>
      </c>
    </row>
    <row r="18" ht="14.25" customHeight="1" spans="1:19">
      <c r="A18" s="91" t="s">
        <v>251</v>
      </c>
      <c r="B18" s="92" t="s">
        <v>2557</v>
      </c>
      <c r="C18" s="98">
        <v>26840</v>
      </c>
      <c r="D18" s="98">
        <v>28930</v>
      </c>
      <c r="E18" s="98">
        <v>28820</v>
      </c>
      <c r="F18" s="98"/>
      <c r="G18" s="98">
        <v>21050</v>
      </c>
      <c r="H18" s="90"/>
      <c r="J18" s="92" t="s">
        <v>2565</v>
      </c>
      <c r="K18" s="92" t="s">
        <v>2585</v>
      </c>
      <c r="L18" s="91" t="s">
        <v>2610</v>
      </c>
      <c r="M18" s="91" t="s">
        <v>2642</v>
      </c>
      <c r="N18" s="91" t="s">
        <v>2682</v>
      </c>
      <c r="O18" s="91" t="s">
        <v>2745</v>
      </c>
      <c r="P18" s="91" t="s">
        <v>2788</v>
      </c>
      <c r="Q18" s="91" t="s">
        <v>2831</v>
      </c>
      <c r="R18" s="91" t="s">
        <v>2881</v>
      </c>
      <c r="S18" s="91" t="s">
        <v>2912</v>
      </c>
    </row>
    <row r="19" ht="14.25" customHeight="1" spans="1:19">
      <c r="A19" s="91" t="s">
        <v>251</v>
      </c>
      <c r="B19" s="92" t="s">
        <v>2558</v>
      </c>
      <c r="C19" s="98">
        <v>27750</v>
      </c>
      <c r="D19" s="98">
        <v>26680</v>
      </c>
      <c r="E19" s="98">
        <v>26590</v>
      </c>
      <c r="F19" s="98"/>
      <c r="G19" s="98">
        <v>19420</v>
      </c>
      <c r="H19" s="90"/>
      <c r="J19" s="92" t="s">
        <v>2566</v>
      </c>
      <c r="K19" s="92" t="s">
        <v>2586</v>
      </c>
      <c r="L19" s="91" t="s">
        <v>2611</v>
      </c>
      <c r="M19" s="91" t="s">
        <v>2643</v>
      </c>
      <c r="N19" s="91" t="s">
        <v>2683</v>
      </c>
      <c r="O19" s="91" t="s">
        <v>2746</v>
      </c>
      <c r="P19" s="91" t="s">
        <v>2789</v>
      </c>
      <c r="Q19" s="91" t="s">
        <v>2832</v>
      </c>
      <c r="R19" s="91" t="s">
        <v>2882</v>
      </c>
      <c r="S19" s="91" t="s">
        <v>2913</v>
      </c>
    </row>
    <row r="20" ht="14.25" customHeight="1" spans="1:19">
      <c r="A20" s="91" t="s">
        <v>251</v>
      </c>
      <c r="B20" s="92" t="s">
        <v>2559</v>
      </c>
      <c r="C20" s="98">
        <v>27050</v>
      </c>
      <c r="D20" s="98">
        <v>29010</v>
      </c>
      <c r="E20" s="98">
        <v>28910</v>
      </c>
      <c r="F20" s="98"/>
      <c r="G20" s="98">
        <v>21110</v>
      </c>
      <c r="J20" s="92" t="s">
        <v>2567</v>
      </c>
      <c r="K20" s="92" t="s">
        <v>2587</v>
      </c>
      <c r="L20" s="91" t="s">
        <v>2612</v>
      </c>
      <c r="M20" s="91" t="s">
        <v>2644</v>
      </c>
      <c r="N20" s="91" t="s">
        <v>2684</v>
      </c>
      <c r="O20" s="91" t="s">
        <v>2747</v>
      </c>
      <c r="P20" s="91" t="s">
        <v>2790</v>
      </c>
      <c r="Q20" s="91" t="s">
        <v>2833</v>
      </c>
      <c r="R20" s="91" t="s">
        <v>2883</v>
      </c>
      <c r="S20" s="91" t="s">
        <v>2914</v>
      </c>
    </row>
    <row r="21" ht="14.25" customHeight="1" spans="1:19">
      <c r="A21" s="91" t="s">
        <v>251</v>
      </c>
      <c r="B21" s="92" t="s">
        <v>2560</v>
      </c>
      <c r="C21" s="98">
        <v>32370</v>
      </c>
      <c r="D21" s="98">
        <v>26730</v>
      </c>
      <c r="E21" s="98">
        <v>26640</v>
      </c>
      <c r="F21" s="98"/>
      <c r="G21" s="98">
        <v>19440</v>
      </c>
      <c r="J21" s="100" t="s">
        <v>2568</v>
      </c>
      <c r="K21" s="92" t="s">
        <v>2588</v>
      </c>
      <c r="L21" s="91" t="s">
        <v>2613</v>
      </c>
      <c r="M21" s="91" t="s">
        <v>2645</v>
      </c>
      <c r="N21" s="91" t="s">
        <v>2685</v>
      </c>
      <c r="O21" s="91" t="s">
        <v>568</v>
      </c>
      <c r="P21" s="91" t="s">
        <v>2791</v>
      </c>
      <c r="Q21" s="91" t="s">
        <v>2834</v>
      </c>
      <c r="R21" s="91" t="s">
        <v>2884</v>
      </c>
      <c r="S21" s="100" t="s">
        <v>2915</v>
      </c>
    </row>
    <row r="22" ht="14.25" customHeight="1" spans="1:19">
      <c r="A22" s="91" t="s">
        <v>251</v>
      </c>
      <c r="B22" s="92" t="s">
        <v>2561</v>
      </c>
      <c r="C22" s="98">
        <v>29830</v>
      </c>
      <c r="D22" s="98">
        <v>27600</v>
      </c>
      <c r="E22" s="98">
        <v>28150</v>
      </c>
      <c r="F22" s="98"/>
      <c r="G22" s="98">
        <v>20080</v>
      </c>
      <c r="K22" s="92" t="s">
        <v>2589</v>
      </c>
      <c r="L22" s="91" t="s">
        <v>2614</v>
      </c>
      <c r="M22" s="91" t="s">
        <v>2646</v>
      </c>
      <c r="N22" s="91" t="s">
        <v>2686</v>
      </c>
      <c r="O22" s="91" t="s">
        <v>2748</v>
      </c>
      <c r="P22" s="91" t="s">
        <v>2792</v>
      </c>
      <c r="Q22" s="91" t="s">
        <v>2835</v>
      </c>
      <c r="R22" s="91" t="s">
        <v>2885</v>
      </c>
    </row>
    <row r="23" ht="14.25" customHeight="1" spans="1:19">
      <c r="A23" s="91" t="s">
        <v>251</v>
      </c>
      <c r="B23" s="92" t="s">
        <v>2562</v>
      </c>
      <c r="C23" s="98">
        <v>27800</v>
      </c>
      <c r="D23" s="98">
        <v>26900</v>
      </c>
      <c r="E23" s="98">
        <v>27170</v>
      </c>
      <c r="F23" s="98"/>
      <c r="G23" s="98">
        <v>19570</v>
      </c>
      <c r="K23" s="92" t="s">
        <v>2590</v>
      </c>
      <c r="L23" s="91" t="s">
        <v>2615</v>
      </c>
      <c r="M23" s="91" t="s">
        <v>2647</v>
      </c>
      <c r="N23" s="91" t="s">
        <v>2687</v>
      </c>
      <c r="O23" s="91" t="s">
        <v>2749</v>
      </c>
      <c r="P23" s="91" t="s">
        <v>2793</v>
      </c>
      <c r="Q23" s="91" t="s">
        <v>2836</v>
      </c>
      <c r="R23" s="91" t="s">
        <v>2886</v>
      </c>
    </row>
    <row r="24" ht="14.25" customHeight="1" spans="1:19">
      <c r="A24" s="91" t="s">
        <v>251</v>
      </c>
      <c r="B24" s="92" t="s">
        <v>2563</v>
      </c>
      <c r="C24" s="98">
        <v>27930</v>
      </c>
      <c r="D24" s="98">
        <v>32260</v>
      </c>
      <c r="E24" s="98">
        <v>32120</v>
      </c>
      <c r="F24" s="98"/>
      <c r="G24" s="98">
        <v>23470</v>
      </c>
      <c r="K24" s="92" t="s">
        <v>2591</v>
      </c>
      <c r="L24" s="91" t="s">
        <v>2616</v>
      </c>
      <c r="M24" s="91" t="s">
        <v>2648</v>
      </c>
      <c r="N24" s="91" t="s">
        <v>2688</v>
      </c>
      <c r="O24" s="91" t="s">
        <v>2750</v>
      </c>
      <c r="P24" s="91" t="s">
        <v>2794</v>
      </c>
      <c r="Q24" s="103" t="s">
        <v>2837</v>
      </c>
      <c r="R24" s="91" t="s">
        <v>2887</v>
      </c>
    </row>
    <row r="25" ht="14.25" customHeight="1" spans="1:19">
      <c r="A25" s="91" t="s">
        <v>251</v>
      </c>
      <c r="B25" s="92" t="s">
        <v>2564</v>
      </c>
      <c r="C25" s="98">
        <v>32230</v>
      </c>
      <c r="D25" s="98">
        <v>29640</v>
      </c>
      <c r="E25" s="98">
        <v>29510</v>
      </c>
      <c r="F25" s="98"/>
      <c r="G25" s="98">
        <v>21560</v>
      </c>
      <c r="K25" s="92" t="s">
        <v>2592</v>
      </c>
      <c r="L25" s="91" t="s">
        <v>2617</v>
      </c>
      <c r="M25" s="91" t="s">
        <v>2649</v>
      </c>
      <c r="N25" s="91" t="s">
        <v>2689</v>
      </c>
      <c r="O25" s="91" t="s">
        <v>2751</v>
      </c>
      <c r="P25" s="91" t="s">
        <v>2795</v>
      </c>
      <c r="Q25" s="103" t="s">
        <v>2838</v>
      </c>
      <c r="R25" s="91" t="s">
        <v>2888</v>
      </c>
    </row>
    <row r="26" ht="14.25" customHeight="1" spans="1:19">
      <c r="A26" s="91" t="s">
        <v>251</v>
      </c>
      <c r="B26" s="92" t="s">
        <v>2565</v>
      </c>
      <c r="C26" s="98">
        <v>31690</v>
      </c>
      <c r="D26" s="98">
        <v>27650</v>
      </c>
      <c r="E26" s="98">
        <v>28200</v>
      </c>
      <c r="F26" s="98"/>
      <c r="G26" s="98">
        <v>20110</v>
      </c>
      <c r="K26" s="99" t="s">
        <v>2593</v>
      </c>
      <c r="L26" s="91" t="s">
        <v>2618</v>
      </c>
      <c r="M26" s="91" t="s">
        <v>2650</v>
      </c>
      <c r="N26" s="91" t="s">
        <v>2690</v>
      </c>
      <c r="O26" s="91" t="s">
        <v>2752</v>
      </c>
      <c r="P26" s="91" t="s">
        <v>2796</v>
      </c>
      <c r="Q26" s="103" t="s">
        <v>2839</v>
      </c>
      <c r="R26" s="91" t="s">
        <v>2889</v>
      </c>
    </row>
    <row r="27" ht="14.25" customHeight="1" spans="1:19">
      <c r="A27" s="91" t="s">
        <v>251</v>
      </c>
      <c r="B27" s="92" t="s">
        <v>2566</v>
      </c>
      <c r="C27" s="98">
        <v>29610</v>
      </c>
      <c r="D27" s="98">
        <v>27770</v>
      </c>
      <c r="E27" s="98">
        <v>28300</v>
      </c>
      <c r="F27" s="98"/>
      <c r="G27" s="98">
        <v>20210</v>
      </c>
      <c r="L27" s="91" t="s">
        <v>2619</v>
      </c>
      <c r="M27" s="91" t="s">
        <v>2651</v>
      </c>
      <c r="N27" s="91" t="s">
        <v>2691</v>
      </c>
      <c r="O27" s="91" t="s">
        <v>2753</v>
      </c>
      <c r="P27" s="91" t="s">
        <v>2797</v>
      </c>
      <c r="Q27" s="91" t="s">
        <v>2840</v>
      </c>
      <c r="R27" s="91" t="s">
        <v>2890</v>
      </c>
    </row>
    <row r="28" ht="14.25" customHeight="1" spans="1:19">
      <c r="A28" s="91" t="s">
        <v>251</v>
      </c>
      <c r="B28" s="92" t="s">
        <v>2567</v>
      </c>
      <c r="C28" s="98"/>
      <c r="D28" s="98">
        <v>31520</v>
      </c>
      <c r="E28" s="98">
        <v>31410</v>
      </c>
      <c r="F28" s="98"/>
      <c r="G28" s="98">
        <v>22940</v>
      </c>
      <c r="L28" s="91" t="s">
        <v>2620</v>
      </c>
      <c r="M28" s="91" t="s">
        <v>2652</v>
      </c>
      <c r="N28" s="91" t="s">
        <v>2692</v>
      </c>
      <c r="O28" s="91" t="s">
        <v>2754</v>
      </c>
      <c r="P28" s="91" t="s">
        <v>2798</v>
      </c>
      <c r="Q28" s="91" t="s">
        <v>2841</v>
      </c>
      <c r="R28" s="91" t="s">
        <v>2891</v>
      </c>
    </row>
    <row r="29" ht="14.25" customHeight="1" spans="1:19">
      <c r="A29" s="101" t="s">
        <v>251</v>
      </c>
      <c r="B29" s="104" t="s">
        <v>2568</v>
      </c>
      <c r="C29" s="105"/>
      <c r="D29" s="105">
        <v>29460</v>
      </c>
      <c r="E29" s="105">
        <v>28640</v>
      </c>
      <c r="F29" s="105"/>
      <c r="G29" s="105">
        <v>21430</v>
      </c>
      <c r="L29" s="91" t="s">
        <v>2621</v>
      </c>
      <c r="M29" s="91" t="s">
        <v>2653</v>
      </c>
      <c r="N29" s="91" t="s">
        <v>2693</v>
      </c>
      <c r="O29" s="91" t="s">
        <v>2755</v>
      </c>
      <c r="P29" s="91" t="s">
        <v>2799</v>
      </c>
      <c r="Q29" s="91" t="s">
        <v>2842</v>
      </c>
      <c r="R29" s="91" t="s">
        <v>2892</v>
      </c>
    </row>
    <row r="30" ht="14.25" customHeight="1" spans="1:19">
      <c r="A30" s="96" t="s">
        <v>264</v>
      </c>
      <c r="B30" s="86" t="s">
        <v>2569</v>
      </c>
      <c r="C30" s="97">
        <v>26890</v>
      </c>
      <c r="D30" s="97">
        <v>26770</v>
      </c>
      <c r="E30" s="97">
        <v>25700</v>
      </c>
      <c r="F30" s="97">
        <v>8180</v>
      </c>
      <c r="G30" s="106">
        <v>18740</v>
      </c>
      <c r="L30" s="91" t="s">
        <v>2622</v>
      </c>
      <c r="M30" s="91" t="s">
        <v>2654</v>
      </c>
      <c r="N30" s="91" t="s">
        <v>2694</v>
      </c>
      <c r="O30" s="91" t="s">
        <v>2756</v>
      </c>
      <c r="P30" s="91" t="s">
        <v>2800</v>
      </c>
      <c r="Q30" s="91" t="s">
        <v>2843</v>
      </c>
      <c r="R30" s="91" t="s">
        <v>2893</v>
      </c>
    </row>
    <row r="31" ht="14.25" customHeight="1" spans="1:19">
      <c r="A31" s="91" t="s">
        <v>264</v>
      </c>
      <c r="B31" s="92" t="s">
        <v>2570</v>
      </c>
      <c r="C31" s="98">
        <v>24550</v>
      </c>
      <c r="D31" s="98">
        <v>23990</v>
      </c>
      <c r="E31" s="98">
        <v>22930</v>
      </c>
      <c r="F31" s="98">
        <v>7470</v>
      </c>
      <c r="G31" s="107">
        <v>16790</v>
      </c>
      <c r="L31" s="91" t="s">
        <v>2623</v>
      </c>
      <c r="M31" s="91" t="s">
        <v>2655</v>
      </c>
      <c r="N31" s="91" t="s">
        <v>2695</v>
      </c>
      <c r="O31" s="91" t="s">
        <v>2757</v>
      </c>
      <c r="P31" s="91" t="s">
        <v>2801</v>
      </c>
      <c r="Q31" s="91" t="s">
        <v>2844</v>
      </c>
      <c r="R31" s="91" t="s">
        <v>2894</v>
      </c>
    </row>
    <row r="32" ht="14.25" customHeight="1" spans="1:19">
      <c r="A32" s="91" t="s">
        <v>264</v>
      </c>
      <c r="B32" s="92" t="s">
        <v>2571</v>
      </c>
      <c r="C32" s="98">
        <v>27210</v>
      </c>
      <c r="D32" s="98">
        <v>23240</v>
      </c>
      <c r="E32" s="98">
        <v>23260</v>
      </c>
      <c r="F32" s="98">
        <v>7130</v>
      </c>
      <c r="G32" s="107">
        <v>16270</v>
      </c>
      <c r="L32" s="91" t="s">
        <v>2624</v>
      </c>
      <c r="M32" s="91" t="s">
        <v>2656</v>
      </c>
      <c r="N32" s="91" t="s">
        <v>2696</v>
      </c>
      <c r="O32" s="91" t="s">
        <v>2758</v>
      </c>
      <c r="P32" s="91" t="s">
        <v>2802</v>
      </c>
      <c r="Q32" s="91" t="s">
        <v>2845</v>
      </c>
      <c r="R32" s="100" t="s">
        <v>2895</v>
      </c>
    </row>
    <row r="33" ht="14.25" customHeight="1" spans="1:17">
      <c r="A33" s="91" t="s">
        <v>264</v>
      </c>
      <c r="B33" s="92" t="s">
        <v>2572</v>
      </c>
      <c r="C33" s="98">
        <v>27300</v>
      </c>
      <c r="D33" s="98">
        <v>22980</v>
      </c>
      <c r="E33" s="98">
        <v>24260</v>
      </c>
      <c r="F33" s="98">
        <v>5860</v>
      </c>
      <c r="G33" s="107">
        <v>16090</v>
      </c>
      <c r="L33" s="100" t="s">
        <v>2625</v>
      </c>
      <c r="M33" s="91" t="s">
        <v>2657</v>
      </c>
      <c r="N33" s="91" t="s">
        <v>2697</v>
      </c>
      <c r="O33" s="91" t="s">
        <v>2759</v>
      </c>
      <c r="P33" s="91" t="s">
        <v>2803</v>
      </c>
      <c r="Q33" s="91" t="s">
        <v>2846</v>
      </c>
    </row>
    <row r="34" ht="14.25" customHeight="1" spans="1:17">
      <c r="A34" s="91" t="s">
        <v>264</v>
      </c>
      <c r="B34" s="92" t="s">
        <v>2573</v>
      </c>
      <c r="C34" s="98">
        <v>23090</v>
      </c>
      <c r="D34" s="98">
        <v>23390</v>
      </c>
      <c r="E34" s="98">
        <v>23510</v>
      </c>
      <c r="F34" s="98">
        <v>6700</v>
      </c>
      <c r="G34" s="107">
        <v>16370</v>
      </c>
      <c r="M34" s="91" t="s">
        <v>2658</v>
      </c>
      <c r="N34" s="91" t="s">
        <v>2698</v>
      </c>
      <c r="O34" s="91" t="s">
        <v>2760</v>
      </c>
      <c r="P34" s="91" t="s">
        <v>2804</v>
      </c>
      <c r="Q34" s="91" t="s">
        <v>2847</v>
      </c>
    </row>
    <row r="35" ht="14.25" customHeight="1" spans="1:17">
      <c r="A35" s="91" t="s">
        <v>264</v>
      </c>
      <c r="B35" s="92" t="s">
        <v>2574</v>
      </c>
      <c r="C35" s="98">
        <v>27270</v>
      </c>
      <c r="D35" s="98">
        <v>24270</v>
      </c>
      <c r="E35" s="98">
        <v>24950</v>
      </c>
      <c r="F35" s="98">
        <v>6600</v>
      </c>
      <c r="G35" s="107">
        <v>16990</v>
      </c>
      <c r="M35" s="91" t="s">
        <v>2659</v>
      </c>
      <c r="N35" s="91" t="s">
        <v>2699</v>
      </c>
      <c r="O35" s="91" t="s">
        <v>2761</v>
      </c>
      <c r="P35" s="91" t="s">
        <v>2805</v>
      </c>
      <c r="Q35" s="91" t="s">
        <v>2848</v>
      </c>
    </row>
    <row r="36" ht="14.25" customHeight="1" spans="1:17">
      <c r="A36" s="91" t="s">
        <v>264</v>
      </c>
      <c r="B36" s="92" t="s">
        <v>2575</v>
      </c>
      <c r="C36" s="98">
        <v>23490</v>
      </c>
      <c r="D36" s="98">
        <v>23020</v>
      </c>
      <c r="E36" s="98">
        <v>25230</v>
      </c>
      <c r="F36" s="98">
        <v>6780</v>
      </c>
      <c r="G36" s="107">
        <v>16120</v>
      </c>
      <c r="M36" s="91" t="s">
        <v>2660</v>
      </c>
      <c r="N36" s="91" t="s">
        <v>2700</v>
      </c>
      <c r="O36" s="91" t="s">
        <v>2762</v>
      </c>
      <c r="P36" s="91" t="s">
        <v>2806</v>
      </c>
      <c r="Q36" s="91" t="s">
        <v>2849</v>
      </c>
    </row>
    <row r="37" ht="14.25" customHeight="1" spans="1:17">
      <c r="A37" s="91" t="s">
        <v>264</v>
      </c>
      <c r="B37" s="92" t="s">
        <v>2576</v>
      </c>
      <c r="C37" s="98">
        <v>24380</v>
      </c>
      <c r="D37" s="98">
        <v>22240</v>
      </c>
      <c r="E37" s="98">
        <v>25980</v>
      </c>
      <c r="F37" s="98">
        <v>8160</v>
      </c>
      <c r="G37" s="107">
        <v>15570</v>
      </c>
      <c r="M37" s="91" t="s">
        <v>2661</v>
      </c>
      <c r="N37" s="91" t="s">
        <v>2701</v>
      </c>
      <c r="O37" s="91" t="s">
        <v>2763</v>
      </c>
      <c r="P37" s="91" t="s">
        <v>2807</v>
      </c>
      <c r="Q37" s="91" t="s">
        <v>2850</v>
      </c>
    </row>
    <row r="38" ht="14.25" customHeight="1" spans="1:17">
      <c r="A38" s="91" t="s">
        <v>264</v>
      </c>
      <c r="B38" s="92" t="s">
        <v>2577</v>
      </c>
      <c r="C38" s="98">
        <v>23120</v>
      </c>
      <c r="D38" s="98">
        <v>24630</v>
      </c>
      <c r="E38" s="98">
        <v>25030</v>
      </c>
      <c r="F38" s="98">
        <v>7710</v>
      </c>
      <c r="G38" s="107">
        <v>17240</v>
      </c>
      <c r="M38" s="91" t="s">
        <v>2662</v>
      </c>
      <c r="N38" s="91" t="s">
        <v>2702</v>
      </c>
      <c r="O38" s="91" t="s">
        <v>2764</v>
      </c>
      <c r="P38" s="91" t="s">
        <v>2808</v>
      </c>
      <c r="Q38" s="91" t="s">
        <v>2851</v>
      </c>
    </row>
    <row r="39" ht="14.25" customHeight="1" spans="1:17">
      <c r="A39" s="91" t="s">
        <v>264</v>
      </c>
      <c r="B39" s="92" t="s">
        <v>2578</v>
      </c>
      <c r="C39" s="98">
        <v>22330</v>
      </c>
      <c r="D39" s="98">
        <v>21140</v>
      </c>
      <c r="E39" s="98">
        <v>23970</v>
      </c>
      <c r="F39" s="98">
        <v>7940</v>
      </c>
      <c r="G39" s="107">
        <v>14790</v>
      </c>
      <c r="M39" s="91" t="s">
        <v>2663</v>
      </c>
      <c r="N39" s="91" t="s">
        <v>2703</v>
      </c>
      <c r="O39" s="91" t="s">
        <v>3057</v>
      </c>
      <c r="P39" s="91" t="s">
        <v>2809</v>
      </c>
      <c r="Q39" s="91" t="s">
        <v>2852</v>
      </c>
    </row>
    <row r="40" ht="14.25" customHeight="1" spans="1:17">
      <c r="A40" s="91" t="s">
        <v>264</v>
      </c>
      <c r="B40" s="92" t="s">
        <v>2579</v>
      </c>
      <c r="C40" s="98">
        <v>24740</v>
      </c>
      <c r="D40" s="98">
        <v>24690</v>
      </c>
      <c r="E40" s="98">
        <v>22610</v>
      </c>
      <c r="F40" s="98"/>
      <c r="G40" s="107">
        <v>17280</v>
      </c>
      <c r="M40" s="91" t="s">
        <v>2664</v>
      </c>
      <c r="N40" s="91" t="s">
        <v>2704</v>
      </c>
      <c r="O40" s="91" t="s">
        <v>3058</v>
      </c>
      <c r="P40" s="91" t="s">
        <v>2810</v>
      </c>
      <c r="Q40" s="91" t="s">
        <v>2853</v>
      </c>
    </row>
    <row r="41" ht="14.25" customHeight="1" spans="1:17">
      <c r="A41" s="91" t="s">
        <v>264</v>
      </c>
      <c r="B41" s="92" t="s">
        <v>2580</v>
      </c>
      <c r="C41" s="98">
        <v>21220</v>
      </c>
      <c r="D41" s="98">
        <v>21120</v>
      </c>
      <c r="E41" s="98">
        <v>22590</v>
      </c>
      <c r="F41" s="98"/>
      <c r="G41" s="107">
        <v>14780</v>
      </c>
      <c r="M41" s="100" t="s">
        <v>2665</v>
      </c>
      <c r="N41" s="91" t="s">
        <v>2705</v>
      </c>
      <c r="O41" s="91" t="s">
        <v>3059</v>
      </c>
      <c r="P41" s="91" t="s">
        <v>2811</v>
      </c>
      <c r="Q41" s="91" t="s">
        <v>2854</v>
      </c>
    </row>
    <row r="42" ht="14.25" customHeight="1" spans="1:17">
      <c r="A42" s="91" t="s">
        <v>264</v>
      </c>
      <c r="B42" s="92" t="s">
        <v>2581</v>
      </c>
      <c r="C42" s="98">
        <v>24800</v>
      </c>
      <c r="D42" s="98">
        <v>22280</v>
      </c>
      <c r="E42" s="98">
        <v>24350</v>
      </c>
      <c r="F42" s="98"/>
      <c r="G42" s="107">
        <v>15590</v>
      </c>
      <c r="N42" s="91" t="s">
        <v>2706</v>
      </c>
      <c r="O42" s="91" t="s">
        <v>2768</v>
      </c>
      <c r="P42" s="91" t="s">
        <v>2812</v>
      </c>
      <c r="Q42" s="91" t="s">
        <v>2855</v>
      </c>
    </row>
    <row r="43" ht="14.25" customHeight="1" spans="1:17">
      <c r="A43" s="91" t="s">
        <v>264</v>
      </c>
      <c r="B43" s="92" t="s">
        <v>2582</v>
      </c>
      <c r="C43" s="98">
        <v>21210</v>
      </c>
      <c r="D43" s="98">
        <v>21160</v>
      </c>
      <c r="E43" s="98">
        <v>22650</v>
      </c>
      <c r="F43" s="98"/>
      <c r="G43" s="107">
        <v>14800</v>
      </c>
      <c r="N43" s="91" t="s">
        <v>2707</v>
      </c>
      <c r="O43" s="91" t="s">
        <v>2769</v>
      </c>
      <c r="P43" s="91" t="s">
        <v>2813</v>
      </c>
      <c r="Q43" s="91" t="s">
        <v>2856</v>
      </c>
    </row>
    <row r="44" ht="14.25" customHeight="1" spans="1:17">
      <c r="A44" s="91" t="s">
        <v>264</v>
      </c>
      <c r="B44" s="92" t="s">
        <v>2583</v>
      </c>
      <c r="C44" s="98">
        <v>22370</v>
      </c>
      <c r="D44" s="98">
        <v>23140</v>
      </c>
      <c r="E44" s="98">
        <v>25090</v>
      </c>
      <c r="F44" s="98"/>
      <c r="G44" s="107">
        <v>16190</v>
      </c>
      <c r="N44" s="91" t="s">
        <v>2708</v>
      </c>
      <c r="O44" s="91" t="s">
        <v>3060</v>
      </c>
      <c r="P44" s="100" t="s">
        <v>2814</v>
      </c>
      <c r="Q44" s="91" t="s">
        <v>2857</v>
      </c>
    </row>
    <row r="45" ht="14.25" customHeight="1" spans="1:17">
      <c r="A45" s="91" t="s">
        <v>264</v>
      </c>
      <c r="B45" s="92" t="s">
        <v>2584</v>
      </c>
      <c r="C45" s="98">
        <v>21240</v>
      </c>
      <c r="D45" s="98">
        <v>27050</v>
      </c>
      <c r="E45" s="98">
        <v>28000</v>
      </c>
      <c r="F45" s="98"/>
      <c r="G45" s="107">
        <v>18940</v>
      </c>
      <c r="N45" s="91" t="s">
        <v>2709</v>
      </c>
      <c r="O45" s="100" t="s">
        <v>2771</v>
      </c>
      <c r="Q45" s="91" t="s">
        <v>2858</v>
      </c>
    </row>
    <row r="46" ht="14.25" customHeight="1" spans="1:17">
      <c r="A46" s="91" t="s">
        <v>264</v>
      </c>
      <c r="B46" s="92" t="s">
        <v>2585</v>
      </c>
      <c r="C46" s="98">
        <v>23240</v>
      </c>
      <c r="D46" s="98">
        <v>23000</v>
      </c>
      <c r="E46" s="98">
        <v>24980</v>
      </c>
      <c r="F46" s="98"/>
      <c r="G46" s="107">
        <v>16100</v>
      </c>
      <c r="N46" s="91" t="s">
        <v>2710</v>
      </c>
      <c r="Q46" s="91" t="s">
        <v>2859</v>
      </c>
    </row>
    <row r="47" ht="14.25" customHeight="1" spans="1:17">
      <c r="A47" s="91" t="s">
        <v>264</v>
      </c>
      <c r="B47" s="92" t="s">
        <v>2586</v>
      </c>
      <c r="C47" s="98">
        <v>27150</v>
      </c>
      <c r="D47" s="98">
        <v>23310</v>
      </c>
      <c r="E47" s="98">
        <v>25150</v>
      </c>
      <c r="F47" s="98"/>
      <c r="G47" s="107">
        <v>16310</v>
      </c>
      <c r="N47" s="91" t="s">
        <v>2711</v>
      </c>
      <c r="Q47" s="91" t="s">
        <v>2860</v>
      </c>
    </row>
    <row r="48" ht="14.25" customHeight="1" spans="1:17">
      <c r="A48" s="91" t="s">
        <v>264</v>
      </c>
      <c r="B48" s="92" t="s">
        <v>2587</v>
      </c>
      <c r="C48" s="98">
        <v>23100</v>
      </c>
      <c r="D48" s="98">
        <v>21110</v>
      </c>
      <c r="E48" s="98">
        <v>23080</v>
      </c>
      <c r="F48" s="98"/>
      <c r="G48" s="107">
        <v>14780</v>
      </c>
      <c r="N48" s="91" t="s">
        <v>2712</v>
      </c>
      <c r="Q48" s="91" t="s">
        <v>2861</v>
      </c>
    </row>
    <row r="49" ht="14.25" customHeight="1" spans="1:17">
      <c r="A49" s="91" t="s">
        <v>264</v>
      </c>
      <c r="B49" s="92" t="s">
        <v>2588</v>
      </c>
      <c r="C49" s="98">
        <v>23400</v>
      </c>
      <c r="D49" s="98">
        <v>22920</v>
      </c>
      <c r="E49" s="98">
        <v>24900</v>
      </c>
      <c r="F49" s="98"/>
      <c r="G49" s="107">
        <v>16040</v>
      </c>
      <c r="N49" s="91" t="s">
        <v>2713</v>
      </c>
      <c r="Q49" s="91" t="s">
        <v>2862</v>
      </c>
    </row>
    <row r="50" ht="14.25" customHeight="1" spans="1:17">
      <c r="A50" s="91" t="s">
        <v>264</v>
      </c>
      <c r="B50" s="92" t="s">
        <v>2589</v>
      </c>
      <c r="C50" s="98">
        <v>21200</v>
      </c>
      <c r="D50" s="98">
        <v>26540</v>
      </c>
      <c r="E50" s="98">
        <v>23200</v>
      </c>
      <c r="F50" s="98"/>
      <c r="G50" s="107">
        <v>18580</v>
      </c>
      <c r="N50" s="91" t="s">
        <v>2714</v>
      </c>
      <c r="Q50" s="92" t="s">
        <v>2863</v>
      </c>
    </row>
    <row r="51" ht="14.25" customHeight="1" spans="1:17">
      <c r="A51" s="91" t="s">
        <v>264</v>
      </c>
      <c r="B51" s="92" t="s">
        <v>2590</v>
      </c>
      <c r="C51" s="98">
        <v>23000</v>
      </c>
      <c r="D51" s="98">
        <v>23460</v>
      </c>
      <c r="E51" s="98">
        <v>25290</v>
      </c>
      <c r="F51" s="98"/>
      <c r="G51" s="107">
        <v>16420</v>
      </c>
      <c r="N51" s="91" t="s">
        <v>2715</v>
      </c>
      <c r="Q51" s="100" t="s">
        <v>2864</v>
      </c>
    </row>
    <row r="52" ht="14.25" customHeight="1" spans="1:17">
      <c r="A52" s="91" t="s">
        <v>264</v>
      </c>
      <c r="B52" s="92" t="s">
        <v>2591</v>
      </c>
      <c r="C52" s="98">
        <v>26660</v>
      </c>
      <c r="D52" s="98">
        <v>22350</v>
      </c>
      <c r="E52" s="98">
        <v>22920</v>
      </c>
      <c r="F52" s="98"/>
      <c r="G52" s="107">
        <v>15640</v>
      </c>
      <c r="N52" s="91" t="s">
        <v>2716</v>
      </c>
    </row>
    <row r="53" ht="14.25" customHeight="1" spans="1:17">
      <c r="A53" s="91" t="s">
        <v>264</v>
      </c>
      <c r="B53" s="92" t="s">
        <v>2592</v>
      </c>
      <c r="C53" s="98">
        <v>23580</v>
      </c>
      <c r="D53" s="98"/>
      <c r="E53" s="98">
        <v>24280</v>
      </c>
      <c r="F53" s="98"/>
      <c r="G53" s="107"/>
      <c r="N53" s="91" t="s">
        <v>2717</v>
      </c>
    </row>
    <row r="54" ht="14.25" customHeight="1" spans="1:17">
      <c r="A54" s="108" t="s">
        <v>264</v>
      </c>
      <c r="B54" s="99" t="s">
        <v>2593</v>
      </c>
      <c r="C54" s="102">
        <v>22460</v>
      </c>
      <c r="D54" s="102"/>
      <c r="E54" s="102"/>
      <c r="F54" s="102"/>
      <c r="G54" s="109"/>
      <c r="N54" s="91" t="s">
        <v>2718</v>
      </c>
    </row>
    <row r="55" ht="14.25" customHeight="1" spans="1:17">
      <c r="A55" s="96" t="s">
        <v>275</v>
      </c>
      <c r="B55" s="86" t="s">
        <v>2594</v>
      </c>
      <c r="C55" s="98">
        <v>21970</v>
      </c>
      <c r="D55" s="98">
        <v>20370</v>
      </c>
      <c r="E55" s="98">
        <v>20180</v>
      </c>
      <c r="F55" s="98">
        <v>5730</v>
      </c>
      <c r="G55" s="98">
        <v>13820</v>
      </c>
      <c r="N55" s="91" t="s">
        <v>2719</v>
      </c>
    </row>
    <row r="56" ht="14.25" customHeight="1" spans="1:17">
      <c r="A56" s="91" t="s">
        <v>275</v>
      </c>
      <c r="B56" s="91" t="s">
        <v>2595</v>
      </c>
      <c r="C56" s="98">
        <v>20470</v>
      </c>
      <c r="D56" s="98">
        <v>20700</v>
      </c>
      <c r="E56" s="98">
        <v>20380</v>
      </c>
      <c r="F56" s="98">
        <v>4760</v>
      </c>
      <c r="G56" s="98">
        <v>14050</v>
      </c>
      <c r="N56" s="91" t="s">
        <v>2720</v>
      </c>
    </row>
    <row r="57" ht="14.25" customHeight="1" spans="1:17">
      <c r="A57" s="91" t="s">
        <v>275</v>
      </c>
      <c r="B57" s="91" t="s">
        <v>2596</v>
      </c>
      <c r="C57" s="98">
        <v>20790</v>
      </c>
      <c r="D57" s="98">
        <v>21370</v>
      </c>
      <c r="E57" s="98">
        <v>20890</v>
      </c>
      <c r="F57" s="98">
        <v>4910</v>
      </c>
      <c r="G57" s="98">
        <v>14510</v>
      </c>
      <c r="N57" s="91" t="s">
        <v>2721</v>
      </c>
    </row>
    <row r="58" ht="14.25" customHeight="1" spans="1:17">
      <c r="A58" s="91" t="s">
        <v>275</v>
      </c>
      <c r="B58" s="91" t="s">
        <v>2597</v>
      </c>
      <c r="C58" s="98">
        <v>21460</v>
      </c>
      <c r="D58" s="98">
        <v>20920</v>
      </c>
      <c r="E58" s="98">
        <v>23410</v>
      </c>
      <c r="F58" s="98">
        <v>5100</v>
      </c>
      <c r="G58" s="98">
        <v>14200</v>
      </c>
      <c r="N58" s="91" t="s">
        <v>2722</v>
      </c>
    </row>
    <row r="59" ht="14.25" customHeight="1" spans="1:17">
      <c r="A59" s="91" t="s">
        <v>275</v>
      </c>
      <c r="B59" s="91" t="s">
        <v>2598</v>
      </c>
      <c r="C59" s="98">
        <v>21000</v>
      </c>
      <c r="D59" s="98">
        <v>21550</v>
      </c>
      <c r="E59" s="98">
        <v>21150</v>
      </c>
      <c r="F59" s="98">
        <v>5250</v>
      </c>
      <c r="G59" s="98">
        <v>14630</v>
      </c>
      <c r="N59" s="91" t="s">
        <v>2723</v>
      </c>
    </row>
    <row r="60" ht="14.25" customHeight="1" spans="1:17">
      <c r="A60" s="91" t="s">
        <v>275</v>
      </c>
      <c r="B60" s="91" t="s">
        <v>2599</v>
      </c>
      <c r="C60" s="98">
        <v>21640</v>
      </c>
      <c r="D60" s="98">
        <v>21260</v>
      </c>
      <c r="E60" s="98">
        <v>24040</v>
      </c>
      <c r="F60" s="98">
        <v>4470</v>
      </c>
      <c r="G60" s="98">
        <v>14430</v>
      </c>
      <c r="N60" s="91" t="s">
        <v>2724</v>
      </c>
    </row>
    <row r="61" ht="14.25" customHeight="1" spans="1:17">
      <c r="A61" s="91" t="s">
        <v>275</v>
      </c>
      <c r="B61" s="91" t="s">
        <v>2600</v>
      </c>
      <c r="C61" s="98">
        <v>21330</v>
      </c>
      <c r="D61" s="98">
        <v>18640</v>
      </c>
      <c r="E61" s="98">
        <v>21190</v>
      </c>
      <c r="F61" s="98">
        <v>4180</v>
      </c>
      <c r="G61" s="98">
        <v>12650</v>
      </c>
      <c r="N61" s="91" t="s">
        <v>2725</v>
      </c>
    </row>
    <row r="62" ht="14.25" customHeight="1" spans="1:17">
      <c r="A62" s="91" t="s">
        <v>275</v>
      </c>
      <c r="B62" s="91" t="s">
        <v>2601</v>
      </c>
      <c r="C62" s="98">
        <v>18710</v>
      </c>
      <c r="D62" s="98">
        <v>19400</v>
      </c>
      <c r="E62" s="98">
        <v>23750</v>
      </c>
      <c r="F62" s="98">
        <v>4860</v>
      </c>
      <c r="G62" s="98">
        <v>13170</v>
      </c>
      <c r="N62" s="91" t="s">
        <v>2726</v>
      </c>
    </row>
    <row r="63" ht="14.25" customHeight="1" spans="1:17">
      <c r="A63" s="91" t="s">
        <v>275</v>
      </c>
      <c r="B63" s="91" t="s">
        <v>2602</v>
      </c>
      <c r="C63" s="98">
        <v>19480</v>
      </c>
      <c r="D63" s="98">
        <v>16830</v>
      </c>
      <c r="E63" s="98">
        <v>21590</v>
      </c>
      <c r="F63" s="98">
        <v>4560</v>
      </c>
      <c r="G63" s="98">
        <v>11420</v>
      </c>
      <c r="N63" s="91" t="s">
        <v>2727</v>
      </c>
    </row>
    <row r="64" ht="14.25" customHeight="1" spans="1:17">
      <c r="A64" s="91" t="s">
        <v>275</v>
      </c>
      <c r="B64" s="91" t="s">
        <v>2603</v>
      </c>
      <c r="C64" s="98">
        <v>16920</v>
      </c>
      <c r="D64" s="98">
        <v>19190</v>
      </c>
      <c r="E64" s="98">
        <v>22200</v>
      </c>
      <c r="F64" s="98">
        <v>4390</v>
      </c>
      <c r="G64" s="98">
        <v>13030</v>
      </c>
      <c r="N64" s="100" t="s">
        <v>2728</v>
      </c>
    </row>
    <row r="65" s="77" customFormat="1" ht="14.25" customHeight="1" spans="1:7">
      <c r="A65" s="91" t="s">
        <v>275</v>
      </c>
      <c r="B65" s="91" t="s">
        <v>2604</v>
      </c>
      <c r="C65" s="98">
        <v>19290</v>
      </c>
      <c r="D65" s="98">
        <v>17020</v>
      </c>
      <c r="E65" s="98">
        <v>19880</v>
      </c>
      <c r="F65" s="98">
        <v>4070</v>
      </c>
      <c r="G65" s="98">
        <v>11550</v>
      </c>
    </row>
    <row r="66" s="77" customFormat="1" ht="14.25" customHeight="1" spans="1:7">
      <c r="A66" s="91" t="s">
        <v>275</v>
      </c>
      <c r="B66" s="91" t="s">
        <v>2605</v>
      </c>
      <c r="C66" s="98">
        <v>17090</v>
      </c>
      <c r="D66" s="98">
        <v>18340</v>
      </c>
      <c r="E66" s="98">
        <v>21830</v>
      </c>
      <c r="F66" s="98">
        <v>4690</v>
      </c>
      <c r="G66" s="98">
        <v>12450</v>
      </c>
    </row>
    <row r="67" s="77" customFormat="1" ht="14.25" customHeight="1" spans="1:7">
      <c r="A67" s="91" t="s">
        <v>275</v>
      </c>
      <c r="B67" s="91" t="s">
        <v>2606</v>
      </c>
      <c r="C67" s="98">
        <v>18420</v>
      </c>
      <c r="D67" s="98">
        <v>16360</v>
      </c>
      <c r="E67" s="98">
        <v>20020</v>
      </c>
      <c r="F67" s="98">
        <v>5150</v>
      </c>
      <c r="G67" s="98">
        <v>11110</v>
      </c>
    </row>
    <row r="68" s="77" customFormat="1" ht="14.25" customHeight="1" spans="1:7">
      <c r="A68" s="91" t="s">
        <v>275</v>
      </c>
      <c r="B68" s="91" t="s">
        <v>2607</v>
      </c>
      <c r="C68" s="98">
        <v>16450</v>
      </c>
      <c r="D68" s="98">
        <v>18430</v>
      </c>
      <c r="E68" s="98">
        <v>21010</v>
      </c>
      <c r="F68" s="98">
        <v>4720</v>
      </c>
      <c r="G68" s="98">
        <v>12510</v>
      </c>
    </row>
    <row r="69" s="77" customFormat="1" ht="14.25" customHeight="1" spans="1:7">
      <c r="A69" s="91" t="s">
        <v>275</v>
      </c>
      <c r="B69" s="91" t="s">
        <v>2608</v>
      </c>
      <c r="C69" s="98">
        <v>18510</v>
      </c>
      <c r="D69" s="98">
        <v>16300</v>
      </c>
      <c r="E69" s="98">
        <v>18830</v>
      </c>
      <c r="F69" s="98">
        <v>5400</v>
      </c>
      <c r="G69" s="98">
        <v>11070</v>
      </c>
    </row>
    <row r="70" s="77" customFormat="1" ht="14.25" customHeight="1" spans="1:7">
      <c r="A70" s="91" t="s">
        <v>275</v>
      </c>
      <c r="B70" s="91" t="s">
        <v>2609</v>
      </c>
      <c r="C70" s="98">
        <v>16370</v>
      </c>
      <c r="D70" s="98">
        <v>18620</v>
      </c>
      <c r="E70" s="98">
        <v>21100</v>
      </c>
      <c r="F70" s="98">
        <v>5700</v>
      </c>
      <c r="G70" s="98">
        <v>12640</v>
      </c>
    </row>
    <row r="71" s="77" customFormat="1" ht="14.25" customHeight="1" spans="1:7">
      <c r="A71" s="91" t="s">
        <v>275</v>
      </c>
      <c r="B71" s="91" t="s">
        <v>2610</v>
      </c>
      <c r="C71" s="98">
        <v>18700</v>
      </c>
      <c r="D71" s="98">
        <v>16290</v>
      </c>
      <c r="E71" s="98">
        <v>18760</v>
      </c>
      <c r="F71" s="98">
        <v>4780</v>
      </c>
      <c r="G71" s="98">
        <v>11050</v>
      </c>
    </row>
    <row r="72" s="77" customFormat="1" ht="14.25" customHeight="1" spans="1:7">
      <c r="A72" s="91" t="s">
        <v>275</v>
      </c>
      <c r="B72" s="91" t="s">
        <v>2611</v>
      </c>
      <c r="C72" s="98">
        <v>16340</v>
      </c>
      <c r="D72" s="98">
        <v>17520</v>
      </c>
      <c r="E72" s="98">
        <v>21170</v>
      </c>
      <c r="F72" s="98"/>
      <c r="G72" s="98">
        <v>11900</v>
      </c>
    </row>
    <row r="73" s="77" customFormat="1" ht="14.25" customHeight="1" spans="1:7">
      <c r="A73" s="91" t="s">
        <v>275</v>
      </c>
      <c r="B73" s="91" t="s">
        <v>2612</v>
      </c>
      <c r="C73" s="98">
        <v>17610</v>
      </c>
      <c r="D73" s="98">
        <v>18520</v>
      </c>
      <c r="E73" s="98">
        <v>18720</v>
      </c>
      <c r="F73" s="98"/>
      <c r="G73" s="98">
        <v>12570</v>
      </c>
    </row>
    <row r="74" s="77" customFormat="1" ht="14.25" customHeight="1" spans="1:7">
      <c r="A74" s="91" t="s">
        <v>275</v>
      </c>
      <c r="B74" s="91" t="s">
        <v>2613</v>
      </c>
      <c r="C74" s="98">
        <v>18600</v>
      </c>
      <c r="D74" s="98">
        <v>16480</v>
      </c>
      <c r="E74" s="98">
        <v>20100</v>
      </c>
      <c r="F74" s="98"/>
      <c r="G74" s="98">
        <v>11190</v>
      </c>
    </row>
    <row r="75" s="77" customFormat="1" ht="14.25" customHeight="1" spans="1:7">
      <c r="A75" s="91" t="s">
        <v>275</v>
      </c>
      <c r="B75" s="91" t="s">
        <v>2614</v>
      </c>
      <c r="C75" s="98">
        <v>16570</v>
      </c>
      <c r="D75" s="98">
        <v>17530</v>
      </c>
      <c r="E75" s="98">
        <v>21030</v>
      </c>
      <c r="F75" s="98"/>
      <c r="G75" s="98">
        <v>11900</v>
      </c>
    </row>
    <row r="76" s="77" customFormat="1" ht="14.25" customHeight="1" spans="1:7">
      <c r="A76" s="91" t="s">
        <v>275</v>
      </c>
      <c r="B76" s="91" t="s">
        <v>2615</v>
      </c>
      <c r="C76" s="98">
        <v>17610</v>
      </c>
      <c r="D76" s="98">
        <v>20800</v>
      </c>
      <c r="E76" s="98">
        <v>18920</v>
      </c>
      <c r="F76" s="98"/>
      <c r="G76" s="98">
        <v>14120</v>
      </c>
    </row>
    <row r="77" s="77" customFormat="1" ht="14.25" customHeight="1" spans="1:7">
      <c r="A77" s="91" t="s">
        <v>275</v>
      </c>
      <c r="B77" s="91" t="s">
        <v>2616</v>
      </c>
      <c r="C77" s="98">
        <v>20890</v>
      </c>
      <c r="D77" s="98">
        <v>19740</v>
      </c>
      <c r="E77" s="98">
        <v>20110</v>
      </c>
      <c r="F77" s="98"/>
      <c r="G77" s="98">
        <v>13400</v>
      </c>
    </row>
    <row r="78" s="77" customFormat="1" ht="14.25" customHeight="1" spans="1:7">
      <c r="A78" s="91" t="s">
        <v>275</v>
      </c>
      <c r="B78" s="91" t="s">
        <v>2617</v>
      </c>
      <c r="C78" s="98">
        <v>19820</v>
      </c>
      <c r="D78" s="98">
        <v>19780</v>
      </c>
      <c r="E78" s="98">
        <v>18560</v>
      </c>
      <c r="F78" s="98"/>
      <c r="G78" s="98">
        <v>13430</v>
      </c>
    </row>
    <row r="79" s="77" customFormat="1" ht="14.25" customHeight="1" spans="1:7">
      <c r="A79" s="91" t="s">
        <v>275</v>
      </c>
      <c r="B79" s="91" t="s">
        <v>2618</v>
      </c>
      <c r="C79" s="98">
        <v>21660</v>
      </c>
      <c r="D79" s="98">
        <v>18000</v>
      </c>
      <c r="E79" s="98">
        <v>22570</v>
      </c>
      <c r="F79" s="98"/>
      <c r="G79" s="98">
        <v>12220</v>
      </c>
    </row>
    <row r="80" s="77" customFormat="1" ht="14.25" customHeight="1" spans="1:7">
      <c r="A80" s="91" t="s">
        <v>275</v>
      </c>
      <c r="B80" s="91" t="s">
        <v>2619</v>
      </c>
      <c r="C80" s="98">
        <v>19850</v>
      </c>
      <c r="D80" s="98"/>
      <c r="E80" s="98">
        <v>21700</v>
      </c>
      <c r="F80" s="98"/>
      <c r="G80" s="98"/>
    </row>
    <row r="81" s="77" customFormat="1" ht="14.25" customHeight="1" spans="1:7">
      <c r="A81" s="91" t="s">
        <v>275</v>
      </c>
      <c r="B81" s="91" t="s">
        <v>2620</v>
      </c>
      <c r="C81" s="98">
        <v>18080</v>
      </c>
      <c r="D81" s="98"/>
      <c r="E81" s="98">
        <v>20900</v>
      </c>
      <c r="F81" s="98"/>
      <c r="G81" s="98"/>
    </row>
    <row r="82" s="77" customFormat="1" ht="14.25" customHeight="1" spans="1:7">
      <c r="A82" s="91" t="s">
        <v>275</v>
      </c>
      <c r="B82" s="91" t="s">
        <v>2621</v>
      </c>
      <c r="C82" s="98"/>
      <c r="D82" s="98"/>
      <c r="E82" s="98">
        <v>20840</v>
      </c>
      <c r="F82" s="98"/>
      <c r="G82" s="98"/>
    </row>
    <row r="83" s="77" customFormat="1" ht="14.25" customHeight="1" spans="1:7">
      <c r="A83" s="91" t="s">
        <v>275</v>
      </c>
      <c r="B83" s="91" t="s">
        <v>2622</v>
      </c>
      <c r="C83" s="98"/>
      <c r="D83" s="98"/>
      <c r="E83" s="98"/>
      <c r="F83" s="98">
        <v>4770</v>
      </c>
      <c r="G83" s="98"/>
    </row>
    <row r="84" s="77" customFormat="1" ht="14.25" customHeight="1" spans="1:7">
      <c r="A84" s="91" t="s">
        <v>275</v>
      </c>
      <c r="B84" s="91" t="s">
        <v>2623</v>
      </c>
      <c r="C84" s="98"/>
      <c r="D84" s="98"/>
      <c r="E84" s="98"/>
      <c r="F84" s="98">
        <v>4600</v>
      </c>
      <c r="G84" s="98"/>
    </row>
    <row r="85" s="77" customFormat="1" ht="14.25" customHeight="1" spans="1:7">
      <c r="A85" s="91" t="s">
        <v>275</v>
      </c>
      <c r="B85" s="91" t="s">
        <v>2624</v>
      </c>
      <c r="C85" s="98"/>
      <c r="D85" s="98"/>
      <c r="E85" s="98"/>
      <c r="F85" s="98">
        <v>4680</v>
      </c>
      <c r="G85" s="98"/>
    </row>
    <row r="86" s="77" customFormat="1" ht="14.25" customHeight="1" spans="1:7">
      <c r="A86" s="101" t="s">
        <v>275</v>
      </c>
      <c r="B86" s="104" t="s">
        <v>2625</v>
      </c>
      <c r="C86" s="105">
        <v>16610</v>
      </c>
      <c r="D86" s="105">
        <v>16540</v>
      </c>
      <c r="E86" s="105">
        <v>18850</v>
      </c>
      <c r="F86" s="105"/>
      <c r="G86" s="105">
        <v>11220</v>
      </c>
    </row>
    <row r="87" s="77" customFormat="1" ht="14.25" customHeight="1" spans="1:7">
      <c r="A87" s="96" t="s">
        <v>286</v>
      </c>
      <c r="B87" s="86" t="s">
        <v>2626</v>
      </c>
      <c r="C87" s="97">
        <v>15240</v>
      </c>
      <c r="D87" s="97">
        <v>15170</v>
      </c>
      <c r="E87" s="97">
        <v>18260</v>
      </c>
      <c r="F87" s="97">
        <v>3830</v>
      </c>
      <c r="G87" s="106">
        <v>10020</v>
      </c>
    </row>
    <row r="88" s="77" customFormat="1" ht="14.25" customHeight="1" spans="1:7">
      <c r="A88" s="91" t="s">
        <v>286</v>
      </c>
      <c r="B88" s="91" t="s">
        <v>2627</v>
      </c>
      <c r="C88" s="98">
        <v>17310</v>
      </c>
      <c r="D88" s="98">
        <v>17220</v>
      </c>
      <c r="E88" s="98">
        <v>18610</v>
      </c>
      <c r="F88" s="98">
        <v>3990</v>
      </c>
      <c r="G88" s="107">
        <v>11380</v>
      </c>
    </row>
    <row r="89" s="77" customFormat="1" ht="14.25" customHeight="1" spans="1:7">
      <c r="A89" s="91" t="s">
        <v>286</v>
      </c>
      <c r="B89" s="91" t="s">
        <v>2628</v>
      </c>
      <c r="C89" s="98">
        <v>15600</v>
      </c>
      <c r="D89" s="98">
        <v>15550</v>
      </c>
      <c r="E89" s="98">
        <v>19200</v>
      </c>
      <c r="F89" s="98">
        <v>4110</v>
      </c>
      <c r="G89" s="107">
        <v>10270</v>
      </c>
    </row>
    <row r="90" s="77" customFormat="1" ht="14.25" customHeight="1" spans="1:7">
      <c r="A90" s="91" t="s">
        <v>286</v>
      </c>
      <c r="B90" s="91" t="s">
        <v>2629</v>
      </c>
      <c r="C90" s="98">
        <v>17330</v>
      </c>
      <c r="D90" s="98">
        <v>17240</v>
      </c>
      <c r="E90" s="98">
        <v>18570</v>
      </c>
      <c r="F90" s="98">
        <v>4070</v>
      </c>
      <c r="G90" s="107">
        <v>11390</v>
      </c>
    </row>
    <row r="91" s="77" customFormat="1" ht="14.25" customHeight="1" spans="1:7">
      <c r="A91" s="91" t="s">
        <v>286</v>
      </c>
      <c r="B91" s="91" t="s">
        <v>2630</v>
      </c>
      <c r="C91" s="98">
        <v>16330</v>
      </c>
      <c r="D91" s="98">
        <v>16260</v>
      </c>
      <c r="E91" s="98">
        <v>16800</v>
      </c>
      <c r="F91" s="98">
        <v>3410</v>
      </c>
      <c r="G91" s="107">
        <v>10740</v>
      </c>
    </row>
    <row r="92" s="77" customFormat="1" ht="14.25" customHeight="1" spans="1:7">
      <c r="A92" s="91" t="s">
        <v>286</v>
      </c>
      <c r="B92" s="91" t="s">
        <v>2631</v>
      </c>
      <c r="C92" s="98">
        <v>15570</v>
      </c>
      <c r="D92" s="98">
        <v>15500</v>
      </c>
      <c r="E92" s="98">
        <v>17360</v>
      </c>
      <c r="F92" s="98">
        <v>3510</v>
      </c>
      <c r="G92" s="107">
        <v>10240</v>
      </c>
    </row>
    <row r="93" s="77" customFormat="1" ht="14.25" customHeight="1" spans="1:7">
      <c r="A93" s="91" t="s">
        <v>286</v>
      </c>
      <c r="B93" s="91" t="s">
        <v>2632</v>
      </c>
      <c r="C93" s="98">
        <v>14000</v>
      </c>
      <c r="D93" s="98">
        <v>13930</v>
      </c>
      <c r="E93" s="98">
        <v>18200</v>
      </c>
      <c r="F93" s="98">
        <v>3640</v>
      </c>
      <c r="G93" s="107">
        <v>9210</v>
      </c>
    </row>
    <row r="94" s="77" customFormat="1" ht="14.25" customHeight="1" spans="1:7">
      <c r="A94" s="91" t="s">
        <v>286</v>
      </c>
      <c r="B94" s="91" t="s">
        <v>2633</v>
      </c>
      <c r="C94" s="98">
        <v>14530</v>
      </c>
      <c r="D94" s="98">
        <v>14470</v>
      </c>
      <c r="E94" s="98">
        <v>18240</v>
      </c>
      <c r="F94" s="98">
        <v>3180</v>
      </c>
      <c r="G94" s="107">
        <v>9560</v>
      </c>
    </row>
    <row r="95" s="77" customFormat="1" ht="14.25" customHeight="1" spans="1:7">
      <c r="A95" s="91" t="s">
        <v>286</v>
      </c>
      <c r="B95" s="91" t="s">
        <v>2634</v>
      </c>
      <c r="C95" s="98">
        <v>17330</v>
      </c>
      <c r="D95" s="98">
        <v>17260</v>
      </c>
      <c r="E95" s="98">
        <v>18420</v>
      </c>
      <c r="F95" s="98">
        <v>3060</v>
      </c>
      <c r="G95" s="107">
        <v>11410</v>
      </c>
    </row>
    <row r="96" s="77" customFormat="1" ht="14.25" customHeight="1" spans="1:7">
      <c r="A96" s="91" t="s">
        <v>286</v>
      </c>
      <c r="B96" s="91" t="s">
        <v>2635</v>
      </c>
      <c r="C96" s="98">
        <v>15030</v>
      </c>
      <c r="D96" s="98">
        <v>14970</v>
      </c>
      <c r="E96" s="98">
        <v>17580</v>
      </c>
      <c r="F96" s="98">
        <v>2970</v>
      </c>
      <c r="G96" s="107">
        <v>9890</v>
      </c>
    </row>
    <row r="97" s="77" customFormat="1" ht="14.25" customHeight="1" spans="1:7">
      <c r="A97" s="91" t="s">
        <v>286</v>
      </c>
      <c r="B97" s="91" t="s">
        <v>2636</v>
      </c>
      <c r="C97" s="98">
        <v>17400</v>
      </c>
      <c r="D97" s="98">
        <v>17330</v>
      </c>
      <c r="E97" s="98">
        <v>16430</v>
      </c>
      <c r="F97" s="98">
        <v>2950</v>
      </c>
      <c r="G97" s="107">
        <v>11450</v>
      </c>
    </row>
    <row r="98" s="77" customFormat="1" ht="14.25" customHeight="1" spans="1:7">
      <c r="A98" s="91" t="s">
        <v>286</v>
      </c>
      <c r="B98" s="91" t="s">
        <v>2637</v>
      </c>
      <c r="C98" s="98">
        <v>15200</v>
      </c>
      <c r="D98" s="98">
        <v>15120</v>
      </c>
      <c r="E98" s="98">
        <v>17550</v>
      </c>
      <c r="F98" s="98">
        <v>3080</v>
      </c>
      <c r="G98" s="107">
        <v>9990</v>
      </c>
    </row>
    <row r="99" s="77" customFormat="1" ht="14.25" customHeight="1" spans="1:7">
      <c r="A99" s="91" t="s">
        <v>286</v>
      </c>
      <c r="B99" s="91" t="s">
        <v>2638</v>
      </c>
      <c r="C99" s="98">
        <v>17520</v>
      </c>
      <c r="D99" s="98">
        <v>17430</v>
      </c>
      <c r="E99" s="98">
        <v>16350</v>
      </c>
      <c r="F99" s="98">
        <v>3260</v>
      </c>
      <c r="G99" s="107">
        <v>11510</v>
      </c>
    </row>
    <row r="100" s="77" customFormat="1" ht="14.25" customHeight="1" spans="1:7">
      <c r="A100" s="91" t="s">
        <v>286</v>
      </c>
      <c r="B100" s="91" t="s">
        <v>2639</v>
      </c>
      <c r="C100" s="98">
        <v>15340</v>
      </c>
      <c r="D100" s="98">
        <v>15260</v>
      </c>
      <c r="E100" s="98">
        <v>15930</v>
      </c>
      <c r="F100" s="98">
        <v>2740</v>
      </c>
      <c r="G100" s="107">
        <v>10080</v>
      </c>
    </row>
    <row r="101" s="77" customFormat="1" ht="14.25" customHeight="1" spans="1:7">
      <c r="A101" s="91" t="s">
        <v>286</v>
      </c>
      <c r="B101" s="91" t="s">
        <v>2640</v>
      </c>
      <c r="C101" s="98">
        <v>14620</v>
      </c>
      <c r="D101" s="98">
        <v>14560</v>
      </c>
      <c r="E101" s="98">
        <v>15570</v>
      </c>
      <c r="F101" s="98">
        <v>3500</v>
      </c>
      <c r="G101" s="107">
        <v>9630</v>
      </c>
    </row>
    <row r="102" s="77" customFormat="1" ht="14.25" customHeight="1" spans="1:7">
      <c r="A102" s="91" t="s">
        <v>286</v>
      </c>
      <c r="B102" s="91" t="s">
        <v>2641</v>
      </c>
      <c r="C102" s="98">
        <v>13680</v>
      </c>
      <c r="D102" s="98">
        <v>13610</v>
      </c>
      <c r="E102" s="98">
        <v>15690</v>
      </c>
      <c r="F102" s="98">
        <v>2870</v>
      </c>
      <c r="G102" s="107">
        <v>8990</v>
      </c>
    </row>
    <row r="103" s="77" customFormat="1" ht="14.25" customHeight="1" spans="1:7">
      <c r="A103" s="91" t="s">
        <v>286</v>
      </c>
      <c r="B103" s="91" t="s">
        <v>2642</v>
      </c>
      <c r="C103" s="98">
        <v>14620</v>
      </c>
      <c r="D103" s="98">
        <v>14540</v>
      </c>
      <c r="E103" s="98">
        <v>15240</v>
      </c>
      <c r="F103" s="98">
        <v>2840</v>
      </c>
      <c r="G103" s="107">
        <v>9610</v>
      </c>
    </row>
    <row r="104" s="77" customFormat="1" ht="14.25" customHeight="1" spans="1:7">
      <c r="A104" s="91" t="s">
        <v>286</v>
      </c>
      <c r="B104" s="91" t="s">
        <v>2643</v>
      </c>
      <c r="C104" s="98">
        <v>13610</v>
      </c>
      <c r="D104" s="98">
        <v>13540</v>
      </c>
      <c r="E104" s="98">
        <v>15750</v>
      </c>
      <c r="F104" s="98">
        <v>2770</v>
      </c>
      <c r="G104" s="107">
        <v>8940</v>
      </c>
    </row>
    <row r="105" s="77" customFormat="1" ht="14.25" customHeight="1" spans="1:7">
      <c r="A105" s="91" t="s">
        <v>286</v>
      </c>
      <c r="B105" s="91" t="s">
        <v>2644</v>
      </c>
      <c r="C105" s="98">
        <v>13310</v>
      </c>
      <c r="D105" s="98">
        <v>13240</v>
      </c>
      <c r="E105" s="98">
        <v>16280</v>
      </c>
      <c r="F105" s="98">
        <v>3210</v>
      </c>
      <c r="G105" s="107">
        <v>8750</v>
      </c>
    </row>
    <row r="106" s="77" customFormat="1" ht="14.25" customHeight="1" spans="1:7">
      <c r="A106" s="91" t="s">
        <v>286</v>
      </c>
      <c r="B106" s="91" t="s">
        <v>2645</v>
      </c>
      <c r="C106" s="98">
        <v>13010</v>
      </c>
      <c r="D106" s="98">
        <v>12930</v>
      </c>
      <c r="E106" s="98">
        <v>14960</v>
      </c>
      <c r="F106" s="98">
        <v>3530</v>
      </c>
      <c r="G106" s="107">
        <v>8550</v>
      </c>
    </row>
    <row r="107" s="77" customFormat="1" ht="14.25" customHeight="1" spans="1:7">
      <c r="A107" s="91" t="s">
        <v>286</v>
      </c>
      <c r="B107" s="91" t="s">
        <v>2646</v>
      </c>
      <c r="C107" s="98">
        <v>13070</v>
      </c>
      <c r="D107" s="98">
        <v>13000</v>
      </c>
      <c r="E107" s="98">
        <v>15910</v>
      </c>
      <c r="F107" s="98">
        <v>3990</v>
      </c>
      <c r="G107" s="107">
        <v>8580</v>
      </c>
    </row>
    <row r="108" s="77" customFormat="1" ht="14.25" customHeight="1" spans="1:7">
      <c r="A108" s="91" t="s">
        <v>286</v>
      </c>
      <c r="B108" s="91" t="s">
        <v>2647</v>
      </c>
      <c r="C108" s="98">
        <v>12640</v>
      </c>
      <c r="D108" s="98">
        <v>12580</v>
      </c>
      <c r="E108" s="98">
        <v>15730</v>
      </c>
      <c r="F108" s="98"/>
      <c r="G108" s="107">
        <v>8310</v>
      </c>
    </row>
    <row r="109" s="77" customFormat="1" ht="14.25" customHeight="1" spans="1:7">
      <c r="A109" s="91" t="s">
        <v>286</v>
      </c>
      <c r="B109" s="91" t="s">
        <v>2648</v>
      </c>
      <c r="C109" s="98">
        <v>13130</v>
      </c>
      <c r="D109" s="98">
        <v>13070</v>
      </c>
      <c r="E109" s="98">
        <v>15000</v>
      </c>
      <c r="F109" s="98"/>
      <c r="G109" s="107">
        <v>8630</v>
      </c>
    </row>
    <row r="110" s="77" customFormat="1" ht="14.25" customHeight="1" spans="1:7">
      <c r="A110" s="91" t="s">
        <v>286</v>
      </c>
      <c r="B110" s="91" t="s">
        <v>2649</v>
      </c>
      <c r="C110" s="98">
        <v>13560</v>
      </c>
      <c r="D110" s="98">
        <v>13490</v>
      </c>
      <c r="E110" s="98">
        <v>16300</v>
      </c>
      <c r="F110" s="98"/>
      <c r="G110" s="107">
        <v>8920</v>
      </c>
    </row>
    <row r="111" s="77" customFormat="1" ht="14.25" customHeight="1" spans="1:7">
      <c r="A111" s="91" t="s">
        <v>286</v>
      </c>
      <c r="B111" s="91" t="s">
        <v>2650</v>
      </c>
      <c r="C111" s="98">
        <v>12440</v>
      </c>
      <c r="D111" s="98">
        <v>12380</v>
      </c>
      <c r="E111" s="98">
        <v>17850</v>
      </c>
      <c r="F111" s="98"/>
      <c r="G111" s="107">
        <v>8180</v>
      </c>
    </row>
    <row r="112" s="77" customFormat="1" ht="14.25" customHeight="1" spans="1:7">
      <c r="A112" s="91" t="s">
        <v>286</v>
      </c>
      <c r="B112" s="91" t="s">
        <v>2651</v>
      </c>
      <c r="C112" s="98">
        <v>13260</v>
      </c>
      <c r="D112" s="98">
        <v>13180</v>
      </c>
      <c r="E112" s="98">
        <v>19740</v>
      </c>
      <c r="F112" s="98"/>
      <c r="G112" s="107">
        <v>8710</v>
      </c>
    </row>
    <row r="113" s="77" customFormat="1" ht="14.25" customHeight="1" spans="1:7">
      <c r="A113" s="91" t="s">
        <v>286</v>
      </c>
      <c r="B113" s="91" t="s">
        <v>2652</v>
      </c>
      <c r="C113" s="98">
        <v>15520</v>
      </c>
      <c r="D113" s="98">
        <v>15450</v>
      </c>
      <c r="E113" s="98"/>
      <c r="F113" s="98"/>
      <c r="G113" s="107">
        <v>10210</v>
      </c>
    </row>
    <row r="114" s="77" customFormat="1" ht="14.25" customHeight="1" spans="1:7">
      <c r="A114" s="91" t="s">
        <v>286</v>
      </c>
      <c r="B114" s="91" t="s">
        <v>2653</v>
      </c>
      <c r="C114" s="98">
        <v>13110</v>
      </c>
      <c r="D114" s="98">
        <v>13050</v>
      </c>
      <c r="E114" s="98"/>
      <c r="F114" s="98"/>
      <c r="G114" s="107">
        <v>8620</v>
      </c>
    </row>
    <row r="115" s="77" customFormat="1" ht="14.25" customHeight="1" spans="1:7">
      <c r="A115" s="91" t="s">
        <v>286</v>
      </c>
      <c r="B115" s="91" t="s">
        <v>2654</v>
      </c>
      <c r="C115" s="98">
        <v>12460</v>
      </c>
      <c r="D115" s="98">
        <v>12390</v>
      </c>
      <c r="E115" s="98"/>
      <c r="F115" s="98"/>
      <c r="G115" s="107">
        <v>8190</v>
      </c>
    </row>
    <row r="116" s="77" customFormat="1" ht="14.25" customHeight="1" spans="1:7">
      <c r="A116" s="91" t="s">
        <v>286</v>
      </c>
      <c r="B116" s="91" t="s">
        <v>2655</v>
      </c>
      <c r="C116" s="98">
        <v>13580</v>
      </c>
      <c r="D116" s="98">
        <v>13520</v>
      </c>
      <c r="E116" s="98"/>
      <c r="F116" s="98"/>
      <c r="G116" s="107">
        <v>8930</v>
      </c>
    </row>
    <row r="117" s="77" customFormat="1" ht="14.25" customHeight="1" spans="1:7">
      <c r="A117" s="91" t="s">
        <v>286</v>
      </c>
      <c r="B117" s="91" t="s">
        <v>2656</v>
      </c>
      <c r="C117" s="98">
        <v>17120</v>
      </c>
      <c r="D117" s="98">
        <v>17040</v>
      </c>
      <c r="E117" s="98"/>
      <c r="F117" s="98"/>
      <c r="G117" s="107">
        <v>11260</v>
      </c>
    </row>
    <row r="118" s="77" customFormat="1" ht="14.25" customHeight="1" spans="1:7">
      <c r="A118" s="91" t="s">
        <v>286</v>
      </c>
      <c r="B118" s="91" t="s">
        <v>2657</v>
      </c>
      <c r="C118" s="98">
        <v>14860</v>
      </c>
      <c r="D118" s="98">
        <v>14790</v>
      </c>
      <c r="E118" s="98"/>
      <c r="F118" s="98"/>
      <c r="G118" s="107">
        <v>9780</v>
      </c>
    </row>
    <row r="119" s="77" customFormat="1" ht="14.25" customHeight="1" spans="1:7">
      <c r="A119" s="91" t="s">
        <v>286</v>
      </c>
      <c r="B119" s="91" t="s">
        <v>2658</v>
      </c>
      <c r="C119" s="98">
        <v>16470</v>
      </c>
      <c r="D119" s="98">
        <v>16400</v>
      </c>
      <c r="E119" s="98"/>
      <c r="F119" s="98"/>
      <c r="G119" s="107">
        <v>10840</v>
      </c>
    </row>
    <row r="120" s="77" customFormat="1" ht="14.25" customHeight="1" spans="1:7">
      <c r="A120" s="91" t="s">
        <v>286</v>
      </c>
      <c r="B120" s="91" t="s">
        <v>2659</v>
      </c>
      <c r="C120" s="98"/>
      <c r="D120" s="98"/>
      <c r="E120" s="98"/>
      <c r="F120" s="98">
        <v>4160</v>
      </c>
      <c r="G120" s="107"/>
    </row>
    <row r="121" s="77" customFormat="1" ht="14.25" customHeight="1" spans="1:7">
      <c r="A121" s="91" t="s">
        <v>286</v>
      </c>
      <c r="B121" s="91" t="s">
        <v>2660</v>
      </c>
      <c r="C121" s="98"/>
      <c r="D121" s="98"/>
      <c r="E121" s="98"/>
      <c r="F121" s="98">
        <v>3880</v>
      </c>
      <c r="G121" s="107"/>
    </row>
    <row r="122" s="77" customFormat="1" ht="14.25" customHeight="1" spans="1:7">
      <c r="A122" s="91" t="s">
        <v>286</v>
      </c>
      <c r="B122" s="91" t="s">
        <v>2661</v>
      </c>
      <c r="C122" s="98">
        <v>13750</v>
      </c>
      <c r="D122" s="98">
        <v>13680</v>
      </c>
      <c r="E122" s="98">
        <v>16460</v>
      </c>
      <c r="F122" s="98">
        <v>2880</v>
      </c>
      <c r="G122" s="107">
        <v>9040</v>
      </c>
    </row>
    <row r="123" s="77" customFormat="1" ht="14.25" customHeight="1" spans="1:7">
      <c r="A123" s="91" t="s">
        <v>286</v>
      </c>
      <c r="B123" s="91" t="s">
        <v>2662</v>
      </c>
      <c r="C123" s="98">
        <v>13590</v>
      </c>
      <c r="D123" s="98">
        <v>13520</v>
      </c>
      <c r="E123" s="98">
        <v>16290</v>
      </c>
      <c r="F123" s="98">
        <v>2790</v>
      </c>
      <c r="G123" s="107">
        <v>8930</v>
      </c>
    </row>
    <row r="124" s="77" customFormat="1" ht="14.25" customHeight="1" spans="1:7">
      <c r="A124" s="91" t="s">
        <v>286</v>
      </c>
      <c r="B124" s="91" t="s">
        <v>2663</v>
      </c>
      <c r="C124" s="98">
        <v>13400</v>
      </c>
      <c r="D124" s="98">
        <v>13320</v>
      </c>
      <c r="E124" s="98">
        <v>16100</v>
      </c>
      <c r="F124" s="98">
        <v>2320</v>
      </c>
      <c r="G124" s="107">
        <v>8800</v>
      </c>
    </row>
    <row r="125" s="77" customFormat="1" ht="14.25" customHeight="1" spans="1:7">
      <c r="A125" s="91" t="s">
        <v>286</v>
      </c>
      <c r="B125" s="91" t="s">
        <v>2664</v>
      </c>
      <c r="C125" s="98">
        <v>12860</v>
      </c>
      <c r="D125" s="98">
        <v>12790</v>
      </c>
      <c r="E125" s="98">
        <v>15370</v>
      </c>
      <c r="F125" s="98">
        <v>2280</v>
      </c>
      <c r="G125" s="107">
        <v>8450</v>
      </c>
    </row>
    <row r="126" s="77" customFormat="1" ht="14.25" customHeight="1" spans="1:7">
      <c r="A126" s="108" t="s">
        <v>286</v>
      </c>
      <c r="B126" s="100" t="s">
        <v>2665</v>
      </c>
      <c r="C126" s="102">
        <v>12960</v>
      </c>
      <c r="D126" s="102">
        <v>12890</v>
      </c>
      <c r="E126" s="102">
        <v>15530</v>
      </c>
      <c r="F126" s="102">
        <v>2910</v>
      </c>
      <c r="G126" s="109">
        <v>8520</v>
      </c>
    </row>
    <row r="127" s="77" customFormat="1" ht="14.25" customHeight="1" spans="1:7">
      <c r="A127" s="96" t="s">
        <v>295</v>
      </c>
      <c r="B127" s="86" t="s">
        <v>2666</v>
      </c>
      <c r="C127" s="98">
        <v>12280</v>
      </c>
      <c r="D127" s="98">
        <v>12250</v>
      </c>
      <c r="E127" s="98">
        <v>15130</v>
      </c>
      <c r="F127" s="98">
        <v>2710</v>
      </c>
      <c r="G127" s="98">
        <v>7870</v>
      </c>
    </row>
    <row r="128" s="77" customFormat="1" ht="14.25" customHeight="1" spans="1:7">
      <c r="A128" s="91" t="s">
        <v>295</v>
      </c>
      <c r="B128" s="91" t="s">
        <v>2667</v>
      </c>
      <c r="C128" s="98">
        <v>13180</v>
      </c>
      <c r="D128" s="98">
        <v>13150</v>
      </c>
      <c r="E128" s="98">
        <v>16190</v>
      </c>
      <c r="F128" s="98">
        <v>2820</v>
      </c>
      <c r="G128" s="98">
        <v>8460</v>
      </c>
    </row>
    <row r="129" s="77" customFormat="1" ht="14.25" customHeight="1" spans="1:7">
      <c r="A129" s="91" t="s">
        <v>295</v>
      </c>
      <c r="B129" s="91" t="s">
        <v>2668</v>
      </c>
      <c r="C129" s="98">
        <v>10950</v>
      </c>
      <c r="D129" s="98">
        <v>10920</v>
      </c>
      <c r="E129" s="98">
        <v>13820</v>
      </c>
      <c r="F129" s="98">
        <v>2500</v>
      </c>
      <c r="G129" s="98">
        <v>7020</v>
      </c>
    </row>
    <row r="130" s="77" customFormat="1" ht="14.25" customHeight="1" spans="1:7">
      <c r="A130" s="91" t="s">
        <v>295</v>
      </c>
      <c r="B130" s="91" t="s">
        <v>2669</v>
      </c>
      <c r="C130" s="98">
        <v>10910</v>
      </c>
      <c r="D130" s="98">
        <v>10860</v>
      </c>
      <c r="E130" s="98">
        <v>13730</v>
      </c>
      <c r="F130" s="98">
        <v>2760</v>
      </c>
      <c r="G130" s="98">
        <v>6990</v>
      </c>
    </row>
    <row r="131" s="77" customFormat="1" ht="14.25" customHeight="1" spans="1:7">
      <c r="A131" s="91" t="s">
        <v>295</v>
      </c>
      <c r="B131" s="91" t="s">
        <v>2670</v>
      </c>
      <c r="C131" s="98">
        <v>12910</v>
      </c>
      <c r="D131" s="98">
        <v>12870</v>
      </c>
      <c r="E131" s="98">
        <v>15720</v>
      </c>
      <c r="F131" s="98">
        <v>2750</v>
      </c>
      <c r="G131" s="98">
        <v>8280</v>
      </c>
    </row>
    <row r="132" s="77" customFormat="1" ht="14.25" customHeight="1" spans="1:7">
      <c r="A132" s="91" t="s">
        <v>295</v>
      </c>
      <c r="B132" s="91" t="s">
        <v>2671</v>
      </c>
      <c r="C132" s="98">
        <v>11910</v>
      </c>
      <c r="D132" s="98">
        <v>11860</v>
      </c>
      <c r="E132" s="98">
        <v>14730</v>
      </c>
      <c r="F132" s="98">
        <v>2360</v>
      </c>
      <c r="G132" s="98">
        <v>7630</v>
      </c>
    </row>
    <row r="133" s="77" customFormat="1" ht="14.25" customHeight="1" spans="1:7">
      <c r="A133" s="91" t="s">
        <v>295</v>
      </c>
      <c r="B133" s="91" t="s">
        <v>2672</v>
      </c>
      <c r="C133" s="98">
        <v>12270</v>
      </c>
      <c r="D133" s="98">
        <v>12210</v>
      </c>
      <c r="E133" s="98">
        <v>15010</v>
      </c>
      <c r="F133" s="98">
        <v>2580</v>
      </c>
      <c r="G133" s="98">
        <v>7860</v>
      </c>
    </row>
    <row r="134" s="77" customFormat="1" ht="14.25" customHeight="1" spans="1:7">
      <c r="A134" s="91" t="s">
        <v>295</v>
      </c>
      <c r="B134" s="91" t="s">
        <v>2673</v>
      </c>
      <c r="C134" s="98">
        <v>10800</v>
      </c>
      <c r="D134" s="98">
        <v>10780</v>
      </c>
      <c r="E134" s="98">
        <v>13640</v>
      </c>
      <c r="F134" s="98">
        <v>2110</v>
      </c>
      <c r="G134" s="98">
        <v>6930</v>
      </c>
    </row>
    <row r="135" s="77" customFormat="1" ht="14.25" customHeight="1" spans="1:7">
      <c r="A135" s="91" t="s">
        <v>295</v>
      </c>
      <c r="B135" s="91" t="s">
        <v>2674</v>
      </c>
      <c r="C135" s="98">
        <v>10430</v>
      </c>
      <c r="D135" s="98">
        <v>10390</v>
      </c>
      <c r="E135" s="98">
        <v>13140</v>
      </c>
      <c r="F135" s="98">
        <v>2240</v>
      </c>
      <c r="G135" s="98">
        <v>6680</v>
      </c>
    </row>
    <row r="136" s="77" customFormat="1" ht="14.25" customHeight="1" spans="1:7">
      <c r="A136" s="91" t="s">
        <v>295</v>
      </c>
      <c r="B136" s="91" t="s">
        <v>2675</v>
      </c>
      <c r="C136" s="98">
        <v>11930</v>
      </c>
      <c r="D136" s="98">
        <v>11880</v>
      </c>
      <c r="E136" s="98">
        <v>14770</v>
      </c>
      <c r="F136" s="98">
        <v>1970</v>
      </c>
      <c r="G136" s="98">
        <v>7640</v>
      </c>
    </row>
    <row r="137" s="77" customFormat="1" ht="14.25" customHeight="1" spans="1:7">
      <c r="A137" s="91" t="s">
        <v>295</v>
      </c>
      <c r="B137" s="91" t="s">
        <v>2676</v>
      </c>
      <c r="C137" s="98">
        <v>10470</v>
      </c>
      <c r="D137" s="98">
        <v>10430</v>
      </c>
      <c r="E137" s="98">
        <v>13190</v>
      </c>
      <c r="F137" s="98">
        <v>1990</v>
      </c>
      <c r="G137" s="98">
        <v>6710</v>
      </c>
    </row>
    <row r="138" s="77" customFormat="1" ht="14.25" customHeight="1" spans="1:7">
      <c r="A138" s="91" t="s">
        <v>295</v>
      </c>
      <c r="B138" s="91" t="s">
        <v>2677</v>
      </c>
      <c r="C138" s="98">
        <v>10410</v>
      </c>
      <c r="D138" s="98">
        <v>10380</v>
      </c>
      <c r="E138" s="98">
        <v>13130</v>
      </c>
      <c r="F138" s="98">
        <v>2030</v>
      </c>
      <c r="G138" s="98">
        <v>6680</v>
      </c>
    </row>
    <row r="139" s="77" customFormat="1" ht="14.25" customHeight="1" spans="1:7">
      <c r="A139" s="91" t="s">
        <v>295</v>
      </c>
      <c r="B139" s="91" t="s">
        <v>2678</v>
      </c>
      <c r="C139" s="98">
        <v>9460</v>
      </c>
      <c r="D139" s="98">
        <v>9410</v>
      </c>
      <c r="E139" s="98">
        <v>12050</v>
      </c>
      <c r="F139" s="98">
        <v>2140</v>
      </c>
      <c r="G139" s="98">
        <v>6050</v>
      </c>
    </row>
    <row r="140" s="77" customFormat="1" ht="14.25" customHeight="1" spans="1:7">
      <c r="A140" s="91" t="s">
        <v>295</v>
      </c>
      <c r="B140" s="91" t="s">
        <v>2679</v>
      </c>
      <c r="C140" s="98">
        <v>11030</v>
      </c>
      <c r="D140" s="98">
        <v>10980</v>
      </c>
      <c r="E140" s="98">
        <v>13880</v>
      </c>
      <c r="F140" s="98">
        <v>2210</v>
      </c>
      <c r="G140" s="98">
        <v>7060</v>
      </c>
    </row>
    <row r="141" s="77" customFormat="1" ht="14.25" customHeight="1" spans="1:7">
      <c r="A141" s="91" t="s">
        <v>295</v>
      </c>
      <c r="B141" s="91" t="s">
        <v>2680</v>
      </c>
      <c r="C141" s="98">
        <v>11200</v>
      </c>
      <c r="D141" s="98">
        <v>11150</v>
      </c>
      <c r="E141" s="98">
        <v>14100</v>
      </c>
      <c r="F141" s="98">
        <v>2470</v>
      </c>
      <c r="G141" s="98">
        <v>7170</v>
      </c>
    </row>
    <row r="142" s="77" customFormat="1" ht="14.25" customHeight="1" spans="1:7">
      <c r="A142" s="91" t="s">
        <v>295</v>
      </c>
      <c r="B142" s="91" t="s">
        <v>2681</v>
      </c>
      <c r="C142" s="98">
        <v>10780</v>
      </c>
      <c r="D142" s="98">
        <v>10730</v>
      </c>
      <c r="E142" s="98">
        <v>13540</v>
      </c>
      <c r="F142" s="98">
        <v>2280</v>
      </c>
      <c r="G142" s="98">
        <v>6900</v>
      </c>
    </row>
    <row r="143" s="77" customFormat="1" ht="14.25" customHeight="1" spans="1:7">
      <c r="A143" s="91" t="s">
        <v>295</v>
      </c>
      <c r="B143" s="91" t="s">
        <v>2682</v>
      </c>
      <c r="C143" s="98">
        <v>11550</v>
      </c>
      <c r="D143" s="98">
        <v>11490</v>
      </c>
      <c r="E143" s="98">
        <v>14480</v>
      </c>
      <c r="F143" s="98">
        <v>2070</v>
      </c>
      <c r="G143" s="98">
        <v>7390</v>
      </c>
    </row>
    <row r="144" s="77" customFormat="1" ht="14.25" customHeight="1" spans="1:7">
      <c r="A144" s="91" t="s">
        <v>295</v>
      </c>
      <c r="B144" s="91" t="s">
        <v>2683</v>
      </c>
      <c r="C144" s="98">
        <v>10720</v>
      </c>
      <c r="D144" s="98">
        <v>10680</v>
      </c>
      <c r="E144" s="98">
        <v>13480</v>
      </c>
      <c r="F144" s="98">
        <v>2440</v>
      </c>
      <c r="G144" s="98">
        <v>6870</v>
      </c>
    </row>
    <row r="145" s="77" customFormat="1" ht="14.25" customHeight="1" spans="1:7">
      <c r="A145" s="91" t="s">
        <v>295</v>
      </c>
      <c r="B145" s="91" t="s">
        <v>2684</v>
      </c>
      <c r="C145" s="98">
        <v>10340</v>
      </c>
      <c r="D145" s="98">
        <v>10290</v>
      </c>
      <c r="E145" s="98">
        <v>12880</v>
      </c>
      <c r="F145" s="98">
        <v>2650</v>
      </c>
      <c r="G145" s="98">
        <v>6620</v>
      </c>
    </row>
    <row r="146" s="77" customFormat="1" ht="14.25" customHeight="1" spans="1:7">
      <c r="A146" s="91" t="s">
        <v>295</v>
      </c>
      <c r="B146" s="91" t="s">
        <v>2685</v>
      </c>
      <c r="C146" s="98">
        <v>11890</v>
      </c>
      <c r="D146" s="98">
        <v>11830</v>
      </c>
      <c r="E146" s="98">
        <v>14670</v>
      </c>
      <c r="F146" s="98"/>
      <c r="G146" s="98">
        <v>7610</v>
      </c>
    </row>
    <row r="147" s="77" customFormat="1" ht="14.25" customHeight="1" spans="1:7">
      <c r="A147" s="91" t="s">
        <v>295</v>
      </c>
      <c r="B147" s="91" t="s">
        <v>2686</v>
      </c>
      <c r="C147" s="98">
        <v>12650</v>
      </c>
      <c r="D147" s="98">
        <v>12600</v>
      </c>
      <c r="E147" s="98">
        <v>15440</v>
      </c>
      <c r="F147" s="98"/>
      <c r="G147" s="98">
        <v>8110</v>
      </c>
    </row>
    <row r="148" s="77" customFormat="1" ht="14.25" customHeight="1" spans="1:7">
      <c r="A148" s="91" t="s">
        <v>295</v>
      </c>
      <c r="B148" s="91" t="s">
        <v>2687</v>
      </c>
      <c r="C148" s="98">
        <v>10370</v>
      </c>
      <c r="D148" s="98">
        <v>10310</v>
      </c>
      <c r="E148" s="98">
        <v>12970</v>
      </c>
      <c r="F148" s="98"/>
      <c r="G148" s="98">
        <v>6630</v>
      </c>
    </row>
    <row r="149" s="77" customFormat="1" ht="14.25" customHeight="1" spans="1:7">
      <c r="A149" s="91" t="s">
        <v>295</v>
      </c>
      <c r="B149" s="91" t="s">
        <v>2688</v>
      </c>
      <c r="C149" s="98">
        <v>11600</v>
      </c>
      <c r="D149" s="98">
        <v>11560</v>
      </c>
      <c r="E149" s="98">
        <v>14540</v>
      </c>
      <c r="F149" s="98">
        <v>2390</v>
      </c>
      <c r="G149" s="98">
        <v>7430</v>
      </c>
    </row>
    <row r="150" s="77" customFormat="1" ht="14.25" customHeight="1" spans="1:7">
      <c r="A150" s="91" t="s">
        <v>295</v>
      </c>
      <c r="B150" s="91" t="s">
        <v>2689</v>
      </c>
      <c r="C150" s="98">
        <v>9950</v>
      </c>
      <c r="D150" s="98">
        <v>9890</v>
      </c>
      <c r="E150" s="98">
        <v>12590</v>
      </c>
      <c r="F150" s="98">
        <v>1970</v>
      </c>
      <c r="G150" s="98">
        <v>6360</v>
      </c>
    </row>
    <row r="151" s="77" customFormat="1" ht="14.25" customHeight="1" spans="1:7">
      <c r="A151" s="91" t="s">
        <v>295</v>
      </c>
      <c r="B151" s="91" t="s">
        <v>2690</v>
      </c>
      <c r="C151" s="98">
        <v>10700</v>
      </c>
      <c r="D151" s="98">
        <v>10650</v>
      </c>
      <c r="E151" s="98">
        <v>13420</v>
      </c>
      <c r="F151" s="98">
        <v>2020</v>
      </c>
      <c r="G151" s="98">
        <v>6850</v>
      </c>
    </row>
    <row r="152" s="77" customFormat="1" ht="14.25" customHeight="1" spans="1:7">
      <c r="A152" s="91" t="s">
        <v>295</v>
      </c>
      <c r="B152" s="91" t="s">
        <v>2691</v>
      </c>
      <c r="C152" s="98">
        <v>10310</v>
      </c>
      <c r="D152" s="98">
        <v>10260</v>
      </c>
      <c r="E152" s="98">
        <v>12820</v>
      </c>
      <c r="F152" s="98">
        <v>1980</v>
      </c>
      <c r="G152" s="98">
        <v>6600</v>
      </c>
    </row>
    <row r="153" s="77" customFormat="1" ht="14.25" customHeight="1" spans="1:7">
      <c r="A153" s="91" t="s">
        <v>295</v>
      </c>
      <c r="B153" s="91" t="s">
        <v>2692</v>
      </c>
      <c r="C153" s="98">
        <v>10880</v>
      </c>
      <c r="D153" s="98">
        <v>10820</v>
      </c>
      <c r="E153" s="98">
        <v>13660</v>
      </c>
      <c r="F153" s="98">
        <v>2260</v>
      </c>
      <c r="G153" s="98">
        <v>6970</v>
      </c>
    </row>
    <row r="154" s="77" customFormat="1" ht="14.25" customHeight="1" spans="1:7">
      <c r="A154" s="91" t="s">
        <v>295</v>
      </c>
      <c r="B154" s="91" t="s">
        <v>2693</v>
      </c>
      <c r="C154" s="98">
        <v>11220</v>
      </c>
      <c r="D154" s="98">
        <v>11160</v>
      </c>
      <c r="E154" s="98">
        <v>14130</v>
      </c>
      <c r="F154" s="98">
        <v>2230</v>
      </c>
      <c r="G154" s="98">
        <v>7180</v>
      </c>
    </row>
    <row r="155" s="77" customFormat="1" ht="14.25" customHeight="1" spans="1:7">
      <c r="A155" s="91" t="s">
        <v>295</v>
      </c>
      <c r="B155" s="91" t="s">
        <v>2694</v>
      </c>
      <c r="C155" s="98">
        <v>10430</v>
      </c>
      <c r="D155" s="98">
        <v>10380</v>
      </c>
      <c r="E155" s="98">
        <v>13140</v>
      </c>
      <c r="F155" s="98">
        <v>2080</v>
      </c>
      <c r="G155" s="98">
        <v>6650</v>
      </c>
    </row>
    <row r="156" s="77" customFormat="1" ht="14.25" customHeight="1" spans="1:7">
      <c r="A156" s="91" t="s">
        <v>295</v>
      </c>
      <c r="B156" s="91" t="s">
        <v>2695</v>
      </c>
      <c r="C156" s="98">
        <v>10440</v>
      </c>
      <c r="D156" s="98">
        <v>10400</v>
      </c>
      <c r="E156" s="98">
        <v>13150</v>
      </c>
      <c r="F156" s="98">
        <v>2490</v>
      </c>
      <c r="G156" s="98">
        <v>6690</v>
      </c>
    </row>
    <row r="157" s="77" customFormat="1" ht="14.25" customHeight="1" spans="1:7">
      <c r="A157" s="91" t="s">
        <v>295</v>
      </c>
      <c r="B157" s="91" t="s">
        <v>2696</v>
      </c>
      <c r="C157" s="98">
        <v>10970</v>
      </c>
      <c r="D157" s="98">
        <v>10920</v>
      </c>
      <c r="E157" s="98">
        <v>13840</v>
      </c>
      <c r="F157" s="98">
        <v>2420</v>
      </c>
      <c r="G157" s="98">
        <v>7020</v>
      </c>
    </row>
    <row r="158" s="77" customFormat="1" ht="14.25" customHeight="1" spans="1:7">
      <c r="A158" s="91" t="s">
        <v>295</v>
      </c>
      <c r="B158" s="91" t="s">
        <v>2697</v>
      </c>
      <c r="C158" s="98">
        <v>9590</v>
      </c>
      <c r="D158" s="98">
        <v>9540</v>
      </c>
      <c r="E158" s="98">
        <v>12210</v>
      </c>
      <c r="F158" s="98">
        <v>2100</v>
      </c>
      <c r="G158" s="98">
        <v>6130</v>
      </c>
    </row>
    <row r="159" s="77" customFormat="1" ht="14.25" customHeight="1" spans="1:7">
      <c r="A159" s="91" t="s">
        <v>295</v>
      </c>
      <c r="B159" s="91" t="s">
        <v>2698</v>
      </c>
      <c r="C159" s="98">
        <v>11190</v>
      </c>
      <c r="D159" s="98">
        <v>11140</v>
      </c>
      <c r="E159" s="98">
        <v>14090</v>
      </c>
      <c r="F159" s="98">
        <v>2470</v>
      </c>
      <c r="G159" s="98">
        <v>7170</v>
      </c>
    </row>
    <row r="160" s="77" customFormat="1" ht="14.25" customHeight="1" spans="1:7">
      <c r="A160" s="91" t="s">
        <v>295</v>
      </c>
      <c r="B160" s="91" t="s">
        <v>2699</v>
      </c>
      <c r="C160" s="98">
        <v>11180</v>
      </c>
      <c r="D160" s="98">
        <v>11140</v>
      </c>
      <c r="E160" s="98">
        <v>14050</v>
      </c>
      <c r="F160" s="98">
        <v>2270</v>
      </c>
      <c r="G160" s="98">
        <v>7170</v>
      </c>
    </row>
    <row r="161" s="77" customFormat="1" ht="14.25" customHeight="1" spans="1:7">
      <c r="A161" s="91" t="s">
        <v>295</v>
      </c>
      <c r="B161" s="91" t="s">
        <v>2700</v>
      </c>
      <c r="C161" s="98">
        <v>11160</v>
      </c>
      <c r="D161" s="98">
        <v>11120</v>
      </c>
      <c r="E161" s="98">
        <v>14020</v>
      </c>
      <c r="F161" s="98">
        <v>2150</v>
      </c>
      <c r="G161" s="98">
        <v>7160</v>
      </c>
    </row>
    <row r="162" s="77" customFormat="1" ht="14.25" customHeight="1" spans="1:7">
      <c r="A162" s="91" t="s">
        <v>295</v>
      </c>
      <c r="B162" s="91" t="s">
        <v>2701</v>
      </c>
      <c r="C162" s="98">
        <v>9620</v>
      </c>
      <c r="D162" s="98">
        <v>9570</v>
      </c>
      <c r="E162" s="98">
        <v>12320</v>
      </c>
      <c r="F162" s="98">
        <v>2010</v>
      </c>
      <c r="G162" s="98">
        <v>6160</v>
      </c>
    </row>
    <row r="163" s="77" customFormat="1" ht="14.25" customHeight="1" spans="1:7">
      <c r="A163" s="91" t="s">
        <v>295</v>
      </c>
      <c r="B163" s="91" t="s">
        <v>2702</v>
      </c>
      <c r="C163" s="98">
        <v>9320</v>
      </c>
      <c r="D163" s="98">
        <v>9270</v>
      </c>
      <c r="E163" s="98">
        <v>11790</v>
      </c>
      <c r="F163" s="98">
        <v>1920</v>
      </c>
      <c r="G163" s="98">
        <v>5960</v>
      </c>
    </row>
    <row r="164" s="77" customFormat="1" ht="14.25" customHeight="1" spans="1:7">
      <c r="A164" s="91" t="s">
        <v>295</v>
      </c>
      <c r="B164" s="91" t="s">
        <v>2703</v>
      </c>
      <c r="C164" s="98"/>
      <c r="D164" s="98"/>
      <c r="E164" s="98"/>
      <c r="F164" s="98">
        <v>1980</v>
      </c>
      <c r="G164" s="98"/>
    </row>
    <row r="165" s="77" customFormat="1" ht="14.25" customHeight="1" spans="1:7">
      <c r="A165" s="91" t="s">
        <v>295</v>
      </c>
      <c r="B165" s="91" t="s">
        <v>2704</v>
      </c>
      <c r="C165" s="98">
        <v>11060</v>
      </c>
      <c r="D165" s="98">
        <v>11030</v>
      </c>
      <c r="E165" s="98">
        <v>13850</v>
      </c>
      <c r="F165" s="98">
        <v>2170</v>
      </c>
      <c r="G165" s="98">
        <v>7090</v>
      </c>
    </row>
    <row r="166" s="77" customFormat="1" ht="14.25" customHeight="1" spans="1:7">
      <c r="A166" s="91" t="s">
        <v>295</v>
      </c>
      <c r="B166" s="91" t="s">
        <v>2705</v>
      </c>
      <c r="C166" s="98">
        <v>11050</v>
      </c>
      <c r="D166" s="98">
        <v>11010</v>
      </c>
      <c r="E166" s="98">
        <v>13920</v>
      </c>
      <c r="F166" s="98">
        <v>2140</v>
      </c>
      <c r="G166" s="98">
        <v>7080</v>
      </c>
    </row>
    <row r="167" s="77" customFormat="1" ht="14.25" customHeight="1" spans="1:7">
      <c r="A167" s="91" t="s">
        <v>295</v>
      </c>
      <c r="B167" s="91" t="s">
        <v>2706</v>
      </c>
      <c r="C167" s="98">
        <v>10930</v>
      </c>
      <c r="D167" s="98">
        <v>10890</v>
      </c>
      <c r="E167" s="98">
        <v>13790</v>
      </c>
      <c r="F167" s="98">
        <v>2010</v>
      </c>
      <c r="G167" s="98">
        <v>7000</v>
      </c>
    </row>
    <row r="168" s="77" customFormat="1" ht="14.25" customHeight="1" spans="1:7">
      <c r="A168" s="91" t="s">
        <v>295</v>
      </c>
      <c r="B168" s="91" t="s">
        <v>2707</v>
      </c>
      <c r="C168" s="98">
        <v>9420</v>
      </c>
      <c r="D168" s="98">
        <v>9380</v>
      </c>
      <c r="E168" s="98">
        <v>11970</v>
      </c>
      <c r="F168" s="98"/>
      <c r="G168" s="98">
        <v>6040</v>
      </c>
    </row>
    <row r="169" s="77" customFormat="1" ht="14.25" customHeight="1" spans="1:7">
      <c r="A169" s="91" t="s">
        <v>295</v>
      </c>
      <c r="B169" s="91" t="s">
        <v>2708</v>
      </c>
      <c r="C169" s="98"/>
      <c r="D169" s="98"/>
      <c r="E169" s="98"/>
      <c r="F169" s="98">
        <v>2880</v>
      </c>
      <c r="G169" s="98"/>
    </row>
    <row r="170" s="77" customFormat="1" ht="14.25" customHeight="1" spans="1:7">
      <c r="A170" s="91" t="s">
        <v>295</v>
      </c>
      <c r="B170" s="91" t="s">
        <v>2709</v>
      </c>
      <c r="C170" s="98"/>
      <c r="D170" s="98"/>
      <c r="E170" s="98"/>
      <c r="F170" s="98">
        <v>2880</v>
      </c>
      <c r="G170" s="98"/>
    </row>
    <row r="171" s="77" customFormat="1" ht="14.25" customHeight="1" spans="1:7">
      <c r="A171" s="91" t="s">
        <v>295</v>
      </c>
      <c r="B171" s="91" t="s">
        <v>2710</v>
      </c>
      <c r="C171" s="98"/>
      <c r="D171" s="98"/>
      <c r="E171" s="98"/>
      <c r="F171" s="98">
        <v>2880</v>
      </c>
      <c r="G171" s="98"/>
    </row>
    <row r="172" s="77" customFormat="1" ht="14.25" customHeight="1" spans="1:7">
      <c r="A172" s="91" t="s">
        <v>295</v>
      </c>
      <c r="B172" s="91" t="s">
        <v>2711</v>
      </c>
      <c r="C172" s="98"/>
      <c r="D172" s="98"/>
      <c r="E172" s="98"/>
      <c r="F172" s="98">
        <v>2880</v>
      </c>
      <c r="G172" s="98"/>
    </row>
    <row r="173" s="77" customFormat="1" ht="14.25" customHeight="1" spans="1:7">
      <c r="A173" s="91" t="s">
        <v>295</v>
      </c>
      <c r="B173" s="91" t="s">
        <v>2712</v>
      </c>
      <c r="C173" s="98"/>
      <c r="D173" s="98"/>
      <c r="E173" s="98"/>
      <c r="F173" s="98">
        <v>2150</v>
      </c>
      <c r="G173" s="98"/>
    </row>
    <row r="174" s="77" customFormat="1" ht="14.25" customHeight="1" spans="1:7">
      <c r="A174" s="91" t="s">
        <v>295</v>
      </c>
      <c r="B174" s="91" t="s">
        <v>2713</v>
      </c>
      <c r="C174" s="98"/>
      <c r="D174" s="98"/>
      <c r="E174" s="98"/>
      <c r="F174" s="98">
        <v>2030</v>
      </c>
      <c r="G174" s="98"/>
    </row>
    <row r="175" s="77" customFormat="1" ht="14.25" customHeight="1" spans="1:7">
      <c r="A175" s="91" t="s">
        <v>295</v>
      </c>
      <c r="B175" s="91" t="s">
        <v>2714</v>
      </c>
      <c r="C175" s="98"/>
      <c r="D175" s="98"/>
      <c r="E175" s="98"/>
      <c r="F175" s="98">
        <v>2780</v>
      </c>
      <c r="G175" s="98"/>
    </row>
    <row r="176" s="77" customFormat="1" ht="14.25" customHeight="1" spans="1:7">
      <c r="A176" s="91" t="s">
        <v>295</v>
      </c>
      <c r="B176" s="91" t="s">
        <v>2715</v>
      </c>
      <c r="C176" s="98"/>
      <c r="D176" s="98"/>
      <c r="E176" s="98"/>
      <c r="F176" s="98">
        <v>2780</v>
      </c>
      <c r="G176" s="98"/>
    </row>
    <row r="177" s="77" customFormat="1" ht="14.25" customHeight="1" spans="1:7">
      <c r="A177" s="91" t="s">
        <v>295</v>
      </c>
      <c r="B177" s="91" t="s">
        <v>2716</v>
      </c>
      <c r="C177" s="98"/>
      <c r="D177" s="98"/>
      <c r="E177" s="98"/>
      <c r="F177" s="98">
        <v>2780</v>
      </c>
      <c r="G177" s="98"/>
    </row>
    <row r="178" s="77" customFormat="1" ht="14.25" customHeight="1" spans="1:7">
      <c r="A178" s="91" t="s">
        <v>295</v>
      </c>
      <c r="B178" s="91" t="s">
        <v>2717</v>
      </c>
      <c r="C178" s="98"/>
      <c r="D178" s="98"/>
      <c r="E178" s="98"/>
      <c r="F178" s="98">
        <v>2060</v>
      </c>
      <c r="G178" s="98"/>
    </row>
    <row r="179" s="77" customFormat="1" ht="14.25" customHeight="1" spans="1:7">
      <c r="A179" s="91" t="s">
        <v>295</v>
      </c>
      <c r="B179" s="91" t="s">
        <v>2718</v>
      </c>
      <c r="C179" s="98"/>
      <c r="D179" s="98"/>
      <c r="E179" s="98"/>
      <c r="F179" s="98">
        <v>2120</v>
      </c>
      <c r="G179" s="98"/>
    </row>
    <row r="180" s="77" customFormat="1" ht="14.25" customHeight="1" spans="1:7">
      <c r="A180" s="91" t="s">
        <v>295</v>
      </c>
      <c r="B180" s="91" t="s">
        <v>2719</v>
      </c>
      <c r="C180" s="98"/>
      <c r="D180" s="98"/>
      <c r="E180" s="98"/>
      <c r="F180" s="98">
        <v>2340</v>
      </c>
      <c r="G180" s="98"/>
    </row>
    <row r="181" s="77" customFormat="1" ht="14.25" customHeight="1" spans="1:7">
      <c r="A181" s="91" t="s">
        <v>295</v>
      </c>
      <c r="B181" s="91" t="s">
        <v>2720</v>
      </c>
      <c r="C181" s="98"/>
      <c r="D181" s="98"/>
      <c r="E181" s="98"/>
      <c r="F181" s="98">
        <v>2340</v>
      </c>
      <c r="G181" s="98"/>
    </row>
    <row r="182" s="77" customFormat="1" ht="14.25" customHeight="1" spans="1:7">
      <c r="A182" s="91" t="s">
        <v>295</v>
      </c>
      <c r="B182" s="91" t="s">
        <v>2721</v>
      </c>
      <c r="C182" s="98"/>
      <c r="D182" s="98"/>
      <c r="E182" s="98"/>
      <c r="F182" s="98">
        <v>2340</v>
      </c>
      <c r="G182" s="98"/>
    </row>
    <row r="183" s="77" customFormat="1" ht="14.25" customHeight="1" spans="1:7">
      <c r="A183" s="91" t="s">
        <v>295</v>
      </c>
      <c r="B183" s="91" t="s">
        <v>2722</v>
      </c>
      <c r="C183" s="98"/>
      <c r="D183" s="98"/>
      <c r="E183" s="98"/>
      <c r="F183" s="98">
        <v>2340</v>
      </c>
      <c r="G183" s="98"/>
    </row>
    <row r="184" s="77" customFormat="1" ht="14.25" customHeight="1" spans="1:7">
      <c r="A184" s="91" t="s">
        <v>295</v>
      </c>
      <c r="B184" s="91" t="s">
        <v>2723</v>
      </c>
      <c r="C184" s="98"/>
      <c r="D184" s="98"/>
      <c r="E184" s="98"/>
      <c r="F184" s="98">
        <v>2340</v>
      </c>
      <c r="G184" s="98"/>
    </row>
    <row r="185" s="77" customFormat="1" ht="14.25" customHeight="1" spans="1:7">
      <c r="A185" s="91" t="s">
        <v>295</v>
      </c>
      <c r="B185" s="91" t="s">
        <v>2724</v>
      </c>
      <c r="C185" s="98"/>
      <c r="D185" s="98"/>
      <c r="E185" s="98"/>
      <c r="F185" s="98">
        <v>2530</v>
      </c>
      <c r="G185" s="98"/>
    </row>
    <row r="186" s="77" customFormat="1" ht="14.25" customHeight="1" spans="1:7">
      <c r="A186" s="91" t="s">
        <v>295</v>
      </c>
      <c r="B186" s="91" t="s">
        <v>2725</v>
      </c>
      <c r="C186" s="98"/>
      <c r="D186" s="98"/>
      <c r="E186" s="98"/>
      <c r="F186" s="98">
        <v>2550</v>
      </c>
      <c r="G186" s="98"/>
    </row>
    <row r="187" s="77" customFormat="1" ht="14.25" customHeight="1" spans="1:7">
      <c r="A187" s="91" t="s">
        <v>295</v>
      </c>
      <c r="B187" s="91" t="s">
        <v>2726</v>
      </c>
      <c r="C187" s="98"/>
      <c r="D187" s="98"/>
      <c r="E187" s="98"/>
      <c r="F187" s="98">
        <v>2070</v>
      </c>
      <c r="G187" s="98"/>
    </row>
    <row r="188" s="77" customFormat="1" ht="14.25" customHeight="1" spans="1:7">
      <c r="A188" s="91" t="s">
        <v>295</v>
      </c>
      <c r="B188" s="91" t="s">
        <v>2727</v>
      </c>
      <c r="C188" s="98"/>
      <c r="D188" s="98"/>
      <c r="E188" s="98"/>
      <c r="F188" s="98">
        <v>2340</v>
      </c>
      <c r="G188" s="98"/>
    </row>
    <row r="189" s="77" customFormat="1" ht="14.25" customHeight="1" spans="1:7">
      <c r="A189" s="101" t="s">
        <v>295</v>
      </c>
      <c r="B189" s="110" t="s">
        <v>2728</v>
      </c>
      <c r="C189" s="105"/>
      <c r="D189" s="105"/>
      <c r="E189" s="105"/>
      <c r="F189" s="105">
        <v>2050</v>
      </c>
      <c r="G189" s="105"/>
    </row>
    <row r="190" s="77" customFormat="1" ht="14.25" customHeight="1" spans="1:7">
      <c r="A190" s="96" t="s">
        <v>303</v>
      </c>
      <c r="B190" s="86" t="s">
        <v>2729</v>
      </c>
      <c r="C190" s="97">
        <v>8830</v>
      </c>
      <c r="D190" s="97">
        <v>8790</v>
      </c>
      <c r="E190" s="97">
        <v>11630</v>
      </c>
      <c r="F190" s="97">
        <v>1790</v>
      </c>
      <c r="G190" s="106">
        <v>5550</v>
      </c>
    </row>
    <row r="191" s="77" customFormat="1" ht="14.25" customHeight="1" spans="1:7">
      <c r="A191" s="91" t="s">
        <v>303</v>
      </c>
      <c r="B191" s="91" t="s">
        <v>2730</v>
      </c>
      <c r="C191" s="98">
        <v>9780</v>
      </c>
      <c r="D191" s="98">
        <v>9710</v>
      </c>
      <c r="E191" s="98">
        <v>12550</v>
      </c>
      <c r="F191" s="98">
        <v>1980</v>
      </c>
      <c r="G191" s="107">
        <v>6130</v>
      </c>
    </row>
    <row r="192" s="77" customFormat="1" ht="14.25" customHeight="1" spans="1:7">
      <c r="A192" s="91" t="s">
        <v>303</v>
      </c>
      <c r="B192" s="91" t="s">
        <v>2731</v>
      </c>
      <c r="C192" s="98">
        <v>8180</v>
      </c>
      <c r="D192" s="98">
        <v>8140</v>
      </c>
      <c r="E192" s="98">
        <v>10870</v>
      </c>
      <c r="F192" s="98">
        <v>1690</v>
      </c>
      <c r="G192" s="107">
        <v>5140</v>
      </c>
    </row>
    <row r="193" s="77" customFormat="1" ht="14.25" customHeight="1" spans="1:7">
      <c r="A193" s="91" t="s">
        <v>303</v>
      </c>
      <c r="B193" s="91" t="s">
        <v>2732</v>
      </c>
      <c r="C193" s="98">
        <v>8440</v>
      </c>
      <c r="D193" s="98">
        <v>8390</v>
      </c>
      <c r="E193" s="98">
        <v>11210</v>
      </c>
      <c r="F193" s="98">
        <v>1600</v>
      </c>
      <c r="G193" s="107">
        <v>5300</v>
      </c>
    </row>
    <row r="194" s="77" customFormat="1" ht="14.25" customHeight="1" spans="1:7">
      <c r="A194" s="91" t="s">
        <v>303</v>
      </c>
      <c r="B194" s="91" t="s">
        <v>2733</v>
      </c>
      <c r="C194" s="98">
        <v>8780</v>
      </c>
      <c r="D194" s="98">
        <v>8730</v>
      </c>
      <c r="E194" s="98">
        <v>11550</v>
      </c>
      <c r="F194" s="98">
        <v>1660</v>
      </c>
      <c r="G194" s="107">
        <v>5520</v>
      </c>
    </row>
    <row r="195" s="77" customFormat="1" ht="14.25" customHeight="1" spans="1:7">
      <c r="A195" s="91" t="s">
        <v>303</v>
      </c>
      <c r="B195" s="91" t="s">
        <v>2734</v>
      </c>
      <c r="C195" s="98">
        <v>8720</v>
      </c>
      <c r="D195" s="98">
        <v>8670</v>
      </c>
      <c r="E195" s="98">
        <v>11450</v>
      </c>
      <c r="F195" s="98">
        <v>1720</v>
      </c>
      <c r="G195" s="107">
        <v>5480</v>
      </c>
    </row>
    <row r="196" s="77" customFormat="1" ht="14.25" customHeight="1" spans="1:7">
      <c r="A196" s="91" t="s">
        <v>303</v>
      </c>
      <c r="B196" s="91" t="s">
        <v>2735</v>
      </c>
      <c r="C196" s="98">
        <v>8460</v>
      </c>
      <c r="D196" s="98">
        <v>8410</v>
      </c>
      <c r="E196" s="98">
        <v>11230</v>
      </c>
      <c r="F196" s="98">
        <v>1730</v>
      </c>
      <c r="G196" s="107">
        <v>5310</v>
      </c>
    </row>
    <row r="197" s="77" customFormat="1" ht="14.25" customHeight="1" spans="1:7">
      <c r="A197" s="91" t="s">
        <v>303</v>
      </c>
      <c r="B197" s="91" t="s">
        <v>2736</v>
      </c>
      <c r="C197" s="98">
        <v>8790</v>
      </c>
      <c r="D197" s="98">
        <v>8730</v>
      </c>
      <c r="E197" s="98">
        <v>11560</v>
      </c>
      <c r="F197" s="98">
        <v>1750</v>
      </c>
      <c r="G197" s="107">
        <v>5520</v>
      </c>
    </row>
    <row r="198" s="77" customFormat="1" ht="14.25" customHeight="1" spans="1:7">
      <c r="A198" s="91" t="s">
        <v>303</v>
      </c>
      <c r="B198" s="91" t="s">
        <v>2737</v>
      </c>
      <c r="C198" s="98">
        <v>8720</v>
      </c>
      <c r="D198" s="98">
        <v>8680</v>
      </c>
      <c r="E198" s="98">
        <v>11470</v>
      </c>
      <c r="F198" s="98"/>
      <c r="G198" s="107">
        <v>5480</v>
      </c>
    </row>
    <row r="199" s="77" customFormat="1" ht="14.25" customHeight="1" spans="1:7">
      <c r="A199" s="91" t="s">
        <v>303</v>
      </c>
      <c r="B199" s="91" t="s">
        <v>2738</v>
      </c>
      <c r="C199" s="98">
        <v>8690</v>
      </c>
      <c r="D199" s="98">
        <v>8630</v>
      </c>
      <c r="E199" s="98">
        <v>11350</v>
      </c>
      <c r="F199" s="98">
        <v>1600</v>
      </c>
      <c r="G199" s="107">
        <v>5450</v>
      </c>
    </row>
    <row r="200" s="77" customFormat="1" ht="14.25" customHeight="1" spans="1:7">
      <c r="A200" s="91" t="s">
        <v>303</v>
      </c>
      <c r="B200" s="91" t="s">
        <v>2739</v>
      </c>
      <c r="C200" s="98"/>
      <c r="D200" s="98"/>
      <c r="E200" s="98"/>
      <c r="F200" s="98">
        <v>1510</v>
      </c>
      <c r="G200" s="107"/>
    </row>
    <row r="201" s="77" customFormat="1" ht="14.25" customHeight="1" spans="1:7">
      <c r="A201" s="91" t="s">
        <v>303</v>
      </c>
      <c r="B201" s="91" t="s">
        <v>2740</v>
      </c>
      <c r="C201" s="98">
        <v>8440</v>
      </c>
      <c r="D201" s="98">
        <v>8390</v>
      </c>
      <c r="E201" s="98">
        <v>10930</v>
      </c>
      <c r="F201" s="98">
        <v>1500</v>
      </c>
      <c r="G201" s="107">
        <v>5300</v>
      </c>
    </row>
    <row r="202" s="77" customFormat="1" ht="14.25" customHeight="1" spans="1:7">
      <c r="A202" s="91" t="s">
        <v>303</v>
      </c>
      <c r="B202" s="91" t="s">
        <v>2741</v>
      </c>
      <c r="C202" s="98">
        <v>8530</v>
      </c>
      <c r="D202" s="98">
        <v>8490</v>
      </c>
      <c r="E202" s="98">
        <v>11160</v>
      </c>
      <c r="F202" s="98">
        <v>1580</v>
      </c>
      <c r="G202" s="107">
        <v>5360</v>
      </c>
    </row>
    <row r="203" s="77" customFormat="1" ht="14.25" customHeight="1" spans="1:7">
      <c r="A203" s="91" t="s">
        <v>303</v>
      </c>
      <c r="B203" s="91" t="s">
        <v>2742</v>
      </c>
      <c r="C203" s="98">
        <v>8130</v>
      </c>
      <c r="D203" s="98">
        <v>8070</v>
      </c>
      <c r="E203" s="98">
        <v>10820</v>
      </c>
      <c r="F203" s="98">
        <v>1690</v>
      </c>
      <c r="G203" s="107">
        <v>5100</v>
      </c>
    </row>
    <row r="204" s="77" customFormat="1" ht="14.25" customHeight="1" spans="1:7">
      <c r="A204" s="91" t="s">
        <v>303</v>
      </c>
      <c r="B204" s="91" t="s">
        <v>2743</v>
      </c>
      <c r="C204" s="98">
        <v>8350</v>
      </c>
      <c r="D204" s="98">
        <v>8290</v>
      </c>
      <c r="E204" s="98">
        <v>11080</v>
      </c>
      <c r="F204" s="98">
        <v>1450</v>
      </c>
      <c r="G204" s="107">
        <v>5240</v>
      </c>
    </row>
    <row r="205" s="77" customFormat="1" ht="14.25" customHeight="1" spans="1:7">
      <c r="A205" s="91" t="s">
        <v>303</v>
      </c>
      <c r="B205" s="91" t="s">
        <v>2744</v>
      </c>
      <c r="C205" s="98">
        <v>7190</v>
      </c>
      <c r="D205" s="98">
        <v>7130</v>
      </c>
      <c r="E205" s="98">
        <v>9490</v>
      </c>
      <c r="F205" s="98">
        <v>1470</v>
      </c>
      <c r="G205" s="107">
        <v>4510</v>
      </c>
    </row>
    <row r="206" s="77" customFormat="1" ht="14.25" customHeight="1" spans="1:7">
      <c r="A206" s="91" t="s">
        <v>303</v>
      </c>
      <c r="B206" s="91" t="s">
        <v>2745</v>
      </c>
      <c r="C206" s="98">
        <v>7000</v>
      </c>
      <c r="D206" s="98">
        <v>6950</v>
      </c>
      <c r="E206" s="98">
        <v>9170</v>
      </c>
      <c r="F206" s="98">
        <v>1400</v>
      </c>
      <c r="G206" s="107">
        <v>4380</v>
      </c>
    </row>
    <row r="207" s="77" customFormat="1" ht="14.25" customHeight="1" spans="1:7">
      <c r="A207" s="91" t="s">
        <v>303</v>
      </c>
      <c r="B207" s="91" t="s">
        <v>2746</v>
      </c>
      <c r="C207" s="98">
        <v>6950</v>
      </c>
      <c r="D207" s="98">
        <v>6900</v>
      </c>
      <c r="E207" s="98">
        <v>9110</v>
      </c>
      <c r="F207" s="98">
        <v>1790</v>
      </c>
      <c r="G207" s="107">
        <v>4360</v>
      </c>
    </row>
    <row r="208" s="77" customFormat="1" ht="14.25" customHeight="1" spans="1:7">
      <c r="A208" s="91" t="s">
        <v>303</v>
      </c>
      <c r="B208" s="91" t="s">
        <v>2747</v>
      </c>
      <c r="C208" s="98">
        <v>9470</v>
      </c>
      <c r="D208" s="98">
        <v>9410</v>
      </c>
      <c r="E208" s="98">
        <v>12330</v>
      </c>
      <c r="F208" s="98">
        <v>1770</v>
      </c>
      <c r="G208" s="107">
        <v>5940</v>
      </c>
    </row>
    <row r="209" s="77" customFormat="1" ht="14.25" customHeight="1" spans="1:7">
      <c r="A209" s="91" t="s">
        <v>303</v>
      </c>
      <c r="B209" s="91" t="s">
        <v>568</v>
      </c>
      <c r="C209" s="98">
        <v>8740</v>
      </c>
      <c r="D209" s="98">
        <v>8700</v>
      </c>
      <c r="E209" s="98">
        <v>11500</v>
      </c>
      <c r="F209" s="98">
        <v>1730</v>
      </c>
      <c r="G209" s="107">
        <v>5490</v>
      </c>
    </row>
    <row r="210" s="77" customFormat="1" ht="14.25" customHeight="1" spans="1:7">
      <c r="A210" s="91" t="s">
        <v>303</v>
      </c>
      <c r="B210" s="91" t="s">
        <v>2748</v>
      </c>
      <c r="C210" s="98">
        <v>8710</v>
      </c>
      <c r="D210" s="98">
        <v>8660</v>
      </c>
      <c r="E210" s="98">
        <v>11440</v>
      </c>
      <c r="F210" s="98">
        <v>1740</v>
      </c>
      <c r="G210" s="107">
        <v>5470</v>
      </c>
    </row>
    <row r="211" s="77" customFormat="1" ht="14.25" customHeight="1" spans="1:7">
      <c r="A211" s="91" t="s">
        <v>303</v>
      </c>
      <c r="B211" s="91" t="s">
        <v>2749</v>
      </c>
      <c r="C211" s="98">
        <v>9480</v>
      </c>
      <c r="D211" s="98">
        <v>9430</v>
      </c>
      <c r="E211" s="98">
        <v>12360</v>
      </c>
      <c r="F211" s="98">
        <v>1820</v>
      </c>
      <c r="G211" s="107">
        <v>5950</v>
      </c>
    </row>
    <row r="212" s="77" customFormat="1" ht="14.25" customHeight="1" spans="1:7">
      <c r="A212" s="91" t="s">
        <v>303</v>
      </c>
      <c r="B212" s="91" t="s">
        <v>2750</v>
      </c>
      <c r="C212" s="98">
        <v>9070</v>
      </c>
      <c r="D212" s="98">
        <v>9020</v>
      </c>
      <c r="E212" s="98">
        <v>11720</v>
      </c>
      <c r="F212" s="98">
        <v>1850</v>
      </c>
      <c r="G212" s="107">
        <v>5700</v>
      </c>
    </row>
    <row r="213" s="77" customFormat="1" ht="14.25" customHeight="1" spans="1:7">
      <c r="A213" s="91" t="s">
        <v>303</v>
      </c>
      <c r="B213" s="91" t="s">
        <v>2751</v>
      </c>
      <c r="C213" s="98">
        <v>9030</v>
      </c>
      <c r="D213" s="98">
        <v>8980</v>
      </c>
      <c r="E213" s="98">
        <v>11670</v>
      </c>
      <c r="F213" s="98">
        <v>1690</v>
      </c>
      <c r="G213" s="107">
        <v>5670</v>
      </c>
    </row>
    <row r="214" s="77" customFormat="1" ht="14.25" customHeight="1" spans="1:7">
      <c r="A214" s="91" t="s">
        <v>303</v>
      </c>
      <c r="B214" s="91" t="s">
        <v>2752</v>
      </c>
      <c r="C214" s="98">
        <v>8090</v>
      </c>
      <c r="D214" s="98">
        <v>8030</v>
      </c>
      <c r="E214" s="98">
        <v>10780</v>
      </c>
      <c r="F214" s="98">
        <v>1570</v>
      </c>
      <c r="G214" s="107">
        <v>5070</v>
      </c>
    </row>
    <row r="215" s="77" customFormat="1" ht="14.25" customHeight="1" spans="1:7">
      <c r="A215" s="91" t="s">
        <v>303</v>
      </c>
      <c r="B215" s="91" t="s">
        <v>2753</v>
      </c>
      <c r="C215" s="98">
        <v>7950</v>
      </c>
      <c r="D215" s="98">
        <v>7900</v>
      </c>
      <c r="E215" s="98">
        <v>10560</v>
      </c>
      <c r="F215" s="98">
        <v>1630</v>
      </c>
      <c r="G215" s="107">
        <v>4990</v>
      </c>
    </row>
    <row r="216" s="77" customFormat="1" ht="14.25" customHeight="1" spans="1:7">
      <c r="A216" s="91" t="s">
        <v>303</v>
      </c>
      <c r="B216" s="91" t="s">
        <v>2754</v>
      </c>
      <c r="C216" s="98">
        <v>8490</v>
      </c>
      <c r="D216" s="98">
        <v>8440</v>
      </c>
      <c r="E216" s="98">
        <v>11260</v>
      </c>
      <c r="F216" s="98">
        <v>1690</v>
      </c>
      <c r="G216" s="107">
        <v>5330</v>
      </c>
    </row>
    <row r="217" s="77" customFormat="1" ht="14.25" customHeight="1" spans="1:7">
      <c r="A217" s="91" t="s">
        <v>303</v>
      </c>
      <c r="B217" s="91" t="s">
        <v>2755</v>
      </c>
      <c r="C217" s="98">
        <v>8200</v>
      </c>
      <c r="D217" s="98">
        <v>8150</v>
      </c>
      <c r="E217" s="98">
        <v>10910</v>
      </c>
      <c r="F217" s="98">
        <v>1670</v>
      </c>
      <c r="G217" s="107">
        <v>5150</v>
      </c>
    </row>
    <row r="218" s="77" customFormat="1" ht="14.25" customHeight="1" spans="1:7">
      <c r="A218" s="91" t="s">
        <v>303</v>
      </c>
      <c r="B218" s="91" t="s">
        <v>2756</v>
      </c>
      <c r="C218" s="98"/>
      <c r="D218" s="98"/>
      <c r="E218" s="98"/>
      <c r="F218" s="98">
        <v>2040</v>
      </c>
      <c r="G218" s="107"/>
    </row>
    <row r="219" s="77" customFormat="1" ht="14.25" customHeight="1" spans="1:7">
      <c r="A219" s="91" t="s">
        <v>303</v>
      </c>
      <c r="B219" s="91" t="s">
        <v>2757</v>
      </c>
      <c r="C219" s="98"/>
      <c r="D219" s="98"/>
      <c r="E219" s="98"/>
      <c r="F219" s="98">
        <v>2040</v>
      </c>
      <c r="G219" s="107"/>
    </row>
    <row r="220" s="77" customFormat="1" ht="14.25" customHeight="1" spans="1:7">
      <c r="A220" s="91" t="s">
        <v>303</v>
      </c>
      <c r="B220" s="91" t="s">
        <v>2758</v>
      </c>
      <c r="C220" s="98"/>
      <c r="D220" s="98"/>
      <c r="E220" s="98"/>
      <c r="F220" s="98">
        <v>2040</v>
      </c>
      <c r="G220" s="107"/>
    </row>
    <row r="221" s="77" customFormat="1" ht="14.25" customHeight="1" spans="1:7">
      <c r="A221" s="91" t="s">
        <v>303</v>
      </c>
      <c r="B221" s="91" t="s">
        <v>2759</v>
      </c>
      <c r="C221" s="98"/>
      <c r="D221" s="98"/>
      <c r="E221" s="98"/>
      <c r="F221" s="98">
        <v>2040</v>
      </c>
      <c r="G221" s="107"/>
    </row>
    <row r="222" s="77" customFormat="1" ht="14.25" customHeight="1" spans="1:7">
      <c r="A222" s="91" t="s">
        <v>303</v>
      </c>
      <c r="B222" s="91" t="s">
        <v>2760</v>
      </c>
      <c r="C222" s="98"/>
      <c r="D222" s="98"/>
      <c r="E222" s="98"/>
      <c r="F222" s="98">
        <v>2040</v>
      </c>
      <c r="G222" s="107"/>
    </row>
    <row r="223" s="77" customFormat="1" ht="14.25" customHeight="1" spans="1:7">
      <c r="A223" s="91" t="s">
        <v>303</v>
      </c>
      <c r="B223" s="91" t="s">
        <v>2761</v>
      </c>
      <c r="C223" s="98"/>
      <c r="D223" s="98"/>
      <c r="E223" s="98"/>
      <c r="F223" s="98">
        <v>1930</v>
      </c>
      <c r="G223" s="107"/>
    </row>
    <row r="224" s="77" customFormat="1" ht="14.25" customHeight="1" spans="1:7">
      <c r="A224" s="91" t="s">
        <v>303</v>
      </c>
      <c r="B224" s="91" t="s">
        <v>2762</v>
      </c>
      <c r="C224" s="98"/>
      <c r="D224" s="98"/>
      <c r="E224" s="98"/>
      <c r="F224" s="98">
        <v>1930</v>
      </c>
      <c r="G224" s="107"/>
    </row>
    <row r="225" s="77" customFormat="1" ht="14.25" customHeight="1" spans="1:7">
      <c r="A225" s="91" t="s">
        <v>303</v>
      </c>
      <c r="B225" s="91" t="s">
        <v>2763</v>
      </c>
      <c r="C225" s="98"/>
      <c r="D225" s="98"/>
      <c r="E225" s="98"/>
      <c r="F225" s="98">
        <v>1930</v>
      </c>
      <c r="G225" s="107"/>
    </row>
    <row r="226" s="77" customFormat="1" ht="14.25" customHeight="1" spans="1:7">
      <c r="A226" s="91" t="s">
        <v>303</v>
      </c>
      <c r="B226" s="91" t="s">
        <v>2764</v>
      </c>
      <c r="C226" s="98"/>
      <c r="D226" s="98"/>
      <c r="E226" s="98"/>
      <c r="F226" s="98">
        <v>1700</v>
      </c>
      <c r="G226" s="107"/>
    </row>
    <row r="227" s="77" customFormat="1" ht="14.25" customHeight="1" spans="1:7">
      <c r="A227" s="91" t="s">
        <v>303</v>
      </c>
      <c r="B227" s="91" t="s">
        <v>3057</v>
      </c>
      <c r="C227" s="98"/>
      <c r="D227" s="98"/>
      <c r="E227" s="98"/>
      <c r="F227" s="98">
        <v>1520</v>
      </c>
      <c r="G227" s="107"/>
    </row>
    <row r="228" s="77" customFormat="1" ht="14.25" customHeight="1" spans="1:7">
      <c r="A228" s="91" t="s">
        <v>303</v>
      </c>
      <c r="B228" s="91" t="s">
        <v>3058</v>
      </c>
      <c r="C228" s="98"/>
      <c r="D228" s="98"/>
      <c r="E228" s="98"/>
      <c r="F228" s="98">
        <v>1520</v>
      </c>
      <c r="G228" s="107"/>
    </row>
    <row r="229" s="77" customFormat="1" ht="14.25" customHeight="1" spans="1:7">
      <c r="A229" s="91" t="s">
        <v>303</v>
      </c>
      <c r="B229" s="91" t="s">
        <v>3059</v>
      </c>
      <c r="C229" s="98"/>
      <c r="D229" s="98"/>
      <c r="E229" s="98"/>
      <c r="F229" s="98">
        <v>1520</v>
      </c>
      <c r="G229" s="107"/>
    </row>
    <row r="230" s="77" customFormat="1" ht="14.25" customHeight="1" spans="1:7">
      <c r="A230" s="91" t="s">
        <v>303</v>
      </c>
      <c r="B230" s="91" t="s">
        <v>2768</v>
      </c>
      <c r="C230" s="98"/>
      <c r="D230" s="98"/>
      <c r="E230" s="98"/>
      <c r="F230" s="98">
        <v>1820</v>
      </c>
      <c r="G230" s="107"/>
    </row>
    <row r="231" s="77" customFormat="1" ht="14.25" customHeight="1" spans="1:7">
      <c r="A231" s="91" t="s">
        <v>303</v>
      </c>
      <c r="B231" s="91" t="s">
        <v>2769</v>
      </c>
      <c r="C231" s="98"/>
      <c r="D231" s="98"/>
      <c r="E231" s="98"/>
      <c r="F231" s="98">
        <v>1760</v>
      </c>
      <c r="G231" s="107"/>
    </row>
    <row r="232" s="77" customFormat="1" ht="14.25" customHeight="1" spans="1:7">
      <c r="A232" s="91" t="s">
        <v>303</v>
      </c>
      <c r="B232" s="91" t="s">
        <v>3060</v>
      </c>
      <c r="C232" s="98"/>
      <c r="D232" s="98"/>
      <c r="E232" s="98"/>
      <c r="F232" s="98">
        <v>1840</v>
      </c>
      <c r="G232" s="107"/>
    </row>
    <row r="233" s="77" customFormat="1" ht="14.25" customHeight="1" spans="1:7">
      <c r="A233" s="108" t="s">
        <v>303</v>
      </c>
      <c r="B233" s="100" t="s">
        <v>2771</v>
      </c>
      <c r="C233" s="102"/>
      <c r="D233" s="102"/>
      <c r="E233" s="102"/>
      <c r="F233" s="102">
        <v>1770</v>
      </c>
      <c r="G233" s="109"/>
    </row>
    <row r="234" s="77" customFormat="1" ht="14.25" customHeight="1" spans="1:7">
      <c r="A234" s="96" t="s">
        <v>311</v>
      </c>
      <c r="B234" s="86" t="s">
        <v>2772</v>
      </c>
      <c r="C234" s="98">
        <v>6980</v>
      </c>
      <c r="D234" s="98">
        <v>6970</v>
      </c>
      <c r="E234" s="98">
        <v>8720</v>
      </c>
      <c r="F234" s="98">
        <v>1350</v>
      </c>
      <c r="G234" s="98">
        <v>4280</v>
      </c>
    </row>
    <row r="235" s="77" customFormat="1" ht="14.25" customHeight="1" spans="1:7">
      <c r="A235" s="91" t="s">
        <v>311</v>
      </c>
      <c r="B235" s="91" t="s">
        <v>2773</v>
      </c>
      <c r="C235" s="98">
        <v>7620</v>
      </c>
      <c r="D235" s="98">
        <v>7580</v>
      </c>
      <c r="E235" s="98">
        <v>9360</v>
      </c>
      <c r="F235" s="98">
        <v>1490</v>
      </c>
      <c r="G235" s="98">
        <v>4650</v>
      </c>
    </row>
    <row r="236" s="77" customFormat="1" ht="14.25" customHeight="1" spans="1:7">
      <c r="A236" s="91" t="s">
        <v>311</v>
      </c>
      <c r="B236" s="91" t="s">
        <v>2774</v>
      </c>
      <c r="C236" s="98">
        <v>6650</v>
      </c>
      <c r="D236" s="98">
        <v>6630</v>
      </c>
      <c r="E236" s="98">
        <v>8330</v>
      </c>
      <c r="F236" s="98">
        <v>1250</v>
      </c>
      <c r="G236" s="98">
        <v>4070</v>
      </c>
    </row>
    <row r="237" s="77" customFormat="1" ht="14.25" customHeight="1" spans="1:7">
      <c r="A237" s="91" t="s">
        <v>311</v>
      </c>
      <c r="B237" s="91" t="s">
        <v>2775</v>
      </c>
      <c r="C237" s="98">
        <v>5850</v>
      </c>
      <c r="D237" s="98">
        <v>5820</v>
      </c>
      <c r="E237" s="98">
        <v>7260</v>
      </c>
      <c r="F237" s="98">
        <v>1140</v>
      </c>
      <c r="G237" s="98">
        <v>3570</v>
      </c>
    </row>
    <row r="238" s="77" customFormat="1" ht="14.25" customHeight="1" spans="1:7">
      <c r="A238" s="91" t="s">
        <v>311</v>
      </c>
      <c r="B238" s="91" t="s">
        <v>2776</v>
      </c>
      <c r="C238" s="98">
        <v>6920</v>
      </c>
      <c r="D238" s="98">
        <v>6890</v>
      </c>
      <c r="E238" s="98">
        <v>8640</v>
      </c>
      <c r="F238" s="98">
        <v>1310</v>
      </c>
      <c r="G238" s="98">
        <v>4230</v>
      </c>
    </row>
    <row r="239" s="77" customFormat="1" ht="14.25" customHeight="1" spans="1:7">
      <c r="A239" s="91" t="s">
        <v>311</v>
      </c>
      <c r="B239" s="91" t="s">
        <v>2777</v>
      </c>
      <c r="C239" s="98">
        <v>6780</v>
      </c>
      <c r="D239" s="98">
        <v>6750</v>
      </c>
      <c r="E239" s="98">
        <v>8440</v>
      </c>
      <c r="F239" s="98">
        <v>1160</v>
      </c>
      <c r="G239" s="98">
        <v>4140</v>
      </c>
    </row>
    <row r="240" s="77" customFormat="1" ht="14.25" customHeight="1" spans="1:7">
      <c r="A240" s="91" t="s">
        <v>311</v>
      </c>
      <c r="B240" s="91" t="s">
        <v>2778</v>
      </c>
      <c r="C240" s="98">
        <v>5420</v>
      </c>
      <c r="D240" s="98">
        <v>5380</v>
      </c>
      <c r="E240" s="98">
        <v>6640</v>
      </c>
      <c r="F240" s="98">
        <v>1020</v>
      </c>
      <c r="G240" s="98">
        <v>3300</v>
      </c>
    </row>
    <row r="241" s="77" customFormat="1" ht="14.25" customHeight="1" spans="1:7">
      <c r="A241" s="91" t="s">
        <v>311</v>
      </c>
      <c r="B241" s="91" t="s">
        <v>2779</v>
      </c>
      <c r="C241" s="98">
        <v>6660</v>
      </c>
      <c r="D241" s="98">
        <v>6640</v>
      </c>
      <c r="E241" s="98">
        <v>8340</v>
      </c>
      <c r="F241" s="98">
        <v>1130</v>
      </c>
      <c r="G241" s="98">
        <v>4080</v>
      </c>
    </row>
    <row r="242" s="77" customFormat="1" ht="14.25" customHeight="1" spans="1:7">
      <c r="A242" s="91" t="s">
        <v>311</v>
      </c>
      <c r="B242" s="91" t="s">
        <v>2780</v>
      </c>
      <c r="C242" s="98">
        <v>6580</v>
      </c>
      <c r="D242" s="98">
        <v>6550</v>
      </c>
      <c r="E242" s="98">
        <v>8090</v>
      </c>
      <c r="F242" s="98">
        <v>1240</v>
      </c>
      <c r="G242" s="98">
        <v>4020</v>
      </c>
    </row>
    <row r="243" s="77" customFormat="1" ht="14.25" customHeight="1" spans="1:7">
      <c r="A243" s="91" t="s">
        <v>311</v>
      </c>
      <c r="B243" s="91" t="s">
        <v>2781</v>
      </c>
      <c r="C243" s="98">
        <v>6000</v>
      </c>
      <c r="D243" s="98">
        <v>5970</v>
      </c>
      <c r="E243" s="98">
        <v>7370</v>
      </c>
      <c r="F243" s="98">
        <v>1070</v>
      </c>
      <c r="G243" s="98">
        <v>3670</v>
      </c>
    </row>
    <row r="244" s="77" customFormat="1" ht="14.25" customHeight="1" spans="1:7">
      <c r="A244" s="91" t="s">
        <v>311</v>
      </c>
      <c r="B244" s="91" t="s">
        <v>2782</v>
      </c>
      <c r="C244" s="98">
        <v>5840</v>
      </c>
      <c r="D244" s="98">
        <v>5810</v>
      </c>
      <c r="E244" s="98">
        <v>7240</v>
      </c>
      <c r="F244" s="98">
        <v>1100</v>
      </c>
      <c r="G244" s="98">
        <v>3560</v>
      </c>
    </row>
    <row r="245" s="77" customFormat="1" ht="14.25" customHeight="1" spans="1:7">
      <c r="A245" s="91" t="s">
        <v>311</v>
      </c>
      <c r="B245" s="91" t="s">
        <v>2783</v>
      </c>
      <c r="C245" s="98">
        <v>6040</v>
      </c>
      <c r="D245" s="98">
        <v>6000</v>
      </c>
      <c r="E245" s="98">
        <v>7420</v>
      </c>
      <c r="F245" s="98">
        <v>1140</v>
      </c>
      <c r="G245" s="98">
        <v>3690</v>
      </c>
    </row>
    <row r="246" s="77" customFormat="1" ht="14.25" customHeight="1" spans="1:7">
      <c r="A246" s="91" t="s">
        <v>311</v>
      </c>
      <c r="B246" s="91" t="s">
        <v>2784</v>
      </c>
      <c r="C246" s="98">
        <v>5890</v>
      </c>
      <c r="D246" s="98">
        <v>5860</v>
      </c>
      <c r="E246" s="98">
        <v>7300</v>
      </c>
      <c r="F246" s="98">
        <v>1110</v>
      </c>
      <c r="G246" s="98">
        <v>3590</v>
      </c>
    </row>
    <row r="247" s="77" customFormat="1" ht="14.25" customHeight="1" spans="1:7">
      <c r="A247" s="91" t="s">
        <v>311</v>
      </c>
      <c r="B247" s="91" t="s">
        <v>2785</v>
      </c>
      <c r="C247" s="98">
        <v>6480</v>
      </c>
      <c r="D247" s="98">
        <v>6450</v>
      </c>
      <c r="E247" s="98">
        <v>8010</v>
      </c>
      <c r="F247" s="98">
        <v>1170</v>
      </c>
      <c r="G247" s="98">
        <v>3960</v>
      </c>
    </row>
    <row r="248" s="77" customFormat="1" ht="14.25" customHeight="1" spans="1:7">
      <c r="A248" s="91" t="s">
        <v>311</v>
      </c>
      <c r="B248" s="91" t="s">
        <v>2786</v>
      </c>
      <c r="C248" s="98">
        <v>6860</v>
      </c>
      <c r="D248" s="98">
        <v>6840</v>
      </c>
      <c r="E248" s="98">
        <v>8520</v>
      </c>
      <c r="F248" s="98">
        <v>1240</v>
      </c>
      <c r="G248" s="98">
        <v>4200</v>
      </c>
    </row>
    <row r="249" s="77" customFormat="1" ht="14.25" customHeight="1" spans="1:7">
      <c r="A249" s="91" t="s">
        <v>311</v>
      </c>
      <c r="B249" s="91" t="s">
        <v>2787</v>
      </c>
      <c r="C249" s="98">
        <v>7180</v>
      </c>
      <c r="D249" s="98">
        <v>7140</v>
      </c>
      <c r="E249" s="98">
        <v>8900</v>
      </c>
      <c r="F249" s="98">
        <v>1350</v>
      </c>
      <c r="G249" s="98">
        <v>4380</v>
      </c>
    </row>
    <row r="250" s="77" customFormat="1" ht="14.25" customHeight="1" spans="1:7">
      <c r="A250" s="91" t="s">
        <v>311</v>
      </c>
      <c r="B250" s="91" t="s">
        <v>2788</v>
      </c>
      <c r="C250" s="98">
        <v>6880</v>
      </c>
      <c r="D250" s="98">
        <v>6860</v>
      </c>
      <c r="E250" s="98">
        <v>8550</v>
      </c>
      <c r="F250" s="98">
        <v>1220</v>
      </c>
      <c r="G250" s="98">
        <v>4210</v>
      </c>
    </row>
    <row r="251" s="77" customFormat="1" ht="14.25" customHeight="1" spans="1:7">
      <c r="A251" s="91" t="s">
        <v>311</v>
      </c>
      <c r="B251" s="91" t="s">
        <v>2789</v>
      </c>
      <c r="C251" s="98"/>
      <c r="D251" s="98"/>
      <c r="E251" s="98"/>
      <c r="F251" s="98">
        <v>1100</v>
      </c>
      <c r="G251" s="98"/>
    </row>
    <row r="252" s="77" customFormat="1" ht="14.25" customHeight="1" spans="1:7">
      <c r="A252" s="91" t="s">
        <v>311</v>
      </c>
      <c r="B252" s="91" t="s">
        <v>2790</v>
      </c>
      <c r="C252" s="98">
        <v>7240</v>
      </c>
      <c r="D252" s="98">
        <v>7200</v>
      </c>
      <c r="E252" s="98">
        <v>9040</v>
      </c>
      <c r="F252" s="98">
        <v>1380</v>
      </c>
      <c r="G252" s="98">
        <v>4420</v>
      </c>
    </row>
    <row r="253" s="77" customFormat="1" ht="14.25" customHeight="1" spans="1:7">
      <c r="A253" s="91" t="s">
        <v>311</v>
      </c>
      <c r="B253" s="91" t="s">
        <v>2791</v>
      </c>
      <c r="C253" s="98">
        <v>6670</v>
      </c>
      <c r="D253" s="98">
        <v>6650</v>
      </c>
      <c r="E253" s="98">
        <v>8350</v>
      </c>
      <c r="F253" s="98">
        <v>1260</v>
      </c>
      <c r="G253" s="98">
        <v>4080</v>
      </c>
    </row>
    <row r="254" s="77" customFormat="1" ht="14.25" customHeight="1" spans="1:7">
      <c r="A254" s="91" t="s">
        <v>311</v>
      </c>
      <c r="B254" s="91" t="s">
        <v>2792</v>
      </c>
      <c r="C254" s="98">
        <v>7630</v>
      </c>
      <c r="D254" s="98">
        <v>7590</v>
      </c>
      <c r="E254" s="98">
        <v>9380</v>
      </c>
      <c r="F254" s="98">
        <v>1320</v>
      </c>
      <c r="G254" s="98">
        <v>4660</v>
      </c>
    </row>
    <row r="255" s="77" customFormat="1" ht="14.25" customHeight="1" spans="1:7">
      <c r="A255" s="91" t="s">
        <v>311</v>
      </c>
      <c r="B255" s="91" t="s">
        <v>2793</v>
      </c>
      <c r="C255" s="98">
        <v>6940</v>
      </c>
      <c r="D255" s="98">
        <v>6890</v>
      </c>
      <c r="E255" s="98">
        <v>8650</v>
      </c>
      <c r="F255" s="98">
        <v>1210</v>
      </c>
      <c r="G255" s="98">
        <v>4230</v>
      </c>
    </row>
    <row r="256" s="77" customFormat="1" ht="14.25" customHeight="1" spans="1:7">
      <c r="A256" s="91" t="s">
        <v>311</v>
      </c>
      <c r="B256" s="91" t="s">
        <v>2794</v>
      </c>
      <c r="C256" s="98">
        <v>7520</v>
      </c>
      <c r="D256" s="98">
        <v>7490</v>
      </c>
      <c r="E256" s="98">
        <v>9240</v>
      </c>
      <c r="F256" s="98">
        <v>1270</v>
      </c>
      <c r="G256" s="98">
        <v>4590</v>
      </c>
    </row>
    <row r="257" s="77" customFormat="1" ht="14.25" customHeight="1" spans="1:7">
      <c r="A257" s="91" t="s">
        <v>311</v>
      </c>
      <c r="B257" s="91" t="s">
        <v>2795</v>
      </c>
      <c r="C257" s="98">
        <v>6280</v>
      </c>
      <c r="D257" s="98">
        <v>6230</v>
      </c>
      <c r="E257" s="98">
        <v>7740</v>
      </c>
      <c r="F257" s="98">
        <v>1080</v>
      </c>
      <c r="G257" s="98">
        <v>3830</v>
      </c>
    </row>
    <row r="258" s="77" customFormat="1" ht="14.25" customHeight="1" spans="1:7">
      <c r="A258" s="91" t="s">
        <v>311</v>
      </c>
      <c r="B258" s="91" t="s">
        <v>2796</v>
      </c>
      <c r="C258" s="98">
        <v>6190</v>
      </c>
      <c r="D258" s="98">
        <v>6160</v>
      </c>
      <c r="E258" s="98">
        <v>7680</v>
      </c>
      <c r="F258" s="98">
        <v>1170</v>
      </c>
      <c r="G258" s="98">
        <v>3780</v>
      </c>
    </row>
    <row r="259" s="77" customFormat="1" ht="14.25" customHeight="1" spans="1:7">
      <c r="A259" s="91" t="s">
        <v>311</v>
      </c>
      <c r="B259" s="91" t="s">
        <v>2797</v>
      </c>
      <c r="C259" s="98">
        <v>7610</v>
      </c>
      <c r="D259" s="98">
        <v>7570</v>
      </c>
      <c r="E259" s="98">
        <v>9350</v>
      </c>
      <c r="F259" s="98">
        <v>1350</v>
      </c>
      <c r="G259" s="98">
        <v>4650</v>
      </c>
    </row>
    <row r="260" s="77" customFormat="1" ht="14.25" customHeight="1" spans="1:7">
      <c r="A260" s="91" t="s">
        <v>311</v>
      </c>
      <c r="B260" s="91" t="s">
        <v>2798</v>
      </c>
      <c r="C260" s="98">
        <v>6920</v>
      </c>
      <c r="D260" s="98">
        <v>6880</v>
      </c>
      <c r="E260" s="98">
        <v>8380</v>
      </c>
      <c r="F260" s="98">
        <v>1160</v>
      </c>
      <c r="G260" s="98">
        <v>4220</v>
      </c>
    </row>
    <row r="261" s="77" customFormat="1" ht="14.25" customHeight="1" spans="1:7">
      <c r="A261" s="91" t="s">
        <v>311</v>
      </c>
      <c r="B261" s="91" t="s">
        <v>2799</v>
      </c>
      <c r="C261" s="98">
        <v>6850</v>
      </c>
      <c r="D261" s="98">
        <v>6810</v>
      </c>
      <c r="E261" s="98">
        <v>8290</v>
      </c>
      <c r="F261" s="98">
        <v>1130</v>
      </c>
      <c r="G261" s="98">
        <v>4180</v>
      </c>
    </row>
    <row r="262" s="77" customFormat="1" ht="14.25" customHeight="1" spans="1:7">
      <c r="A262" s="91" t="s">
        <v>311</v>
      </c>
      <c r="B262" s="91" t="s">
        <v>2800</v>
      </c>
      <c r="C262" s="98">
        <v>5860</v>
      </c>
      <c r="D262" s="98">
        <v>5820</v>
      </c>
      <c r="E262" s="98">
        <v>7640</v>
      </c>
      <c r="F262" s="98">
        <v>1070</v>
      </c>
      <c r="G262" s="98">
        <v>3570</v>
      </c>
    </row>
    <row r="263" s="77" customFormat="1" ht="14.25" customHeight="1" spans="1:7">
      <c r="A263" s="91" t="s">
        <v>311</v>
      </c>
      <c r="B263" s="91" t="s">
        <v>2801</v>
      </c>
      <c r="C263" s="98">
        <v>5870</v>
      </c>
      <c r="D263" s="98">
        <v>5840</v>
      </c>
      <c r="E263" s="98">
        <v>7270</v>
      </c>
      <c r="F263" s="98">
        <v>1190</v>
      </c>
      <c r="G263" s="98">
        <v>3580</v>
      </c>
    </row>
    <row r="264" s="77" customFormat="1" ht="14.25" customHeight="1" spans="1:7">
      <c r="A264" s="91" t="s">
        <v>311</v>
      </c>
      <c r="B264" s="91" t="s">
        <v>2802</v>
      </c>
      <c r="C264" s="98">
        <v>6190</v>
      </c>
      <c r="D264" s="98">
        <v>6150</v>
      </c>
      <c r="E264" s="98">
        <v>7660</v>
      </c>
      <c r="F264" s="98">
        <v>1160</v>
      </c>
      <c r="G264" s="98">
        <v>3770</v>
      </c>
    </row>
    <row r="265" s="77" customFormat="1" ht="14.25" customHeight="1" spans="1:7">
      <c r="A265" s="91" t="s">
        <v>311</v>
      </c>
      <c r="B265" s="91" t="s">
        <v>2803</v>
      </c>
      <c r="C265" s="98"/>
      <c r="D265" s="98"/>
      <c r="E265" s="98"/>
      <c r="F265" s="98">
        <v>1500</v>
      </c>
      <c r="G265" s="98"/>
    </row>
    <row r="266" s="77" customFormat="1" ht="14.25" customHeight="1" spans="1:7">
      <c r="A266" s="91" t="s">
        <v>311</v>
      </c>
      <c r="B266" s="91" t="s">
        <v>2804</v>
      </c>
      <c r="C266" s="98"/>
      <c r="D266" s="98"/>
      <c r="E266" s="98"/>
      <c r="F266" s="98">
        <v>1500</v>
      </c>
      <c r="G266" s="98"/>
    </row>
    <row r="267" s="77" customFormat="1" ht="14.25" customHeight="1" spans="1:7">
      <c r="A267" s="91" t="s">
        <v>311</v>
      </c>
      <c r="B267" s="91" t="s">
        <v>2805</v>
      </c>
      <c r="C267" s="98"/>
      <c r="D267" s="98"/>
      <c r="E267" s="98"/>
      <c r="F267" s="98">
        <v>1500</v>
      </c>
      <c r="G267" s="98"/>
    </row>
    <row r="268" s="77" customFormat="1" ht="14.25" customHeight="1" spans="1:7">
      <c r="A268" s="91" t="s">
        <v>311</v>
      </c>
      <c r="B268" s="91" t="s">
        <v>2806</v>
      </c>
      <c r="C268" s="98"/>
      <c r="D268" s="98"/>
      <c r="E268" s="98"/>
      <c r="F268" s="98">
        <v>1290</v>
      </c>
      <c r="G268" s="98"/>
    </row>
    <row r="269" s="77" customFormat="1" ht="14.25" customHeight="1" spans="1:7">
      <c r="A269" s="91" t="s">
        <v>311</v>
      </c>
      <c r="B269" s="91" t="s">
        <v>2807</v>
      </c>
      <c r="C269" s="98"/>
      <c r="D269" s="98"/>
      <c r="E269" s="98"/>
      <c r="F269" s="98">
        <v>1150</v>
      </c>
      <c r="G269" s="98"/>
    </row>
    <row r="270" s="77" customFormat="1" ht="14.25" customHeight="1" spans="1:7">
      <c r="A270" s="91" t="s">
        <v>311</v>
      </c>
      <c r="B270" s="91" t="s">
        <v>2808</v>
      </c>
      <c r="C270" s="98"/>
      <c r="D270" s="98"/>
      <c r="E270" s="98"/>
      <c r="F270" s="98">
        <v>1380</v>
      </c>
      <c r="G270" s="98"/>
    </row>
    <row r="271" s="77" customFormat="1" ht="14.25" customHeight="1" spans="1:7">
      <c r="A271" s="91" t="s">
        <v>311</v>
      </c>
      <c r="B271" s="91" t="s">
        <v>2809</v>
      </c>
      <c r="C271" s="98"/>
      <c r="D271" s="98"/>
      <c r="E271" s="98"/>
      <c r="F271" s="98">
        <v>1460</v>
      </c>
      <c r="G271" s="98"/>
    </row>
    <row r="272" s="77" customFormat="1" ht="14.25" customHeight="1" spans="1:7">
      <c r="A272" s="91" t="s">
        <v>311</v>
      </c>
      <c r="B272" s="91" t="s">
        <v>2810</v>
      </c>
      <c r="C272" s="98"/>
      <c r="D272" s="98"/>
      <c r="E272" s="98"/>
      <c r="F272" s="98">
        <v>1460</v>
      </c>
      <c r="G272" s="98"/>
    </row>
    <row r="273" s="77" customFormat="1" ht="14.25" customHeight="1" spans="1:7">
      <c r="A273" s="91" t="s">
        <v>311</v>
      </c>
      <c r="B273" s="91" t="s">
        <v>2811</v>
      </c>
      <c r="C273" s="98"/>
      <c r="D273" s="98"/>
      <c r="E273" s="98"/>
      <c r="F273" s="98">
        <v>1490</v>
      </c>
      <c r="G273" s="98"/>
    </row>
    <row r="274" s="77" customFormat="1" ht="14.25" customHeight="1" spans="1:7">
      <c r="A274" s="91" t="s">
        <v>311</v>
      </c>
      <c r="B274" s="91" t="s">
        <v>2812</v>
      </c>
      <c r="C274" s="98"/>
      <c r="D274" s="98"/>
      <c r="E274" s="98"/>
      <c r="F274" s="98">
        <v>1490</v>
      </c>
      <c r="G274" s="98"/>
    </row>
    <row r="275" s="77" customFormat="1" ht="14.25" customHeight="1" spans="1:7">
      <c r="A275" s="91" t="s">
        <v>311</v>
      </c>
      <c r="B275" s="91" t="s">
        <v>2813</v>
      </c>
      <c r="C275" s="98"/>
      <c r="D275" s="98"/>
      <c r="E275" s="98"/>
      <c r="F275" s="98">
        <v>1220</v>
      </c>
      <c r="G275" s="98"/>
    </row>
    <row r="276" s="77" customFormat="1" ht="14.25" customHeight="1" spans="1:7">
      <c r="A276" s="101" t="s">
        <v>311</v>
      </c>
      <c r="B276" s="104" t="s">
        <v>2814</v>
      </c>
      <c r="C276" s="105"/>
      <c r="D276" s="105"/>
      <c r="E276" s="105"/>
      <c r="F276" s="105">
        <v>1380</v>
      </c>
      <c r="G276" s="105"/>
    </row>
    <row r="277" s="77" customFormat="1" ht="14.25" customHeight="1" spans="1:7">
      <c r="A277" s="96" t="s">
        <v>318</v>
      </c>
      <c r="B277" s="86" t="s">
        <v>2815</v>
      </c>
      <c r="C277" s="97">
        <v>5790</v>
      </c>
      <c r="D277" s="97">
        <v>5740</v>
      </c>
      <c r="E277" s="97">
        <v>6730</v>
      </c>
      <c r="F277" s="97">
        <v>1110</v>
      </c>
      <c r="G277" s="106">
        <v>3460</v>
      </c>
    </row>
    <row r="278" s="77" customFormat="1" ht="14.25" customHeight="1" spans="1:7">
      <c r="A278" s="91" t="s">
        <v>318</v>
      </c>
      <c r="B278" s="91" t="s">
        <v>2816</v>
      </c>
      <c r="C278" s="98">
        <v>5740</v>
      </c>
      <c r="D278" s="98">
        <v>5670</v>
      </c>
      <c r="E278" s="98">
        <v>6680</v>
      </c>
      <c r="F278" s="98">
        <v>1070</v>
      </c>
      <c r="G278" s="107">
        <v>3420</v>
      </c>
    </row>
    <row r="279" s="77" customFormat="1" ht="14.25" customHeight="1" spans="1:7">
      <c r="A279" s="91" t="s">
        <v>318</v>
      </c>
      <c r="B279" s="91" t="s">
        <v>2817</v>
      </c>
      <c r="C279" s="98">
        <v>4760</v>
      </c>
      <c r="D279" s="98">
        <v>4720</v>
      </c>
      <c r="E279" s="98">
        <v>5540</v>
      </c>
      <c r="F279" s="98">
        <v>810</v>
      </c>
      <c r="G279" s="107">
        <v>2850</v>
      </c>
    </row>
    <row r="280" s="77" customFormat="1" ht="14.25" customHeight="1" spans="1:7">
      <c r="A280" s="91" t="s">
        <v>318</v>
      </c>
      <c r="B280" s="91" t="s">
        <v>2818</v>
      </c>
      <c r="C280" s="98">
        <v>4010</v>
      </c>
      <c r="D280" s="98">
        <v>3950</v>
      </c>
      <c r="E280" s="98">
        <v>4710</v>
      </c>
      <c r="F280" s="98">
        <v>800</v>
      </c>
      <c r="G280" s="107">
        <v>2390</v>
      </c>
    </row>
    <row r="281" s="77" customFormat="1" ht="14.25" customHeight="1" spans="1:7">
      <c r="A281" s="91" t="s">
        <v>318</v>
      </c>
      <c r="B281" s="91" t="s">
        <v>2819</v>
      </c>
      <c r="C281" s="98">
        <v>4480</v>
      </c>
      <c r="D281" s="98">
        <v>4420</v>
      </c>
      <c r="E281" s="98">
        <v>5230</v>
      </c>
      <c r="F281" s="98">
        <v>870</v>
      </c>
      <c r="G281" s="107">
        <v>2660</v>
      </c>
    </row>
    <row r="282" s="77" customFormat="1" ht="14.25" customHeight="1" spans="1:7">
      <c r="A282" s="91" t="s">
        <v>318</v>
      </c>
      <c r="B282" s="91" t="s">
        <v>2820</v>
      </c>
      <c r="C282" s="98">
        <v>5360</v>
      </c>
      <c r="D282" s="98">
        <v>5300</v>
      </c>
      <c r="E282" s="98">
        <v>6190</v>
      </c>
      <c r="F282" s="98">
        <v>950</v>
      </c>
      <c r="G282" s="107">
        <v>3190</v>
      </c>
    </row>
    <row r="283" s="77" customFormat="1" ht="14.25" customHeight="1" spans="1:7">
      <c r="A283" s="91" t="s">
        <v>318</v>
      </c>
      <c r="B283" s="91" t="s">
        <v>2821</v>
      </c>
      <c r="C283" s="98">
        <v>4950</v>
      </c>
      <c r="D283" s="98">
        <v>4900</v>
      </c>
      <c r="E283" s="98">
        <v>5720</v>
      </c>
      <c r="F283" s="98">
        <v>920</v>
      </c>
      <c r="G283" s="107">
        <v>2950</v>
      </c>
    </row>
    <row r="284" s="77" customFormat="1" ht="14.25" customHeight="1" spans="1:7">
      <c r="A284" s="91" t="s">
        <v>318</v>
      </c>
      <c r="B284" s="91" t="s">
        <v>2822</v>
      </c>
      <c r="C284" s="98">
        <v>5610</v>
      </c>
      <c r="D284" s="98">
        <v>5560</v>
      </c>
      <c r="E284" s="98">
        <v>6520</v>
      </c>
      <c r="F284" s="98">
        <v>1030</v>
      </c>
      <c r="G284" s="107">
        <v>3360</v>
      </c>
    </row>
    <row r="285" s="77" customFormat="1" ht="14.25" customHeight="1" spans="1:7">
      <c r="A285" s="91" t="s">
        <v>318</v>
      </c>
      <c r="B285" s="91" t="s">
        <v>2823</v>
      </c>
      <c r="C285" s="98">
        <v>5340</v>
      </c>
      <c r="D285" s="98">
        <v>5290</v>
      </c>
      <c r="E285" s="98">
        <v>6170</v>
      </c>
      <c r="F285" s="98">
        <v>1080</v>
      </c>
      <c r="G285" s="107">
        <v>3180</v>
      </c>
    </row>
    <row r="286" s="77" customFormat="1" ht="14.25" customHeight="1" spans="1:7">
      <c r="A286" s="91" t="s">
        <v>318</v>
      </c>
      <c r="B286" s="91" t="s">
        <v>2824</v>
      </c>
      <c r="C286" s="98">
        <v>4890</v>
      </c>
      <c r="D286" s="98">
        <v>4840</v>
      </c>
      <c r="E286" s="98">
        <v>5640</v>
      </c>
      <c r="F286" s="98">
        <v>960</v>
      </c>
      <c r="G286" s="107">
        <v>2910</v>
      </c>
    </row>
    <row r="287" s="77" customFormat="1" ht="14.25" customHeight="1" spans="1:7">
      <c r="A287" s="91" t="s">
        <v>318</v>
      </c>
      <c r="B287" s="91" t="s">
        <v>2825</v>
      </c>
      <c r="C287" s="98">
        <v>4960</v>
      </c>
      <c r="D287" s="98">
        <v>4920</v>
      </c>
      <c r="E287" s="98">
        <v>5730</v>
      </c>
      <c r="F287" s="98">
        <v>930</v>
      </c>
      <c r="G287" s="107">
        <v>2960</v>
      </c>
    </row>
    <row r="288" s="77" customFormat="1" ht="14.25" customHeight="1" spans="1:7">
      <c r="A288" s="91" t="s">
        <v>318</v>
      </c>
      <c r="B288" s="91" t="s">
        <v>2826</v>
      </c>
      <c r="C288" s="98">
        <v>4350</v>
      </c>
      <c r="D288" s="98">
        <v>4300</v>
      </c>
      <c r="E288" s="98">
        <v>4900</v>
      </c>
      <c r="F288" s="98">
        <v>820</v>
      </c>
      <c r="G288" s="107">
        <v>2590</v>
      </c>
    </row>
    <row r="289" s="77" customFormat="1" ht="14.25" customHeight="1" spans="1:7">
      <c r="A289" s="91" t="s">
        <v>318</v>
      </c>
      <c r="B289" s="91" t="s">
        <v>2827</v>
      </c>
      <c r="C289" s="98">
        <v>5230</v>
      </c>
      <c r="D289" s="98">
        <v>5170</v>
      </c>
      <c r="E289" s="98">
        <v>6060</v>
      </c>
      <c r="F289" s="98">
        <v>900</v>
      </c>
      <c r="G289" s="107">
        <v>3120</v>
      </c>
    </row>
    <row r="290" s="77" customFormat="1" ht="14.25" customHeight="1" spans="1:7">
      <c r="A290" s="91" t="s">
        <v>318</v>
      </c>
      <c r="B290" s="91" t="s">
        <v>2828</v>
      </c>
      <c r="C290" s="98">
        <v>5550</v>
      </c>
      <c r="D290" s="98">
        <v>5500</v>
      </c>
      <c r="E290" s="98">
        <v>6440</v>
      </c>
      <c r="F290" s="98">
        <v>960</v>
      </c>
      <c r="G290" s="107">
        <v>3320</v>
      </c>
    </row>
    <row r="291" s="77" customFormat="1" ht="14.25" customHeight="1" spans="1:7">
      <c r="A291" s="91" t="s">
        <v>318</v>
      </c>
      <c r="B291" s="91" t="s">
        <v>2829</v>
      </c>
      <c r="C291" s="98">
        <v>5440</v>
      </c>
      <c r="D291" s="98">
        <v>5400</v>
      </c>
      <c r="E291" s="98">
        <v>6320</v>
      </c>
      <c r="F291" s="98">
        <v>930</v>
      </c>
      <c r="G291" s="107">
        <v>3250</v>
      </c>
    </row>
    <row r="292" s="77" customFormat="1" ht="14.25" customHeight="1" spans="1:7">
      <c r="A292" s="91" t="s">
        <v>318</v>
      </c>
      <c r="B292" s="91" t="s">
        <v>2830</v>
      </c>
      <c r="C292" s="98">
        <v>5400</v>
      </c>
      <c r="D292" s="98">
        <v>5360</v>
      </c>
      <c r="E292" s="98">
        <v>6270</v>
      </c>
      <c r="F292" s="98">
        <v>1040</v>
      </c>
      <c r="G292" s="107">
        <v>3230</v>
      </c>
    </row>
    <row r="293" s="77" customFormat="1" ht="14.25" customHeight="1" spans="1:7">
      <c r="A293" s="91" t="s">
        <v>318</v>
      </c>
      <c r="B293" s="91" t="s">
        <v>2831</v>
      </c>
      <c r="C293" s="98">
        <v>5320</v>
      </c>
      <c r="D293" s="98">
        <v>5270</v>
      </c>
      <c r="E293" s="98">
        <v>6160</v>
      </c>
      <c r="F293" s="98">
        <v>990</v>
      </c>
      <c r="G293" s="107">
        <v>3170</v>
      </c>
    </row>
    <row r="294" s="77" customFormat="1" ht="14.25" customHeight="1" spans="1:7">
      <c r="A294" s="91" t="s">
        <v>318</v>
      </c>
      <c r="B294" s="91" t="s">
        <v>2832</v>
      </c>
      <c r="C294" s="98">
        <v>5260</v>
      </c>
      <c r="D294" s="98">
        <v>5210</v>
      </c>
      <c r="E294" s="98">
        <v>6100</v>
      </c>
      <c r="F294" s="98">
        <v>950</v>
      </c>
      <c r="G294" s="107">
        <v>3150</v>
      </c>
    </row>
    <row r="295" s="77" customFormat="1" ht="14.25" customHeight="1" spans="1:7">
      <c r="A295" s="91" t="s">
        <v>318</v>
      </c>
      <c r="B295" s="91" t="s">
        <v>2833</v>
      </c>
      <c r="C295" s="98">
        <v>5610</v>
      </c>
      <c r="D295" s="98">
        <v>5570</v>
      </c>
      <c r="E295" s="98">
        <v>6530</v>
      </c>
      <c r="F295" s="98">
        <v>960</v>
      </c>
      <c r="G295" s="107">
        <v>3360</v>
      </c>
    </row>
    <row r="296" s="77" customFormat="1" ht="14.25" customHeight="1" spans="1:7">
      <c r="A296" s="91" t="s">
        <v>318</v>
      </c>
      <c r="B296" s="91" t="s">
        <v>2834</v>
      </c>
      <c r="C296" s="98">
        <v>5540</v>
      </c>
      <c r="D296" s="98">
        <v>5490</v>
      </c>
      <c r="E296" s="98">
        <v>6430</v>
      </c>
      <c r="F296" s="98">
        <v>980</v>
      </c>
      <c r="G296" s="107">
        <v>3310</v>
      </c>
    </row>
    <row r="297" s="77" customFormat="1" ht="14.25" customHeight="1" spans="1:7">
      <c r="A297" s="91" t="s">
        <v>318</v>
      </c>
      <c r="B297" s="91" t="s">
        <v>2835</v>
      </c>
      <c r="C297" s="98">
        <v>5480</v>
      </c>
      <c r="D297" s="98">
        <v>5420</v>
      </c>
      <c r="E297" s="98">
        <v>6370</v>
      </c>
      <c r="F297" s="98">
        <v>990</v>
      </c>
      <c r="G297" s="107">
        <v>3270</v>
      </c>
    </row>
    <row r="298" s="77" customFormat="1" ht="14.25" customHeight="1" spans="1:7">
      <c r="A298" s="91" t="s">
        <v>318</v>
      </c>
      <c r="B298" s="91" t="s">
        <v>2836</v>
      </c>
      <c r="C298" s="98">
        <v>5090</v>
      </c>
      <c r="D298" s="98">
        <v>5050</v>
      </c>
      <c r="E298" s="98">
        <v>5910</v>
      </c>
      <c r="F298" s="98">
        <v>900</v>
      </c>
      <c r="G298" s="107">
        <v>3040</v>
      </c>
    </row>
    <row r="299" s="77" customFormat="1" ht="14.25" customHeight="1" spans="1:7">
      <c r="A299" s="91" t="s">
        <v>318</v>
      </c>
      <c r="B299" s="103" t="s">
        <v>2837</v>
      </c>
      <c r="C299" s="98">
        <v>5430</v>
      </c>
      <c r="D299" s="98">
        <v>5380</v>
      </c>
      <c r="E299" s="98">
        <v>6280</v>
      </c>
      <c r="F299" s="98">
        <v>1000</v>
      </c>
      <c r="G299" s="107">
        <v>3240</v>
      </c>
    </row>
    <row r="300" s="77" customFormat="1" ht="14.25" customHeight="1" spans="1:7">
      <c r="A300" s="91" t="s">
        <v>318</v>
      </c>
      <c r="B300" s="103" t="s">
        <v>2838</v>
      </c>
      <c r="C300" s="98">
        <v>4740</v>
      </c>
      <c r="D300" s="98">
        <v>4680</v>
      </c>
      <c r="E300" s="98">
        <v>5450</v>
      </c>
      <c r="F300" s="98">
        <v>900</v>
      </c>
      <c r="G300" s="107">
        <v>2830</v>
      </c>
    </row>
    <row r="301" s="77" customFormat="1" ht="14.25" customHeight="1" spans="1:7">
      <c r="A301" s="91" t="s">
        <v>318</v>
      </c>
      <c r="B301" s="103" t="s">
        <v>2839</v>
      </c>
      <c r="C301" s="98">
        <v>4870</v>
      </c>
      <c r="D301" s="98">
        <v>4810</v>
      </c>
      <c r="E301" s="98">
        <v>5560</v>
      </c>
      <c r="F301" s="98">
        <v>990</v>
      </c>
      <c r="G301" s="107">
        <v>2910</v>
      </c>
    </row>
    <row r="302" s="77" customFormat="1" ht="14.25" customHeight="1" spans="1:7">
      <c r="A302" s="91" t="s">
        <v>318</v>
      </c>
      <c r="B302" s="91" t="s">
        <v>2840</v>
      </c>
      <c r="C302" s="98">
        <v>5520</v>
      </c>
      <c r="D302" s="98">
        <v>5470</v>
      </c>
      <c r="E302" s="98">
        <v>6410</v>
      </c>
      <c r="F302" s="98">
        <v>950</v>
      </c>
      <c r="G302" s="107">
        <v>3300</v>
      </c>
    </row>
    <row r="303" s="77" customFormat="1" ht="14.25" customHeight="1" spans="1:7">
      <c r="A303" s="91" t="s">
        <v>318</v>
      </c>
      <c r="B303" s="91" t="s">
        <v>2841</v>
      </c>
      <c r="C303" s="98">
        <v>5630</v>
      </c>
      <c r="D303" s="98">
        <v>5590</v>
      </c>
      <c r="E303" s="98">
        <v>6550</v>
      </c>
      <c r="F303" s="98">
        <v>1010</v>
      </c>
      <c r="G303" s="107">
        <v>3370</v>
      </c>
    </row>
    <row r="304" s="77" customFormat="1" ht="14.25" customHeight="1" spans="1:7">
      <c r="A304" s="91" t="s">
        <v>318</v>
      </c>
      <c r="B304" s="91" t="s">
        <v>2842</v>
      </c>
      <c r="C304" s="98">
        <v>5680</v>
      </c>
      <c r="D304" s="98">
        <v>5620</v>
      </c>
      <c r="E304" s="98">
        <v>6620</v>
      </c>
      <c r="F304" s="98">
        <v>1050</v>
      </c>
      <c r="G304" s="107">
        <v>3390</v>
      </c>
    </row>
    <row r="305" s="77" customFormat="1" ht="14.25" customHeight="1" spans="1:7">
      <c r="A305" s="91" t="s">
        <v>318</v>
      </c>
      <c r="B305" s="91" t="s">
        <v>2843</v>
      </c>
      <c r="C305" s="98">
        <v>5590</v>
      </c>
      <c r="D305" s="98">
        <v>5530</v>
      </c>
      <c r="E305" s="98">
        <v>6460</v>
      </c>
      <c r="F305" s="98">
        <v>900</v>
      </c>
      <c r="G305" s="107">
        <v>3340</v>
      </c>
    </row>
    <row r="306" s="77" customFormat="1" ht="14.25" customHeight="1" spans="1:7">
      <c r="A306" s="91" t="s">
        <v>318</v>
      </c>
      <c r="B306" s="91" t="s">
        <v>2844</v>
      </c>
      <c r="C306" s="98">
        <v>5560</v>
      </c>
      <c r="D306" s="98">
        <v>5510</v>
      </c>
      <c r="E306" s="98">
        <v>6440</v>
      </c>
      <c r="F306" s="98">
        <v>900</v>
      </c>
      <c r="G306" s="107">
        <v>3320</v>
      </c>
    </row>
    <row r="307" s="77" customFormat="1" ht="14.25" customHeight="1" spans="1:7">
      <c r="A307" s="91" t="s">
        <v>318</v>
      </c>
      <c r="B307" s="91" t="s">
        <v>2845</v>
      </c>
      <c r="C307" s="98">
        <v>5650</v>
      </c>
      <c r="D307" s="98">
        <v>5600</v>
      </c>
      <c r="E307" s="98">
        <v>6590</v>
      </c>
      <c r="F307" s="98">
        <v>930</v>
      </c>
      <c r="G307" s="107">
        <v>3380</v>
      </c>
    </row>
    <row r="308" s="77" customFormat="1" ht="14.25" customHeight="1" spans="1:7">
      <c r="A308" s="91" t="s">
        <v>318</v>
      </c>
      <c r="B308" s="91" t="s">
        <v>2846</v>
      </c>
      <c r="C308" s="98">
        <v>5620</v>
      </c>
      <c r="D308" s="98">
        <v>5580</v>
      </c>
      <c r="E308" s="98">
        <v>6540</v>
      </c>
      <c r="F308" s="98">
        <v>910</v>
      </c>
      <c r="G308" s="107">
        <v>3370</v>
      </c>
    </row>
    <row r="309" s="77" customFormat="1" ht="14.25" customHeight="1" spans="1:7">
      <c r="A309" s="91" t="s">
        <v>318</v>
      </c>
      <c r="B309" s="91" t="s">
        <v>2847</v>
      </c>
      <c r="C309" s="98">
        <v>5060</v>
      </c>
      <c r="D309" s="98">
        <v>5020</v>
      </c>
      <c r="E309" s="98">
        <v>6370</v>
      </c>
      <c r="F309" s="98">
        <v>800</v>
      </c>
      <c r="G309" s="107">
        <v>3020</v>
      </c>
    </row>
    <row r="310" s="77" customFormat="1" ht="14.25" customHeight="1" spans="1:7">
      <c r="A310" s="91" t="s">
        <v>318</v>
      </c>
      <c r="B310" s="91" t="s">
        <v>2848</v>
      </c>
      <c r="C310" s="98">
        <v>5150</v>
      </c>
      <c r="D310" s="98">
        <v>5110</v>
      </c>
      <c r="E310" s="98">
        <v>6500</v>
      </c>
      <c r="F310" s="98">
        <v>880</v>
      </c>
      <c r="G310" s="107">
        <v>3080</v>
      </c>
    </row>
    <row r="311" s="77" customFormat="1" ht="14.25" customHeight="1" spans="1:7">
      <c r="A311" s="91" t="s">
        <v>318</v>
      </c>
      <c r="B311" s="91" t="s">
        <v>2849</v>
      </c>
      <c r="C311" s="98">
        <v>4750</v>
      </c>
      <c r="D311" s="98">
        <v>4710</v>
      </c>
      <c r="E311" s="98">
        <v>5510</v>
      </c>
      <c r="F311" s="98">
        <v>880</v>
      </c>
      <c r="G311" s="107">
        <v>2840</v>
      </c>
    </row>
    <row r="312" s="77" customFormat="1" ht="14.25" customHeight="1" spans="1:7">
      <c r="A312" s="91" t="s">
        <v>318</v>
      </c>
      <c r="B312" s="91" t="s">
        <v>2850</v>
      </c>
      <c r="C312" s="98">
        <v>4690</v>
      </c>
      <c r="D312" s="98">
        <v>4640</v>
      </c>
      <c r="E312" s="98">
        <v>5420</v>
      </c>
      <c r="F312" s="98">
        <v>800</v>
      </c>
      <c r="G312" s="107">
        <v>2800</v>
      </c>
    </row>
    <row r="313" s="77" customFormat="1" ht="14.25" customHeight="1" spans="1:7">
      <c r="A313" s="91" t="s">
        <v>318</v>
      </c>
      <c r="B313" s="91" t="s">
        <v>2851</v>
      </c>
      <c r="C313" s="98">
        <v>4810</v>
      </c>
      <c r="D313" s="98">
        <v>4760</v>
      </c>
      <c r="E313" s="98">
        <v>5550</v>
      </c>
      <c r="F313" s="98">
        <v>920</v>
      </c>
      <c r="G313" s="107">
        <v>2870</v>
      </c>
    </row>
    <row r="314" s="77" customFormat="1" ht="14.25" customHeight="1" spans="1:7">
      <c r="A314" s="91" t="s">
        <v>318</v>
      </c>
      <c r="B314" s="91" t="s">
        <v>2852</v>
      </c>
      <c r="C314" s="98"/>
      <c r="D314" s="98"/>
      <c r="E314" s="98"/>
      <c r="F314" s="98">
        <v>1020</v>
      </c>
      <c r="G314" s="107"/>
    </row>
    <row r="315" s="77" customFormat="1" ht="14.25" customHeight="1" spans="1:7">
      <c r="A315" s="91" t="s">
        <v>318</v>
      </c>
      <c r="B315" s="91" t="s">
        <v>2853</v>
      </c>
      <c r="C315" s="98"/>
      <c r="D315" s="98"/>
      <c r="E315" s="98"/>
      <c r="F315" s="98">
        <v>1050</v>
      </c>
      <c r="G315" s="107"/>
    </row>
    <row r="316" s="77" customFormat="1" ht="14.25" customHeight="1" spans="1:7">
      <c r="A316" s="91" t="s">
        <v>318</v>
      </c>
      <c r="B316" s="91" t="s">
        <v>2854</v>
      </c>
      <c r="C316" s="98"/>
      <c r="D316" s="98"/>
      <c r="E316" s="98"/>
      <c r="F316" s="98">
        <v>900</v>
      </c>
      <c r="G316" s="107"/>
    </row>
    <row r="317" s="77" customFormat="1" ht="14.25" customHeight="1" spans="1:7">
      <c r="A317" s="91" t="s">
        <v>318</v>
      </c>
      <c r="B317" s="91" t="s">
        <v>2855</v>
      </c>
      <c r="C317" s="98"/>
      <c r="D317" s="98"/>
      <c r="E317" s="98"/>
      <c r="F317" s="98">
        <v>920</v>
      </c>
      <c r="G317" s="107"/>
    </row>
    <row r="318" s="77" customFormat="1" ht="14.25" customHeight="1" spans="1:7">
      <c r="A318" s="91" t="s">
        <v>318</v>
      </c>
      <c r="B318" s="91" t="s">
        <v>2856</v>
      </c>
      <c r="C318" s="98"/>
      <c r="D318" s="98"/>
      <c r="E318" s="98"/>
      <c r="F318" s="98">
        <v>1080</v>
      </c>
      <c r="G318" s="107"/>
    </row>
    <row r="319" s="77" customFormat="1" ht="14.25" customHeight="1" spans="1:7">
      <c r="A319" s="91" t="s">
        <v>318</v>
      </c>
      <c r="B319" s="91" t="s">
        <v>2857</v>
      </c>
      <c r="C319" s="98"/>
      <c r="D319" s="98"/>
      <c r="E319" s="98"/>
      <c r="F319" s="98">
        <v>1020</v>
      </c>
      <c r="G319" s="107"/>
    </row>
    <row r="320" s="77" customFormat="1" ht="14.25" customHeight="1" spans="1:7">
      <c r="A320" s="91" t="s">
        <v>318</v>
      </c>
      <c r="B320" s="91" t="s">
        <v>2858</v>
      </c>
      <c r="C320" s="98"/>
      <c r="D320" s="98"/>
      <c r="E320" s="98"/>
      <c r="F320" s="98">
        <v>1050</v>
      </c>
      <c r="G320" s="107"/>
    </row>
    <row r="321" s="77" customFormat="1" ht="14.25" customHeight="1" spans="1:7">
      <c r="A321" s="91" t="s">
        <v>318</v>
      </c>
      <c r="B321" s="91" t="s">
        <v>2859</v>
      </c>
      <c r="C321" s="98"/>
      <c r="D321" s="98"/>
      <c r="E321" s="98"/>
      <c r="F321" s="98">
        <v>960</v>
      </c>
      <c r="G321" s="107"/>
    </row>
    <row r="322" s="77" customFormat="1" ht="14.25" customHeight="1" spans="1:7">
      <c r="A322" s="91" t="s">
        <v>318</v>
      </c>
      <c r="B322" s="91" t="s">
        <v>2860</v>
      </c>
      <c r="C322" s="98"/>
      <c r="D322" s="98"/>
      <c r="E322" s="98"/>
      <c r="F322" s="98">
        <v>960</v>
      </c>
      <c r="G322" s="107"/>
    </row>
    <row r="323" s="77" customFormat="1" ht="14.25" customHeight="1" spans="1:7">
      <c r="A323" s="91" t="s">
        <v>318</v>
      </c>
      <c r="B323" s="91" t="s">
        <v>2861</v>
      </c>
      <c r="C323" s="98"/>
      <c r="D323" s="98"/>
      <c r="E323" s="98"/>
      <c r="F323" s="98">
        <v>880</v>
      </c>
      <c r="G323" s="107"/>
    </row>
    <row r="324" s="77" customFormat="1" ht="14.25" customHeight="1" spans="1:7">
      <c r="A324" s="91" t="s">
        <v>318</v>
      </c>
      <c r="B324" s="91" t="s">
        <v>2862</v>
      </c>
      <c r="C324" s="98"/>
      <c r="D324" s="98"/>
      <c r="E324" s="98"/>
      <c r="F324" s="98">
        <v>930</v>
      </c>
      <c r="G324" s="107"/>
    </row>
    <row r="325" s="77" customFormat="1" ht="14.25" customHeight="1" spans="1:7">
      <c r="A325" s="91" t="s">
        <v>318</v>
      </c>
      <c r="B325" s="92" t="s">
        <v>2863</v>
      </c>
      <c r="C325" s="98"/>
      <c r="D325" s="98"/>
      <c r="E325" s="98"/>
      <c r="F325" s="98">
        <v>900</v>
      </c>
      <c r="G325" s="107"/>
    </row>
    <row r="326" s="77" customFormat="1" ht="14.25" customHeight="1" spans="1:7">
      <c r="A326" s="108" t="s">
        <v>318</v>
      </c>
      <c r="B326" s="100" t="s">
        <v>2864</v>
      </c>
      <c r="C326" s="102"/>
      <c r="D326" s="102"/>
      <c r="E326" s="102"/>
      <c r="F326" s="102">
        <v>790</v>
      </c>
      <c r="G326" s="109"/>
    </row>
    <row r="327" s="77" customFormat="1" ht="14.25" customHeight="1" spans="1:7">
      <c r="A327" s="96" t="s">
        <v>324</v>
      </c>
      <c r="B327" s="86" t="s">
        <v>2865</v>
      </c>
      <c r="C327" s="98">
        <v>3750</v>
      </c>
      <c r="D327" s="98">
        <v>3710</v>
      </c>
      <c r="E327" s="98">
        <v>4080</v>
      </c>
      <c r="F327" s="98">
        <v>860</v>
      </c>
      <c r="G327" s="98">
        <v>2210</v>
      </c>
    </row>
    <row r="328" s="77" customFormat="1" ht="14.25" customHeight="1" spans="1:7">
      <c r="A328" s="91" t="s">
        <v>324</v>
      </c>
      <c r="B328" s="91" t="s">
        <v>2866</v>
      </c>
      <c r="C328" s="98">
        <v>3330</v>
      </c>
      <c r="D328" s="98">
        <v>3290</v>
      </c>
      <c r="E328" s="98">
        <v>3610</v>
      </c>
      <c r="F328" s="98">
        <v>850</v>
      </c>
      <c r="G328" s="98">
        <v>1960</v>
      </c>
    </row>
    <row r="329" s="77" customFormat="1" ht="14.25" customHeight="1" spans="1:7">
      <c r="A329" s="91" t="s">
        <v>324</v>
      </c>
      <c r="B329" s="91" t="s">
        <v>2867</v>
      </c>
      <c r="C329" s="98">
        <v>2730</v>
      </c>
      <c r="D329" s="98">
        <v>2690</v>
      </c>
      <c r="E329" s="98">
        <v>3100</v>
      </c>
      <c r="F329" s="98">
        <v>660</v>
      </c>
      <c r="G329" s="98">
        <v>1610</v>
      </c>
    </row>
    <row r="330" s="77" customFormat="1" ht="14.25" customHeight="1" spans="1:7">
      <c r="A330" s="91" t="s">
        <v>324</v>
      </c>
      <c r="B330" s="91" t="s">
        <v>2868</v>
      </c>
      <c r="C330" s="98">
        <v>3270</v>
      </c>
      <c r="D330" s="98">
        <v>3240</v>
      </c>
      <c r="E330" s="98">
        <v>3560</v>
      </c>
      <c r="F330" s="98">
        <v>680</v>
      </c>
      <c r="G330" s="98">
        <v>1940</v>
      </c>
    </row>
    <row r="331" s="77" customFormat="1" ht="14.25" customHeight="1" spans="1:7">
      <c r="A331" s="91" t="s">
        <v>324</v>
      </c>
      <c r="B331" s="91" t="s">
        <v>2869</v>
      </c>
      <c r="C331" s="98">
        <v>3770</v>
      </c>
      <c r="D331" s="98">
        <v>3740</v>
      </c>
      <c r="E331" s="98">
        <v>4110</v>
      </c>
      <c r="F331" s="98">
        <v>730</v>
      </c>
      <c r="G331" s="98">
        <v>2230</v>
      </c>
    </row>
    <row r="332" s="77" customFormat="1" ht="14.25" customHeight="1" spans="1:7">
      <c r="A332" s="91" t="s">
        <v>324</v>
      </c>
      <c r="B332" s="91" t="s">
        <v>2870</v>
      </c>
      <c r="C332" s="98">
        <v>3520</v>
      </c>
      <c r="D332" s="98">
        <v>3480</v>
      </c>
      <c r="E332" s="98">
        <v>3830</v>
      </c>
      <c r="F332" s="98">
        <v>720</v>
      </c>
      <c r="G332" s="98">
        <v>2090</v>
      </c>
    </row>
    <row r="333" s="77" customFormat="1" ht="14.25" customHeight="1" spans="1:7">
      <c r="A333" s="91" t="s">
        <v>324</v>
      </c>
      <c r="B333" s="91" t="s">
        <v>2871</v>
      </c>
      <c r="C333" s="98">
        <v>3840</v>
      </c>
      <c r="D333" s="98">
        <v>3800</v>
      </c>
      <c r="E333" s="98">
        <v>4200</v>
      </c>
      <c r="F333" s="98">
        <v>760</v>
      </c>
      <c r="G333" s="98">
        <v>2270</v>
      </c>
    </row>
    <row r="334" s="77" customFormat="1" ht="14.25" customHeight="1" spans="1:7">
      <c r="A334" s="91" t="s">
        <v>324</v>
      </c>
      <c r="B334" s="91" t="s">
        <v>2872</v>
      </c>
      <c r="C334" s="98">
        <v>3960</v>
      </c>
      <c r="D334" s="98">
        <v>3910</v>
      </c>
      <c r="E334" s="98">
        <v>4340</v>
      </c>
      <c r="F334" s="98">
        <v>780</v>
      </c>
      <c r="G334" s="98">
        <v>2340</v>
      </c>
    </row>
    <row r="335" s="77" customFormat="1" ht="14.25" customHeight="1" spans="1:7">
      <c r="A335" s="91" t="s">
        <v>324</v>
      </c>
      <c r="B335" s="91" t="s">
        <v>2873</v>
      </c>
      <c r="C335" s="98">
        <v>3710</v>
      </c>
      <c r="D335" s="98">
        <v>3670</v>
      </c>
      <c r="E335" s="98">
        <v>4030</v>
      </c>
      <c r="F335" s="98">
        <v>750</v>
      </c>
      <c r="G335" s="98">
        <v>2200</v>
      </c>
    </row>
    <row r="336" s="77" customFormat="1" ht="14.25" customHeight="1" spans="1:7">
      <c r="A336" s="91" t="s">
        <v>324</v>
      </c>
      <c r="B336" s="91" t="s">
        <v>2874</v>
      </c>
      <c r="C336" s="98">
        <v>3570</v>
      </c>
      <c r="D336" s="98">
        <v>3530</v>
      </c>
      <c r="E336" s="98">
        <v>3880</v>
      </c>
      <c r="F336" s="98">
        <v>770</v>
      </c>
      <c r="G336" s="98">
        <v>2110</v>
      </c>
    </row>
    <row r="337" s="77" customFormat="1" ht="14.25" customHeight="1" spans="1:10">
      <c r="A337" s="91" t="s">
        <v>324</v>
      </c>
      <c r="B337" s="91" t="s">
        <v>2875</v>
      </c>
      <c r="C337" s="98">
        <v>3780</v>
      </c>
      <c r="D337" s="98">
        <v>3750</v>
      </c>
      <c r="E337" s="98">
        <v>4130</v>
      </c>
      <c r="F337" s="98">
        <v>750</v>
      </c>
      <c r="G337" s="98">
        <v>2240</v>
      </c>
    </row>
    <row r="338" s="77" customFormat="1" ht="14.25" customHeight="1" spans="1:10">
      <c r="A338" s="91" t="s">
        <v>324</v>
      </c>
      <c r="B338" s="91" t="s">
        <v>2876</v>
      </c>
      <c r="C338" s="98">
        <v>3600</v>
      </c>
      <c r="D338" s="98">
        <v>3570</v>
      </c>
      <c r="E338" s="98">
        <v>3920</v>
      </c>
      <c r="F338" s="98">
        <v>790</v>
      </c>
      <c r="G338" s="98">
        <v>2140</v>
      </c>
    </row>
    <row r="339" s="77" customFormat="1" ht="14.25" customHeight="1" spans="1:10">
      <c r="A339" s="91" t="s">
        <v>324</v>
      </c>
      <c r="B339" s="91" t="s">
        <v>2877</v>
      </c>
      <c r="C339" s="98">
        <v>3540</v>
      </c>
      <c r="D339" s="98">
        <v>3500</v>
      </c>
      <c r="E339" s="98">
        <v>3850</v>
      </c>
      <c r="F339" s="98">
        <v>780</v>
      </c>
      <c r="G339" s="98">
        <v>2100</v>
      </c>
    </row>
    <row r="340" s="77" customFormat="1" ht="14.25" customHeight="1" spans="1:10">
      <c r="A340" s="91" t="s">
        <v>324</v>
      </c>
      <c r="B340" s="91" t="s">
        <v>2878</v>
      </c>
      <c r="C340" s="98">
        <v>3850</v>
      </c>
      <c r="D340" s="98">
        <v>3810</v>
      </c>
      <c r="E340" s="98">
        <v>4210</v>
      </c>
      <c r="F340" s="98">
        <v>750</v>
      </c>
      <c r="G340" s="98">
        <v>2280</v>
      </c>
    </row>
    <row r="341" s="77" customFormat="1" ht="14.25" customHeight="1" spans="1:10">
      <c r="A341" s="91" t="s">
        <v>324</v>
      </c>
      <c r="B341" s="91" t="s">
        <v>2879</v>
      </c>
      <c r="C341" s="98">
        <v>3780</v>
      </c>
      <c r="D341" s="98">
        <v>3750</v>
      </c>
      <c r="E341" s="98">
        <v>4140</v>
      </c>
      <c r="F341" s="98">
        <v>720</v>
      </c>
      <c r="G341" s="98">
        <v>2240</v>
      </c>
    </row>
    <row r="342" s="77" customFormat="1" ht="14.25" customHeight="1" spans="1:10">
      <c r="A342" s="91" t="s">
        <v>324</v>
      </c>
      <c r="B342" s="91" t="s">
        <v>2880</v>
      </c>
      <c r="C342" s="98">
        <v>3670</v>
      </c>
      <c r="D342" s="98">
        <v>3620</v>
      </c>
      <c r="E342" s="98">
        <v>3990</v>
      </c>
      <c r="F342" s="98">
        <v>760</v>
      </c>
      <c r="G342" s="98">
        <v>2170</v>
      </c>
    </row>
    <row r="343" s="77" customFormat="1" ht="14.25" customHeight="1" spans="1:10">
      <c r="A343" s="91" t="s">
        <v>324</v>
      </c>
      <c r="B343" s="91" t="s">
        <v>2881</v>
      </c>
      <c r="C343" s="98">
        <v>3760</v>
      </c>
      <c r="D343" s="98">
        <v>3720</v>
      </c>
      <c r="E343" s="98">
        <v>4090</v>
      </c>
      <c r="F343" s="98">
        <v>780</v>
      </c>
      <c r="G343" s="98">
        <v>2220</v>
      </c>
    </row>
    <row r="344" s="77" customFormat="1" ht="14.25" customHeight="1" spans="1:10">
      <c r="A344" s="91" t="s">
        <v>324</v>
      </c>
      <c r="B344" s="91" t="s">
        <v>2882</v>
      </c>
      <c r="C344" s="98">
        <v>3680</v>
      </c>
      <c r="D344" s="98">
        <v>3640</v>
      </c>
      <c r="E344" s="98">
        <v>4010</v>
      </c>
      <c r="F344" s="98">
        <v>750</v>
      </c>
      <c r="G344" s="98">
        <v>2180</v>
      </c>
    </row>
    <row r="345" spans="1:10">
      <c r="A345" s="91" t="s">
        <v>324</v>
      </c>
      <c r="B345" s="91" t="s">
        <v>2883</v>
      </c>
      <c r="C345" s="98">
        <v>3190</v>
      </c>
      <c r="D345" s="98">
        <v>3140</v>
      </c>
      <c r="E345" s="98">
        <v>3450</v>
      </c>
      <c r="F345" s="98">
        <v>720</v>
      </c>
      <c r="G345" s="98">
        <v>1880</v>
      </c>
      <c r="J345" s="77"/>
    </row>
    <row r="346" spans="1:10">
      <c r="A346" s="91" t="s">
        <v>324</v>
      </c>
      <c r="B346" s="91" t="s">
        <v>2884</v>
      </c>
      <c r="C346" s="98">
        <v>3630</v>
      </c>
      <c r="D346" s="98">
        <v>3590</v>
      </c>
      <c r="E346" s="98">
        <v>3940</v>
      </c>
      <c r="F346" s="98">
        <v>730</v>
      </c>
      <c r="G346" s="98">
        <v>2150</v>
      </c>
      <c r="J346" s="77"/>
    </row>
    <row r="347" spans="1:10">
      <c r="A347" s="91" t="s">
        <v>324</v>
      </c>
      <c r="B347" s="91" t="s">
        <v>2885</v>
      </c>
      <c r="C347" s="98">
        <v>3860</v>
      </c>
      <c r="D347" s="98">
        <v>3820</v>
      </c>
      <c r="E347" s="98">
        <v>4220</v>
      </c>
      <c r="F347" s="98">
        <v>750</v>
      </c>
      <c r="G347" s="98">
        <v>2280</v>
      </c>
      <c r="J347" s="77"/>
    </row>
    <row r="348" spans="1:10">
      <c r="A348" s="91" t="s">
        <v>324</v>
      </c>
      <c r="B348" s="91" t="s">
        <v>2886</v>
      </c>
      <c r="C348" s="98">
        <v>4000</v>
      </c>
      <c r="D348" s="98">
        <v>3950</v>
      </c>
      <c r="E348" s="98">
        <v>4430</v>
      </c>
      <c r="F348" s="98">
        <v>760</v>
      </c>
      <c r="G348" s="98">
        <v>2360</v>
      </c>
      <c r="J348" s="77"/>
    </row>
    <row r="349" spans="1:10">
      <c r="A349" s="91" t="s">
        <v>324</v>
      </c>
      <c r="B349" s="91" t="s">
        <v>2887</v>
      </c>
      <c r="C349" s="98">
        <v>3820</v>
      </c>
      <c r="D349" s="98">
        <v>3780</v>
      </c>
      <c r="E349" s="98">
        <v>4170</v>
      </c>
      <c r="F349" s="98">
        <v>710</v>
      </c>
      <c r="G349" s="98">
        <v>2260</v>
      </c>
      <c r="J349" s="77"/>
    </row>
    <row r="350" spans="1:10">
      <c r="A350" s="91" t="s">
        <v>324</v>
      </c>
      <c r="B350" s="91" t="s">
        <v>2888</v>
      </c>
      <c r="C350" s="98">
        <v>3760</v>
      </c>
      <c r="D350" s="98">
        <v>3730</v>
      </c>
      <c r="E350" s="98">
        <v>4100</v>
      </c>
      <c r="F350" s="98">
        <v>800</v>
      </c>
      <c r="G350" s="98">
        <v>2230</v>
      </c>
      <c r="J350" s="77"/>
    </row>
    <row r="351" spans="1:10">
      <c r="A351" s="91" t="s">
        <v>324</v>
      </c>
      <c r="B351" s="91" t="s">
        <v>2889</v>
      </c>
      <c r="C351" s="98">
        <v>3610</v>
      </c>
      <c r="D351" s="98">
        <v>3580</v>
      </c>
      <c r="E351" s="98">
        <v>3930</v>
      </c>
      <c r="F351" s="98">
        <v>700</v>
      </c>
      <c r="G351" s="98">
        <v>2140</v>
      </c>
      <c r="J351" s="77"/>
    </row>
    <row r="352" spans="1:10">
      <c r="A352" s="91" t="s">
        <v>324</v>
      </c>
      <c r="B352" s="91" t="s">
        <v>2890</v>
      </c>
      <c r="C352" s="98">
        <v>3670</v>
      </c>
      <c r="D352" s="98">
        <v>3630</v>
      </c>
      <c r="E352" s="98">
        <v>4000</v>
      </c>
      <c r="F352" s="98">
        <v>750</v>
      </c>
      <c r="G352" s="98">
        <v>2180</v>
      </c>
    </row>
    <row r="353" s="78" customFormat="1" spans="1:7">
      <c r="A353" s="91" t="s">
        <v>324</v>
      </c>
      <c r="B353" s="91" t="s">
        <v>2891</v>
      </c>
      <c r="C353" s="98">
        <v>3190</v>
      </c>
      <c r="D353" s="98">
        <v>3150</v>
      </c>
      <c r="E353" s="98">
        <v>3640</v>
      </c>
      <c r="F353" s="98">
        <v>630</v>
      </c>
      <c r="G353" s="98">
        <v>1890</v>
      </c>
    </row>
    <row r="354" s="78" customFormat="1" spans="1:7">
      <c r="A354" s="91" t="s">
        <v>324</v>
      </c>
      <c r="B354" s="91" t="s">
        <v>2892</v>
      </c>
      <c r="C354" s="98">
        <v>3450</v>
      </c>
      <c r="D354" s="98">
        <v>3420</v>
      </c>
      <c r="E354" s="98">
        <v>3960</v>
      </c>
      <c r="F354" s="98">
        <v>660</v>
      </c>
      <c r="G354" s="98">
        <v>2050</v>
      </c>
    </row>
    <row r="355" s="78" customFormat="1" spans="1:7">
      <c r="A355" s="91" t="s">
        <v>324</v>
      </c>
      <c r="B355" s="91" t="s">
        <v>2893</v>
      </c>
      <c r="C355" s="98">
        <v>3650</v>
      </c>
      <c r="D355" s="98">
        <v>3610</v>
      </c>
      <c r="E355" s="98">
        <v>4200</v>
      </c>
      <c r="F355" s="98">
        <v>640</v>
      </c>
      <c r="G355" s="98">
        <v>2160</v>
      </c>
    </row>
    <row r="356" s="78" customFormat="1" spans="1:7">
      <c r="A356" s="91" t="s">
        <v>324</v>
      </c>
      <c r="B356" s="91" t="s">
        <v>2894</v>
      </c>
      <c r="C356" s="98">
        <v>3260</v>
      </c>
      <c r="D356" s="98">
        <v>3230</v>
      </c>
      <c r="E356" s="98">
        <v>3740</v>
      </c>
      <c r="F356" s="98">
        <v>600</v>
      </c>
      <c r="G356" s="98">
        <v>1930</v>
      </c>
    </row>
    <row r="357" s="78" customFormat="1" ht="12.75" spans="1:7">
      <c r="A357" s="101" t="s">
        <v>324</v>
      </c>
      <c r="B357" s="110" t="s">
        <v>2895</v>
      </c>
      <c r="C357" s="105">
        <v>3690</v>
      </c>
      <c r="D357" s="105">
        <v>3650</v>
      </c>
      <c r="E357" s="105">
        <v>4020</v>
      </c>
      <c r="F357" s="105">
        <v>700</v>
      </c>
      <c r="G357" s="105">
        <v>2190</v>
      </c>
    </row>
    <row r="358" s="78" customFormat="1" spans="1:7">
      <c r="A358" s="96" t="s">
        <v>330</v>
      </c>
      <c r="B358" s="86" t="s">
        <v>2896</v>
      </c>
      <c r="C358" s="97">
        <v>2080</v>
      </c>
      <c r="D358" s="97">
        <v>2040</v>
      </c>
      <c r="E358" s="97">
        <v>2010</v>
      </c>
      <c r="F358" s="97">
        <v>530</v>
      </c>
      <c r="G358" s="106">
        <v>1230</v>
      </c>
    </row>
    <row r="359" s="78" customFormat="1" spans="1:7">
      <c r="A359" s="91" t="s">
        <v>330</v>
      </c>
      <c r="B359" s="91" t="s">
        <v>2897</v>
      </c>
      <c r="C359" s="98">
        <v>1850</v>
      </c>
      <c r="D359" s="98">
        <v>1820</v>
      </c>
      <c r="E359" s="98">
        <v>1780</v>
      </c>
      <c r="F359" s="98">
        <v>520</v>
      </c>
      <c r="G359" s="107">
        <v>1100</v>
      </c>
    </row>
    <row r="360" s="78" customFormat="1" spans="1:7">
      <c r="A360" s="91" t="s">
        <v>330</v>
      </c>
      <c r="B360" s="91" t="s">
        <v>2898</v>
      </c>
      <c r="C360" s="98">
        <v>2020</v>
      </c>
      <c r="D360" s="98">
        <v>1990</v>
      </c>
      <c r="E360" s="98">
        <v>1950</v>
      </c>
      <c r="F360" s="98">
        <v>500</v>
      </c>
      <c r="G360" s="107">
        <v>1200</v>
      </c>
    </row>
    <row r="361" s="78" customFormat="1" spans="1:7">
      <c r="A361" s="91" t="s">
        <v>330</v>
      </c>
      <c r="B361" s="91" t="s">
        <v>2899</v>
      </c>
      <c r="C361" s="98">
        <v>2260</v>
      </c>
      <c r="D361" s="98">
        <v>2220</v>
      </c>
      <c r="E361" s="98">
        <v>2180</v>
      </c>
      <c r="F361" s="98">
        <v>580</v>
      </c>
      <c r="G361" s="107">
        <v>1340</v>
      </c>
    </row>
    <row r="362" s="78" customFormat="1" spans="1:7">
      <c r="A362" s="91" t="s">
        <v>330</v>
      </c>
      <c r="B362" s="91" t="s">
        <v>2900</v>
      </c>
      <c r="C362" s="98">
        <v>2650</v>
      </c>
      <c r="D362" s="98">
        <v>2610</v>
      </c>
      <c r="E362" s="98">
        <v>2570</v>
      </c>
      <c r="F362" s="98">
        <v>630</v>
      </c>
      <c r="G362" s="107">
        <v>1570</v>
      </c>
    </row>
    <row r="363" s="78" customFormat="1" spans="1:7">
      <c r="A363" s="91" t="s">
        <v>330</v>
      </c>
      <c r="B363" s="91" t="s">
        <v>2901</v>
      </c>
      <c r="C363" s="98">
        <v>2390</v>
      </c>
      <c r="D363" s="98">
        <v>2360</v>
      </c>
      <c r="E363" s="98">
        <v>2320</v>
      </c>
      <c r="F363" s="98">
        <v>600</v>
      </c>
      <c r="G363" s="107">
        <v>1420</v>
      </c>
    </row>
    <row r="364" s="78" customFormat="1" spans="1:7">
      <c r="A364" s="91" t="s">
        <v>330</v>
      </c>
      <c r="B364" s="91" t="s">
        <v>2902</v>
      </c>
      <c r="C364" s="98">
        <v>2050</v>
      </c>
      <c r="D364" s="98">
        <v>2030</v>
      </c>
      <c r="E364" s="98">
        <v>1990</v>
      </c>
      <c r="F364" s="98">
        <v>550</v>
      </c>
      <c r="G364" s="107">
        <v>1220</v>
      </c>
    </row>
    <row r="365" s="78" customFormat="1" spans="1:7">
      <c r="A365" s="91" t="s">
        <v>330</v>
      </c>
      <c r="B365" s="91" t="s">
        <v>2903</v>
      </c>
      <c r="C365" s="98">
        <v>2140</v>
      </c>
      <c r="D365" s="98">
        <v>2100</v>
      </c>
      <c r="E365" s="98">
        <v>2060</v>
      </c>
      <c r="F365" s="98">
        <v>540</v>
      </c>
      <c r="G365" s="107">
        <v>1270</v>
      </c>
    </row>
    <row r="366" s="78" customFormat="1" spans="1:7">
      <c r="A366" s="91" t="s">
        <v>330</v>
      </c>
      <c r="B366" s="91" t="s">
        <v>2904</v>
      </c>
      <c r="C366" s="98">
        <v>2410</v>
      </c>
      <c r="D366" s="98">
        <v>2370</v>
      </c>
      <c r="E366" s="98">
        <v>2330</v>
      </c>
      <c r="F366" s="98">
        <v>570</v>
      </c>
      <c r="G366" s="107">
        <v>1440</v>
      </c>
    </row>
    <row r="367" s="78" customFormat="1" spans="1:7">
      <c r="A367" s="91" t="s">
        <v>330</v>
      </c>
      <c r="B367" s="91" t="s">
        <v>2905</v>
      </c>
      <c r="C367" s="98">
        <v>2300</v>
      </c>
      <c r="D367" s="98">
        <v>2260</v>
      </c>
      <c r="E367" s="98">
        <v>2220</v>
      </c>
      <c r="F367" s="98">
        <v>560</v>
      </c>
      <c r="G367" s="107">
        <v>1370</v>
      </c>
    </row>
    <row r="368" s="78" customFormat="1" spans="1:7">
      <c r="A368" s="91" t="s">
        <v>330</v>
      </c>
      <c r="B368" s="91" t="s">
        <v>2906</v>
      </c>
      <c r="C368" s="98">
        <v>2430</v>
      </c>
      <c r="D368" s="98">
        <v>2390</v>
      </c>
      <c r="E368" s="98">
        <v>2350</v>
      </c>
      <c r="F368" s="98">
        <v>570</v>
      </c>
      <c r="G368" s="107">
        <v>1450</v>
      </c>
    </row>
    <row r="369" s="78" customFormat="1" spans="1:7">
      <c r="A369" s="91" t="s">
        <v>330</v>
      </c>
      <c r="B369" s="91" t="s">
        <v>2907</v>
      </c>
      <c r="C369" s="98">
        <v>2320</v>
      </c>
      <c r="D369" s="98">
        <v>2290</v>
      </c>
      <c r="E369" s="98">
        <v>2250</v>
      </c>
      <c r="F369" s="98">
        <v>550</v>
      </c>
      <c r="G369" s="107">
        <v>1380</v>
      </c>
    </row>
    <row r="370" s="78" customFormat="1" spans="1:7">
      <c r="A370" s="91" t="s">
        <v>330</v>
      </c>
      <c r="B370" s="91" t="s">
        <v>2908</v>
      </c>
      <c r="C370" s="98">
        <v>2190</v>
      </c>
      <c r="D370" s="98">
        <v>2170</v>
      </c>
      <c r="E370" s="98">
        <v>2130</v>
      </c>
      <c r="F370" s="98">
        <v>530</v>
      </c>
      <c r="G370" s="107">
        <v>1310</v>
      </c>
    </row>
    <row r="371" s="78" customFormat="1" spans="1:7">
      <c r="A371" s="91" t="s">
        <v>330</v>
      </c>
      <c r="B371" s="91" t="s">
        <v>2909</v>
      </c>
      <c r="C371" s="98">
        <v>2460</v>
      </c>
      <c r="D371" s="98">
        <v>2420</v>
      </c>
      <c r="E371" s="98">
        <v>2370</v>
      </c>
      <c r="F371" s="98">
        <v>560</v>
      </c>
      <c r="G371" s="107">
        <v>1470</v>
      </c>
    </row>
    <row r="372" s="78" customFormat="1" spans="1:7">
      <c r="A372" s="91" t="s">
        <v>330</v>
      </c>
      <c r="B372" s="91" t="s">
        <v>2910</v>
      </c>
      <c r="C372" s="98">
        <v>2250</v>
      </c>
      <c r="D372" s="98">
        <v>2210</v>
      </c>
      <c r="E372" s="98">
        <v>2180</v>
      </c>
      <c r="F372" s="98">
        <v>550</v>
      </c>
      <c r="G372" s="107">
        <v>1340</v>
      </c>
    </row>
    <row r="373" s="78" customFormat="1" spans="1:7">
      <c r="A373" s="91" t="s">
        <v>330</v>
      </c>
      <c r="B373" s="91" t="s">
        <v>2911</v>
      </c>
      <c r="C373" s="98">
        <v>2210</v>
      </c>
      <c r="D373" s="98">
        <v>2190</v>
      </c>
      <c r="E373" s="98">
        <v>2150</v>
      </c>
      <c r="F373" s="98">
        <v>530</v>
      </c>
      <c r="G373" s="107">
        <v>1320</v>
      </c>
    </row>
    <row r="374" s="78" customFormat="1" spans="1:7">
      <c r="A374" s="91" t="s">
        <v>330</v>
      </c>
      <c r="B374" s="91" t="s">
        <v>2912</v>
      </c>
      <c r="C374" s="98">
        <v>2320</v>
      </c>
      <c r="D374" s="98">
        <v>2280</v>
      </c>
      <c r="E374" s="98">
        <v>2230</v>
      </c>
      <c r="F374" s="98">
        <v>580</v>
      </c>
      <c r="G374" s="107">
        <v>1380</v>
      </c>
    </row>
    <row r="375" s="78" customFormat="1" spans="1:7">
      <c r="A375" s="91" t="s">
        <v>330</v>
      </c>
      <c r="B375" s="91" t="s">
        <v>2913</v>
      </c>
      <c r="C375" s="98">
        <v>2090</v>
      </c>
      <c r="D375" s="98">
        <v>2050</v>
      </c>
      <c r="E375" s="98">
        <v>2020</v>
      </c>
      <c r="F375" s="98">
        <v>520</v>
      </c>
      <c r="G375" s="107">
        <v>1240</v>
      </c>
    </row>
    <row r="376" s="78" customFormat="1" spans="1:7">
      <c r="A376" s="91" t="s">
        <v>330</v>
      </c>
      <c r="B376" s="91" t="s">
        <v>2914</v>
      </c>
      <c r="C376" s="98">
        <v>2010</v>
      </c>
      <c r="D376" s="98">
        <v>1980</v>
      </c>
      <c r="E376" s="98">
        <v>1940</v>
      </c>
      <c r="F376" s="98">
        <v>540</v>
      </c>
      <c r="G376" s="107">
        <v>1190</v>
      </c>
    </row>
    <row r="377" s="78" customFormat="1" ht="12.75" spans="1:7">
      <c r="A377" s="101" t="s">
        <v>330</v>
      </c>
      <c r="B377" s="110" t="s">
        <v>2915</v>
      </c>
      <c r="C377" s="105">
        <v>1930</v>
      </c>
      <c r="D377" s="105">
        <v>1890</v>
      </c>
      <c r="E377" s="105">
        <v>1860</v>
      </c>
      <c r="F377" s="105">
        <v>530</v>
      </c>
      <c r="G377" s="111">
        <v>1150</v>
      </c>
    </row>
    <row r="378" s="78" customFormat="1" spans="1:7">
      <c r="A378" s="112" t="s">
        <v>336</v>
      </c>
      <c r="B378" s="86" t="s">
        <v>2916</v>
      </c>
      <c r="C378" s="97">
        <v>1520</v>
      </c>
      <c r="D378" s="97">
        <v>1490</v>
      </c>
      <c r="E378" s="97">
        <v>1460</v>
      </c>
      <c r="F378" s="97">
        <v>460</v>
      </c>
      <c r="G378" s="106">
        <v>940</v>
      </c>
    </row>
    <row r="379" s="78" customFormat="1" spans="1:7">
      <c r="A379" s="113" t="s">
        <v>336</v>
      </c>
      <c r="B379" s="91" t="s">
        <v>2917</v>
      </c>
      <c r="C379" s="98">
        <v>1500</v>
      </c>
      <c r="D379" s="98">
        <v>1470</v>
      </c>
      <c r="E379" s="98">
        <v>1430</v>
      </c>
      <c r="F379" s="98">
        <v>460</v>
      </c>
      <c r="G379" s="107">
        <v>920</v>
      </c>
    </row>
    <row r="380" s="78" customFormat="1" spans="1:7">
      <c r="A380" s="113" t="s">
        <v>336</v>
      </c>
      <c r="B380" s="91" t="s">
        <v>2918</v>
      </c>
      <c r="C380" s="98">
        <v>1620</v>
      </c>
      <c r="D380" s="98">
        <v>1590</v>
      </c>
      <c r="E380" s="98">
        <v>1560</v>
      </c>
      <c r="F380" s="98">
        <v>480</v>
      </c>
      <c r="G380" s="107">
        <v>1000</v>
      </c>
    </row>
    <row r="381" s="78" customFormat="1" spans="1:7">
      <c r="A381" s="113" t="s">
        <v>336</v>
      </c>
      <c r="B381" s="91" t="s">
        <v>2919</v>
      </c>
      <c r="C381" s="98">
        <v>1460</v>
      </c>
      <c r="D381" s="98">
        <v>1430</v>
      </c>
      <c r="E381" s="98">
        <v>1390</v>
      </c>
      <c r="F381" s="98">
        <v>450</v>
      </c>
      <c r="G381" s="107">
        <v>900</v>
      </c>
    </row>
    <row r="382" s="78" customFormat="1" spans="1:7">
      <c r="A382" s="113" t="s">
        <v>336</v>
      </c>
      <c r="B382" s="91" t="s">
        <v>2920</v>
      </c>
      <c r="C382" s="98">
        <v>1310</v>
      </c>
      <c r="D382" s="98">
        <v>1280</v>
      </c>
      <c r="E382" s="98">
        <v>1250</v>
      </c>
      <c r="F382" s="98">
        <v>440</v>
      </c>
      <c r="G382" s="107">
        <v>800</v>
      </c>
    </row>
    <row r="383" s="78" customFormat="1" spans="1:7">
      <c r="A383" s="113" t="s">
        <v>336</v>
      </c>
      <c r="B383" s="91" t="s">
        <v>2921</v>
      </c>
      <c r="C383" s="98">
        <v>1260</v>
      </c>
      <c r="D383" s="98">
        <v>1230</v>
      </c>
      <c r="E383" s="98">
        <v>1200</v>
      </c>
      <c r="F383" s="98">
        <v>420</v>
      </c>
      <c r="G383" s="107">
        <v>770</v>
      </c>
    </row>
    <row r="384" s="78" customFormat="1" ht="12.75" spans="1:7">
      <c r="A384" s="114" t="s">
        <v>336</v>
      </c>
      <c r="B384" s="100" t="s">
        <v>2922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R64" sqref="R6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46029</v>
      </c>
      <c r="D1" s="7" t="s">
        <v>3061</v>
      </c>
      <c r="E1" s="9">
        <f>'数据-取费表'!B22</f>
        <v>1.5</v>
      </c>
      <c r="F1" s="7" t="s">
        <v>3062</v>
      </c>
      <c r="G1" s="10">
        <f ca="1">IF(OR(C1&lt;C27,E1&lt;=1),INDIRECT("d"&amp;$K$1)/100,ROUND((D5+(E1-C5)*(D7-D5)/(C7-C5))/100,4))</f>
        <v>0.0306</v>
      </c>
      <c r="H1" s="7" t="s">
        <v>3063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3088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02" t="str">
        <f>IF(项目基本情况!B9="房地产市场价值","估价结果一览表","结果表-2")</f>
        <v>估价结果一览表</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房地产市场价值</v>
      </c>
      <c r="I2" s="4703"/>
    </row>
    <row r="3" ht="15.5" spans="1:9">
      <c r="A3" s="4704"/>
      <c r="B3" s="4704"/>
      <c r="C3" s="4704"/>
      <c r="D3" s="4704" t="s">
        <v>110</v>
      </c>
      <c r="E3" s="4704" t="s">
        <v>111</v>
      </c>
      <c r="F3" s="4704" t="s">
        <v>110</v>
      </c>
      <c r="G3" s="4704" t="s">
        <v>111</v>
      </c>
      <c r="H3" s="4704" t="s">
        <v>110</v>
      </c>
      <c r="I3" s="4704" t="s">
        <v>111</v>
      </c>
    </row>
    <row r="4" ht="15.5" spans="1:9">
      <c r="A4" s="4705" t="str">
        <f>项目基本情况!S2</f>
        <v>北京市房地产</v>
      </c>
      <c r="B4" s="4704">
        <f>项目基本情况!C17</f>
        <v>16724.51</v>
      </c>
      <c r="C4" s="4704">
        <f>项目基本情况!C18</f>
        <v>9999.1</v>
      </c>
      <c r="D4" s="4704">
        <f ca="1">结果表!D118</f>
        <v>8672</v>
      </c>
      <c r="E4" s="4704">
        <f ca="1">结果表!E118</f>
        <v>5185</v>
      </c>
      <c r="F4" s="4704">
        <f ca="1">结果表!F118</f>
        <v>3823</v>
      </c>
      <c r="G4" s="4704">
        <f ca="1">结果表!G118</f>
        <v>2286</v>
      </c>
      <c r="H4" s="4704">
        <f ca="1">结果表!H118</f>
        <v>12495</v>
      </c>
      <c r="I4" s="4704">
        <f ca="1">结果表!I118</f>
        <v>7471</v>
      </c>
    </row>
    <row r="5" ht="30" customHeight="1" spans="1:9">
      <c r="A5" s="4704" t="s">
        <v>112</v>
      </c>
      <c r="B5" s="4704"/>
      <c r="C5" s="4704"/>
      <c r="D5" s="4704" t="str">
        <f ca="1">结果表!D119</f>
        <v>捌仟陆佰柒拾贰万元整</v>
      </c>
      <c r="E5" s="4704"/>
      <c r="F5" s="4704" t="str">
        <f ca="1">结果表!F119</f>
        <v>叁仟捌佰贰拾叁万元整</v>
      </c>
      <c r="G5" s="4704"/>
      <c r="H5" s="4704" t="str">
        <f ca="1">结果表!H119</f>
        <v>壹亿贰仟肆佰玖拾伍万元整</v>
      </c>
      <c r="I5" s="4704"/>
    </row>
    <row r="6" ht="15.5" spans="1:9">
      <c r="A6" s="4706" t="str">
        <f>结果表!A120</f>
        <v/>
      </c>
      <c r="B6" s="4706"/>
      <c r="C6" s="4706"/>
      <c r="D6" s="4706">
        <f>结果表!D120</f>
        <v>0</v>
      </c>
      <c r="E6" s="4706"/>
      <c r="F6" s="4706"/>
      <c r="G6" s="4706"/>
      <c r="H6" s="4706"/>
      <c r="I6" s="4706"/>
    </row>
    <row r="7" ht="15.5" spans="1:9">
      <c r="A7" s="4704" t="s">
        <v>112</v>
      </c>
      <c r="B7" s="4704"/>
      <c r="C7" s="4704"/>
      <c r="D7" s="4707" t="str">
        <f>结果表!D121</f>
        <v>零元整</v>
      </c>
      <c r="E7" s="4708"/>
      <c r="F7" s="4708"/>
      <c r="G7" s="4708"/>
      <c r="H7" s="4708"/>
      <c r="I7" s="4709"/>
    </row>
    <row r="8" ht="15.5" spans="1:9">
      <c r="A8" s="4706" t="str">
        <f>结果表!A122</f>
        <v/>
      </c>
      <c r="B8" s="4706"/>
      <c r="C8" s="4706"/>
      <c r="D8" s="4706">
        <f ca="1">结果表!D122</f>
        <v>12495</v>
      </c>
      <c r="E8" s="4706"/>
      <c r="F8" s="4706"/>
      <c r="G8" s="4706"/>
      <c r="H8" s="4706"/>
      <c r="I8" s="4706"/>
    </row>
    <row r="9" ht="15.5" spans="1:9">
      <c r="A9" s="4704" t="s">
        <v>112</v>
      </c>
      <c r="B9" s="4704"/>
      <c r="C9" s="4704"/>
      <c r="D9" s="4704" t="str">
        <f ca="1">结果表!D123</f>
        <v>壹亿贰仟肆佰玖拾伍万元整</v>
      </c>
      <c r="E9" s="4704"/>
      <c r="F9" s="4704"/>
      <c r="G9" s="4704"/>
      <c r="H9" s="4704"/>
      <c r="I9" s="4704"/>
    </row>
    <row r="10" ht="15.5" spans="1:9">
      <c r="A10" s="4706" t="str">
        <f>结果表!A124</f>
        <v/>
      </c>
      <c r="B10" s="4706"/>
      <c r="C10" s="4706"/>
      <c r="D10" s="4706" t="str">
        <f ca="1">结果表!D124</f>
        <v>——</v>
      </c>
      <c r="E10" s="4706"/>
      <c r="F10" s="4706"/>
      <c r="G10" s="4706"/>
      <c r="H10" s="4706"/>
      <c r="I10" s="4706"/>
    </row>
    <row r="11" ht="15.5" spans="1:9">
      <c r="A11" s="4704" t="s">
        <v>112</v>
      </c>
      <c r="B11" s="4704"/>
      <c r="C11" s="4704"/>
      <c r="D11" s="4704" t="e">
        <f ca="1">结果表!D125</f>
        <v>#VALUE!</v>
      </c>
      <c r="E11" s="4704"/>
      <c r="F11" s="4704"/>
      <c r="G11" s="4704"/>
      <c r="H11" s="4704"/>
      <c r="I11" s="4704"/>
    </row>
    <row r="12" ht="15.5" spans="1:9">
      <c r="A12" s="4706" t="str">
        <f>结果表!A126</f>
        <v/>
      </c>
      <c r="B12" s="4706"/>
      <c r="C12" s="4706"/>
      <c r="D12" s="4706" t="str">
        <f ca="1">结果表!D126</f>
        <v>——</v>
      </c>
      <c r="E12" s="4706"/>
      <c r="F12" s="4706"/>
      <c r="G12" s="4706"/>
      <c r="H12" s="4706"/>
      <c r="I12" s="4706"/>
    </row>
    <row r="13" ht="16.25" spans="1:9">
      <c r="A13" s="4710" t="s">
        <v>112</v>
      </c>
      <c r="B13" s="4710"/>
      <c r="C13" s="4710"/>
      <c r="D13" s="4710" t="e">
        <f ca="1">结果表!D127</f>
        <v>#VALUE!</v>
      </c>
      <c r="E13" s="4710"/>
      <c r="F13" s="4710"/>
      <c r="G13" s="4710"/>
      <c r="H13" s="4710"/>
      <c r="I13" s="4710"/>
    </row>
    <row r="14" ht="14.75" spans="1:9">
      <c r="A14" s="4711" t="s">
        <v>113</v>
      </c>
      <c r="B14" s="4711"/>
      <c r="C14" s="4711"/>
      <c r="D14" s="4711"/>
      <c r="E14" s="4711"/>
      <c r="F14" s="4711"/>
      <c r="G14" s="4711"/>
      <c r="H14" s="4711"/>
      <c r="I14" s="4711"/>
    </row>
    <row r="16" ht="17.5" spans="1:9">
      <c r="A16" s="4712"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682" t="s">
        <v>114</v>
      </c>
      <c r="B1" s="4682"/>
      <c r="C1" s="4682"/>
      <c r="D1" s="4682"/>
    </row>
    <row r="2" ht="18" spans="1:4">
      <c r="A2" s="4683" t="s">
        <v>115</v>
      </c>
      <c r="B2" s="4683"/>
      <c r="C2" s="4683"/>
      <c r="D2" s="4683"/>
    </row>
    <row r="3" ht="1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5" spans="1:4">
      <c r="A10" s="4682" t="s">
        <v>125</v>
      </c>
      <c r="B10" s="4691"/>
      <c r="C10" s="4691"/>
      <c r="D10" s="4691"/>
    </row>
    <row r="11" ht="30" customHeight="1" spans="1:4">
      <c r="A11" s="4692" t="s">
        <v>126</v>
      </c>
      <c r="B11" s="4693"/>
      <c r="C11" s="4693"/>
      <c r="D11" s="4693"/>
    </row>
    <row r="12" ht="15.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504"/>
      <c r="C23" s="2504"/>
      <c r="D23" s="2504"/>
    </row>
    <row r="24" spans="1:4">
      <c r="A24" s="4698"/>
      <c r="B24" s="2504"/>
      <c r="C24" s="2504"/>
      <c r="D24" s="2504"/>
    </row>
    <row r="25" ht="17.5" spans="1:4">
      <c r="A25" s="4699" t="s">
        <v>130</v>
      </c>
    </row>
    <row r="26" ht="17.5" spans="1:4">
      <c r="A26" s="4700"/>
    </row>
    <row r="27" ht="17.5" spans="1:4">
      <c r="A27" s="4700" t="s">
        <v>131</v>
      </c>
    </row>
    <row r="30" ht="17.5" spans="1:4">
      <c r="D30" s="4699" t="s">
        <v>132</v>
      </c>
    </row>
    <row r="31" ht="13.5" customHeight="1" spans="1:4">
      <c r="C31" s="4701">
        <v>42551</v>
      </c>
      <c r="D31" s="47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78" customWidth="1"/>
    <col min="3" max="10" width="12.5" style="4678" customWidth="1"/>
    <col min="11" max="16384" width="9" style="4678"/>
  </cols>
  <sheetData>
    <row r="1" ht="17.5" spans="1:10">
      <c r="A1" s="4679" t="s">
        <v>133</v>
      </c>
      <c r="B1" s="4680"/>
      <c r="C1" s="4680"/>
      <c r="D1" s="4680"/>
      <c r="E1" s="4680"/>
      <c r="F1" s="4680"/>
      <c r="G1" s="4680"/>
      <c r="H1" s="4680"/>
      <c r="I1" s="4680"/>
      <c r="J1" s="4680"/>
    </row>
    <row r="2" ht="1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54" customWidth="1"/>
    <col min="2" max="16384" width="14.5" style="4601"/>
  </cols>
  <sheetData>
    <row r="1" s="4653" customFormat="1" ht="17.5" spans="1:7">
      <c r="A1" s="4655" t="s">
        <v>134</v>
      </c>
    </row>
    <row r="3" spans="1:7">
      <c r="A3" s="4656" t="s">
        <v>135</v>
      </c>
      <c r="B3" s="4601" t="s">
        <v>136</v>
      </c>
      <c r="G3" s="4657"/>
    </row>
    <row r="4" spans="1:7">
      <c r="G4" s="4657"/>
    </row>
    <row r="5" spans="1:7">
      <c r="A5" s="4658" t="s">
        <v>137</v>
      </c>
      <c r="B5" s="4601" t="s">
        <v>138</v>
      </c>
      <c r="G5" s="4657"/>
    </row>
    <row r="6" spans="1:7">
      <c r="G6" s="4657"/>
    </row>
    <row r="7" spans="1:7">
      <c r="A7" s="4659" t="s">
        <v>139</v>
      </c>
      <c r="B7" s="4601" t="s">
        <v>140</v>
      </c>
      <c r="G7" s="4657"/>
    </row>
    <row r="8" spans="1:7">
      <c r="G8" s="4657"/>
    </row>
    <row r="9" spans="1:7">
      <c r="A9" s="4660" t="s">
        <v>141</v>
      </c>
      <c r="B9" s="4601" t="s">
        <v>142</v>
      </c>
    </row>
    <row r="11" spans="1:7">
      <c r="A11" s="4661" t="s">
        <v>143</v>
      </c>
      <c r="B11" s="4662" t="s">
        <v>144</v>
      </c>
    </row>
    <row r="13" spans="1:7">
      <c r="A13" s="4663" t="s">
        <v>145</v>
      </c>
    </row>
    <row r="15" ht="14" spans="1:7">
      <c r="A15" s="4664" t="s">
        <v>146</v>
      </c>
      <c r="B15" s="4665" t="s">
        <v>147</v>
      </c>
      <c r="C15" s="4666"/>
    </row>
    <row r="16" ht="14" spans="1:7">
      <c r="A16" s="4667"/>
      <c r="B16" s="4665" t="s">
        <v>148</v>
      </c>
      <c r="C16" s="4666"/>
    </row>
    <row r="17" ht="14" spans="1:3">
      <c r="A17" s="4667"/>
      <c r="B17" s="4668" t="s">
        <v>149</v>
      </c>
      <c r="C17" s="4668" t="s">
        <v>146</v>
      </c>
    </row>
    <row r="18" ht="14" spans="1:3">
      <c r="A18" s="4667"/>
      <c r="B18" s="4668"/>
      <c r="C18" s="4668" t="s">
        <v>150</v>
      </c>
    </row>
    <row r="19" ht="14" spans="1:3">
      <c r="A19" s="4667"/>
      <c r="B19" s="4668"/>
      <c r="C19" s="4668" t="s">
        <v>151</v>
      </c>
    </row>
    <row r="20" ht="14" spans="1:3">
      <c r="A20" s="4669"/>
      <c r="B20" s="4670" t="s">
        <v>152</v>
      </c>
      <c r="C20" s="4666"/>
    </row>
    <row r="21" ht="14" spans="1:3">
      <c r="A21" s="4671" t="s">
        <v>153</v>
      </c>
      <c r="B21" s="4672"/>
      <c r="C21" s="4673"/>
    </row>
    <row r="22" ht="14" spans="1:3">
      <c r="A22" s="4674" t="s">
        <v>154</v>
      </c>
      <c r="B22" s="4670" t="s">
        <v>155</v>
      </c>
      <c r="C22" s="4666"/>
    </row>
    <row r="23" ht="14" spans="1:3">
      <c r="A23" s="4674"/>
      <c r="B23" s="4670" t="s">
        <v>156</v>
      </c>
      <c r="C23" s="4666"/>
    </row>
    <row r="24" ht="14" spans="1:3">
      <c r="A24" s="4674"/>
      <c r="B24" s="4670" t="s">
        <v>157</v>
      </c>
      <c r="C24" s="4666"/>
    </row>
    <row r="25" ht="14" spans="1:3">
      <c r="A25" s="4674"/>
      <c r="B25" s="4668" t="s">
        <v>158</v>
      </c>
      <c r="C25" s="4668" t="s">
        <v>159</v>
      </c>
    </row>
    <row r="26" ht="14" spans="1:3">
      <c r="A26" s="4674"/>
      <c r="B26" s="4668"/>
      <c r="C26" s="4668" t="s">
        <v>160</v>
      </c>
    </row>
    <row r="27" ht="14" spans="1:3">
      <c r="A27" s="4674"/>
      <c r="B27" s="4668"/>
      <c r="C27" s="4668" t="s">
        <v>161</v>
      </c>
    </row>
    <row r="28" ht="14" spans="1:3">
      <c r="A28" s="4674"/>
      <c r="B28" s="4668"/>
      <c r="C28" s="4668" t="s">
        <v>162</v>
      </c>
    </row>
    <row r="29" ht="14" spans="1:3">
      <c r="A29" s="4674"/>
      <c r="B29" s="4668"/>
      <c r="C29" s="4668" t="s">
        <v>163</v>
      </c>
    </row>
    <row r="30" ht="14" spans="1:3">
      <c r="A30" s="4674"/>
      <c r="B30" s="4668"/>
      <c r="C30" s="4668" t="s">
        <v>164</v>
      </c>
    </row>
    <row r="31" ht="14" spans="1:3">
      <c r="A31" s="4674"/>
      <c r="B31" s="4668"/>
      <c r="C31" s="4668" t="s">
        <v>165</v>
      </c>
    </row>
    <row r="32" ht="14" spans="1:3">
      <c r="A32" s="4674"/>
      <c r="B32" s="4668"/>
      <c r="C32" s="4668" t="s">
        <v>166</v>
      </c>
    </row>
    <row r="33" ht="14" spans="1:3">
      <c r="A33" s="4674"/>
      <c r="B33" s="4668"/>
      <c r="C33" s="4668" t="s">
        <v>167</v>
      </c>
    </row>
    <row r="34" spans="1:3">
      <c r="A34" s="4675" t="s">
        <v>168</v>
      </c>
    </row>
    <row r="37" spans="1:3">
      <c r="A37" s="4675" t="s">
        <v>169</v>
      </c>
    </row>
    <row r="38" ht="14" spans="1:3">
      <c r="A38" s="4676" t="s">
        <v>170</v>
      </c>
    </row>
    <row r="39" ht="14" spans="1:3">
      <c r="A39" s="4676" t="s">
        <v>171</v>
      </c>
    </row>
    <row r="40" ht="14" spans="1:3">
      <c r="A40" s="4676" t="s">
        <v>172</v>
      </c>
    </row>
    <row r="41" ht="14" spans="1:3">
      <c r="A41" s="4677" t="s">
        <v>173</v>
      </c>
    </row>
    <row r="42" ht="14" spans="1:3">
      <c r="A42" s="46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21" customWidth="1"/>
    <col min="2" max="2" width="38.6272727272727" style="4621" customWidth="1"/>
    <col min="3" max="3" width="26" style="4621" customWidth="1"/>
    <col min="4" max="4" width="35" style="4621" hidden="1" customWidth="1"/>
    <col min="5" max="5" width="30.1272727272727" style="4621" customWidth="1"/>
    <col min="6" max="6" width="35.5" style="4621" customWidth="1"/>
    <col min="7" max="7" width="31" style="4621" customWidth="1"/>
    <col min="8" max="8" width="37.5" style="4621" hidden="1" customWidth="1"/>
    <col min="9" max="16384" width="22.6272727272727" style="4621"/>
  </cols>
  <sheetData>
    <row r="1" customHeight="1" spans="1:8">
      <c r="A1" s="4622"/>
      <c r="B1" s="4622"/>
      <c r="C1" s="4622"/>
      <c r="D1" s="4622"/>
      <c r="E1" s="4622"/>
      <c r="F1" s="4622"/>
      <c r="G1" s="4622"/>
      <c r="H1" s="4622"/>
    </row>
    <row r="2" customHeight="1" spans="1:8">
      <c r="A2" s="4623" t="s">
        <v>175</v>
      </c>
      <c r="B2" s="4624">
        <f ca="1">TODAY()</f>
        <v>46062</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c r="B16" s="4630"/>
      <c r="C16" s="4630"/>
      <c r="D16" s="4633" t="str">
        <f t="shared" si="0"/>
        <v>（注册号：）</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2026-02-09T05:47:05Z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2052-12.1.0.25225</vt:lpwstr>
  </property>
  <property fmtid="{D5CDD505-2E9C-101B-9397-08002B2CF9AE}" pid="4" name="CalculationRule">
    <vt:i4>0</vt:i4>
  </property>
</Properties>
</file>