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05" windowWidth="19425" windowHeight="1021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F4" i="1" l="1"/>
  <c r="C15" i="4" l="1"/>
  <c r="J4" i="1"/>
  <c r="J6" i="1" l="1"/>
  <c r="J5" i="1"/>
  <c r="E18" i="2"/>
  <c r="D18" i="2"/>
  <c r="C18" i="2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C10" i="2" l="1"/>
  <c r="G2" i="2" l="1"/>
  <c r="D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G6" i="2" l="1"/>
  <c r="G7" i="2" l="1"/>
  <c r="I7" i="2" l="1"/>
  <c r="C7" i="2"/>
  <c r="H7" i="2" s="1"/>
  <c r="C14" i="4" l="1"/>
  <c r="B2" i="4"/>
  <c r="J7" i="2"/>
  <c r="G4" i="1"/>
  <c r="C6" i="2"/>
  <c r="H6" i="2" s="1"/>
  <c r="G6" i="1" l="1"/>
  <c r="H6" i="1" s="1"/>
  <c r="I4" i="1"/>
  <c r="G5" i="1"/>
  <c r="H5" i="1" s="1"/>
  <c r="D15" i="4" s="1"/>
  <c r="H4" i="1"/>
  <c r="D14" i="4"/>
  <c r="D7" i="4"/>
  <c r="D8" i="4"/>
  <c r="B5" i="4" l="1"/>
  <c r="G14" i="4"/>
  <c r="G15" i="4"/>
  <c r="F15" i="4"/>
  <c r="E15" i="4"/>
  <c r="I5" i="1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<sst xmlns="http://schemas.openxmlformats.org/spreadsheetml/2006/main" count="172" uniqueCount="164">
  <si>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</si>
  <si>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</si>
  <si>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</si>
  <si>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</si>
  <si>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</si>
  <si>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</si>
  <si>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</si>
  <si>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</si>
  <si>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</si>
  <si>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</si>
  <si>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</si>
  <si>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</si>
  <si>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</si>
  <si>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</si>
  <si>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</si>
  <si>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</si>
  <si>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</si>
  <si>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</si>
  <si>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</si>
  <si>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</si>
  <si>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</si>
  <si>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</si>
  <si>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</si>
  <si>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</si>
  <si>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</si>
  <si>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</si>
  <si>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</si>
  <si>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</si>
  <si>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</si>
  <si>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</si>
  <si>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</si>
  <si>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</si>
  <si>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</si>
  <si>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</si>
  <si>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</si>
  <si>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</si>
  <si>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</si>
  <si>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</si>
  <si>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</si>
  <si>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</si>
  <si>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</si>
  <si>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</si>
  <si>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</si>
  <si>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</si>
  <si>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</si>
  <si>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</si>
  <si>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</si>
  <si>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</si>
  <si>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</si>
  <si>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</si>
  <si>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</si>
  <si>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</si>
  <si>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</si>
  <si>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</si>
  <si>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</si>
  <si>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</si>
  <si>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</si>
  <si>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</si>
  <si>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</si>
  <si>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</si>
  <si>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</si>
  <si>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</si>
  <si>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</si>
  <si>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</si>
  <si>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</si>
  <si>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</si>
  <si>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</si>
  <si>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</si>
  <si>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</si>
  <si>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</si>
  <si>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</si>
  <si>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</si>
  <si>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</si>
  <si>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</si>
  <si>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</si>
  <si>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</si>
  <si>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</si>
  <si>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</si>
  <si>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</si>
  <si>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</si>
  <si>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</si>
  <si>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</si>
  <si>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</si>
  <si>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</si>
  <si>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</si>
  <si>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</si>
  <si>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</si>
  <si>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</si>
  <si>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</si>
  <si>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</si>
  <si>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</si>
  <si>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</si>
  <si>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</si>
  <si>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</si>
  <si>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</si>
  <si>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</si>
  <si>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</si>
  <si>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</si>
  <si>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</si>
  <si>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</si>
  <si>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</si>
  <si>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</si>
  <si>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</si>
  <si>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</si>
  <si>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</si>
  <si>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</si>
  <si>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</si>
  <si>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</si>
  <si>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</si>
  <si>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</si>
  <si>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</si>
  <si>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</si>
  <si>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</si>
  <si>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</si>
  <si>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</si>
  <si>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</si>
  <si>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2022年1季度</t>
    <phoneticPr fontId="1" type="noConversion"/>
  </si>
  <si>
    <t>2022年2季度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</si>
  <si>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</si>
  <si>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</si>
  <si>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</si>
  <si>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</si>
  <si>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</si>
  <si>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</si>
  <si>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</si>
  <si>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</si>
  <si>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项目名称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</si>
  <si>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</si>
  <si>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</si>
  <si>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</si>
  <si>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</si>
  <si>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</si>
  <si>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集体地面积</t>
    <phoneticPr fontId="1" type="noConversion"/>
  </si>
  <si>
    <t>农用地</t>
    <phoneticPr fontId="1" type="noConversion"/>
  </si>
  <si>
    <t>国有地</t>
    <phoneticPr fontId="1" type="noConversion"/>
  </si>
  <si>
    <t>国有公路用地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</si>
  <si>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</si>
  <si>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</si>
  <si>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</si>
  <si>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</si>
  <si>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</si>
  <si>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</si>
  <si>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</si>
  <si>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</si>
  <si>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</si>
  <si>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</si>
  <si>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</si>
  <si>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</si>
  <si>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</si>
  <si>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</si>
  <si>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</si>
  <si>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</si>
  <si>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红线外</t>
    <phoneticPr fontId="1" type="noConversion"/>
  </si>
  <si>
    <t>七通一平</t>
  </si>
  <si>
    <t>010607-16-0001</t>
    <phoneticPr fontId="1" type="noConversion"/>
  </si>
  <si>
    <t>北京迪昌新创线缆有限公司雄县腾达分公司</t>
    <phoneticPr fontId="1" type="noConversion"/>
  </si>
  <si>
    <t>130638300002557</t>
    <phoneticPr fontId="1" type="noConversion"/>
  </si>
  <si>
    <t>工业</t>
    <phoneticPr fontId="1" type="noConversion"/>
  </si>
  <si>
    <t>集体</t>
    <phoneticPr fontId="1" type="noConversion"/>
  </si>
  <si>
    <t>村庄道路</t>
    <phoneticPr fontId="1" type="noConversion"/>
  </si>
  <si>
    <t>大田</t>
    <phoneticPr fontId="1" type="noConversion"/>
  </si>
  <si>
    <t>七通一平</t>
    <phoneticPr fontId="1" type="noConversion"/>
  </si>
  <si>
    <t>北京迪昌新创线缆有限公司雄县腾达分公司</t>
    <phoneticPr fontId="1" type="noConversion"/>
  </si>
  <si>
    <t>米家务镇米宁庄村村西北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</si>
</sst>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152400</xdr:rowOff>
    </xdr:from>
    <xdr:to>
      <xdr:col>3</xdr:col>
      <xdr:colOff>139288</xdr:colOff>
      <xdr:row>43</xdr:row>
      <xdr:rowOff>87797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70675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</xdr:colOff>
      <xdr:row>33</xdr:row>
      <xdr:rowOff>123825</xdr:rowOff>
    </xdr:from>
    <xdr:to>
      <xdr:col>5</xdr:col>
      <xdr:colOff>444092</xdr:colOff>
      <xdr:row>43</xdr:row>
      <xdr:rowOff>63031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5195" y="7038975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</xdr:colOff>
      <xdr:row>34</xdr:row>
      <xdr:rowOff>20955</xdr:rowOff>
    </xdr:from>
    <xdr:to>
      <xdr:col>7</xdr:col>
      <xdr:colOff>634596</xdr:colOff>
      <xdr:row>44</xdr:row>
      <xdr:rowOff>13506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6015" y="71456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24</xdr:row>
      <xdr:rowOff>161925</xdr:rowOff>
    </xdr:from>
    <xdr:to>
      <xdr:col>5</xdr:col>
      <xdr:colOff>9199</xdr:colOff>
      <xdr:row>33</xdr:row>
      <xdr:rowOff>133118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25" y="5191125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24</xdr:row>
      <xdr:rowOff>200025</xdr:rowOff>
    </xdr:from>
    <xdr:to>
      <xdr:col>2</xdr:col>
      <xdr:colOff>1056948</xdr:colOff>
      <xdr:row>33</xdr:row>
      <xdr:rowOff>171218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" y="522922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24</xdr:row>
      <xdr:rowOff>171450</xdr:rowOff>
    </xdr:from>
    <xdr:to>
      <xdr:col>6</xdr:col>
      <xdr:colOff>1456992</xdr:colOff>
      <xdr:row>34</xdr:row>
      <xdr:rowOff>85474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9300" y="5200650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1400175</xdr:colOff>
      <xdr:row>24</xdr:row>
      <xdr:rowOff>142875</xdr:rowOff>
    </xdr:from>
    <xdr:to>
      <xdr:col>9</xdr:col>
      <xdr:colOff>75868</xdr:colOff>
      <xdr:row>34</xdr:row>
      <xdr:rowOff>18804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39150" y="5172075"/>
          <a:ext cx="2657143" cy="19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33</xdr:row>
      <xdr:rowOff>171450</xdr:rowOff>
    </xdr:from>
    <xdr:to>
      <xdr:col>20</xdr:col>
      <xdr:colOff>684485</xdr:colOff>
      <xdr:row>35</xdr:row>
      <xdr:rowOff>161874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68050" y="7086600"/>
          <a:ext cx="10523810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35</xdr:row>
      <xdr:rowOff>85725</xdr:rowOff>
    </xdr:from>
    <xdr:to>
      <xdr:col>21</xdr:col>
      <xdr:colOff>17730</xdr:colOff>
      <xdr:row>37</xdr:row>
      <xdr:rowOff>76149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49000" y="7419975"/>
          <a:ext cx="10561905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37</xdr:row>
      <xdr:rowOff>66675</xdr:rowOff>
    </xdr:from>
    <xdr:to>
      <xdr:col>20</xdr:col>
      <xdr:colOff>655909</xdr:colOff>
      <xdr:row>39</xdr:row>
      <xdr:rowOff>19004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29950" y="7820025"/>
          <a:ext cx="10533334" cy="3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39</xdr:row>
      <xdr:rowOff>28575</xdr:rowOff>
    </xdr:from>
    <xdr:to>
      <xdr:col>20</xdr:col>
      <xdr:colOff>655909</xdr:colOff>
      <xdr:row>40</xdr:row>
      <xdr:rowOff>190454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29950" y="8201025"/>
          <a:ext cx="10533334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7"/>
  <sheetViews>
    <sheetView tabSelected="1" zoomScale="115" zoomScaleNormal="115" workbookViewId="0">
      <selection activeCell="I14" sqref="I14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148</v>
      </c>
      <c r="J3" s="5" t="s">
        <v>149</v>
      </c>
    </row>
    <row r="4" spans="1:23" x14ac:dyDescent="0.15">
      <c r="C4" s="65"/>
      <c r="D4" s="69" t="s">
        <v>162</v>
      </c>
      <c r="E4" s="67" t="s">
        <v>104</v>
      </c>
      <c r="F4" s="4">
        <f>H10</f>
        <v>2106</v>
      </c>
      <c r="G4" s="8">
        <f>估价对象!H7</f>
        <v>696</v>
      </c>
      <c r="H4" s="4">
        <f>ROUND(F4*G4,0)</f>
        <v>1465776</v>
      </c>
      <c r="I4" s="3">
        <f>ROUND(G4*H2/10000,2)</f>
        <v>46.4</v>
      </c>
      <c r="J4" s="3">
        <f>F4/$H$2</f>
        <v>3.1589842050789749</v>
      </c>
    </row>
    <row r="5" spans="1:23" x14ac:dyDescent="0.15">
      <c r="C5" s="65"/>
      <c r="D5" s="70"/>
      <c r="E5" s="67"/>
      <c r="F5" s="4"/>
      <c r="G5" s="8">
        <f>G4</f>
        <v>696</v>
      </c>
      <c r="H5" s="4">
        <f t="shared" ref="H5:H6" si="0">ROUND(F5*G5,0)</f>
        <v>0</v>
      </c>
      <c r="I5" s="3">
        <f>I4</f>
        <v>46.4</v>
      </c>
      <c r="J5" s="3">
        <f t="shared" ref="J5:J6" si="1">F5/$H$2</f>
        <v>0</v>
      </c>
    </row>
    <row r="6" spans="1:23" x14ac:dyDescent="0.15">
      <c r="C6" s="3" t="s">
        <v>150</v>
      </c>
      <c r="D6" s="3"/>
      <c r="E6" s="3"/>
      <c r="F6" s="4"/>
      <c r="G6" s="8">
        <f>G4</f>
        <v>696</v>
      </c>
      <c r="H6" s="4">
        <f t="shared" si="0"/>
        <v>0</v>
      </c>
      <c r="I6" s="3">
        <f>I4</f>
        <v>46.4</v>
      </c>
      <c r="J6" s="3">
        <f t="shared" si="1"/>
        <v>0</v>
      </c>
    </row>
    <row r="7" spans="1:23" x14ac:dyDescent="0.15">
      <c r="G7" s="10"/>
    </row>
    <row r="8" spans="1:23" s="64" customFormat="1" x14ac:dyDescent="0.1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3"/>
      <c r="O8" s="62"/>
      <c r="P8" s="62"/>
      <c r="Q8" s="62"/>
      <c r="R8" s="62"/>
      <c r="S8" s="62"/>
      <c r="T8" s="62"/>
      <c r="U8" s="62"/>
      <c r="V8" s="62"/>
      <c r="W8" s="62"/>
    </row>
    <row r="9" spans="1:23" s="64" customFormat="1" ht="67.5" x14ac:dyDescent="0.15">
      <c r="A9" s="62" t="s">
        <v>126</v>
      </c>
      <c r="B9" s="62" t="s">
        <v>127</v>
      </c>
      <c r="C9" s="62"/>
      <c r="D9" s="62" t="s">
        <v>128</v>
      </c>
      <c r="E9" s="62" t="s">
        <v>129</v>
      </c>
      <c r="F9" s="62" t="s">
        <v>130</v>
      </c>
      <c r="G9" s="62" t="s">
        <v>131</v>
      </c>
      <c r="H9" s="62" t="s">
        <v>132</v>
      </c>
      <c r="I9" s="62" t="s">
        <v>133</v>
      </c>
      <c r="J9" s="62" t="s">
        <v>134</v>
      </c>
      <c r="K9" s="62" t="s">
        <v>135</v>
      </c>
      <c r="L9" s="62" t="s">
        <v>136</v>
      </c>
      <c r="M9" s="62" t="s">
        <v>137</v>
      </c>
      <c r="N9" s="63" t="s">
        <v>138</v>
      </c>
      <c r="O9" s="62" t="s">
        <v>139</v>
      </c>
      <c r="P9" s="62" t="s">
        <v>140</v>
      </c>
      <c r="Q9" s="62" t="s">
        <v>141</v>
      </c>
      <c r="R9" s="62" t="s">
        <v>142</v>
      </c>
      <c r="S9" s="62" t="s">
        <v>143</v>
      </c>
      <c r="T9" s="62" t="s">
        <v>144</v>
      </c>
      <c r="U9" s="62" t="s">
        <v>145</v>
      </c>
      <c r="V9" s="62" t="s">
        <v>146</v>
      </c>
      <c r="W9" s="62" t="s">
        <v>147</v>
      </c>
    </row>
    <row r="10" spans="1:23" s="64" customFormat="1" ht="40.5" x14ac:dyDescent="0.15">
      <c r="A10" s="66" t="s">
        <v>163</v>
      </c>
      <c r="B10" s="66"/>
      <c r="C10" s="66" t="s">
        <v>154</v>
      </c>
      <c r="D10" s="66" t="s">
        <v>155</v>
      </c>
      <c r="E10" s="66"/>
      <c r="F10" s="68" t="s">
        <v>156</v>
      </c>
      <c r="G10" s="66">
        <v>13901013887</v>
      </c>
      <c r="H10" s="66">
        <v>2106</v>
      </c>
      <c r="I10" s="66">
        <v>17</v>
      </c>
      <c r="J10" s="66"/>
      <c r="K10" s="66"/>
      <c r="L10" s="66"/>
      <c r="M10" s="66">
        <f t="shared" ref="M10" si="2">ROUND(696*H10,0)</f>
        <v>1465776</v>
      </c>
      <c r="N10" s="66"/>
      <c r="O10" s="66" t="s">
        <v>157</v>
      </c>
      <c r="P10" s="66" t="s">
        <v>157</v>
      </c>
      <c r="Q10" s="66" t="s">
        <v>158</v>
      </c>
      <c r="R10" s="66" t="s">
        <v>159</v>
      </c>
      <c r="S10" s="66" t="s">
        <v>159</v>
      </c>
      <c r="T10" s="66" t="s">
        <v>160</v>
      </c>
      <c r="U10" s="66" t="s">
        <v>160</v>
      </c>
      <c r="V10" s="66" t="s">
        <v>153</v>
      </c>
      <c r="W10" s="66" t="s">
        <v>161</v>
      </c>
    </row>
    <row r="12" spans="1:23" x14ac:dyDescent="0.15">
      <c r="A12" s="58"/>
      <c r="B12" s="58"/>
      <c r="C12" s="58"/>
      <c r="D12" s="58"/>
      <c r="E12" s="58"/>
    </row>
    <row r="13" spans="1:23" x14ac:dyDescent="0.15">
      <c r="A13" s="58"/>
      <c r="B13" s="58"/>
      <c r="C13" s="58"/>
      <c r="D13" s="58"/>
      <c r="E13" s="58"/>
    </row>
    <row r="14" spans="1:23" x14ac:dyDescent="0.15">
      <c r="A14" s="58"/>
      <c r="B14" s="58"/>
      <c r="C14" s="58"/>
      <c r="D14" s="58"/>
      <c r="E14" s="58"/>
    </row>
    <row r="15" spans="1:23" x14ac:dyDescent="0.15">
      <c r="A15" s="58"/>
      <c r="B15" s="58"/>
      <c r="C15" s="58"/>
      <c r="D15" s="58"/>
      <c r="E15" s="58"/>
    </row>
    <row r="16" spans="1:23" x14ac:dyDescent="0.15">
      <c r="A16" s="58"/>
      <c r="B16" s="58"/>
      <c r="C16" s="58"/>
      <c r="D16" s="58"/>
      <c r="E16" s="58"/>
    </row>
    <row r="17" spans="1:5" x14ac:dyDescent="0.15">
      <c r="A17" s="58"/>
      <c r="B17" s="58"/>
      <c r="C17" s="58"/>
      <c r="D17" s="58"/>
      <c r="E17" s="58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3"/>
  <sheetViews>
    <sheetView workbookViewId="0">
      <selection activeCell="G7" sqref="G7"/>
    </sheetView>
  </sheetViews>
  <sheetFormatPr defaultColWidth="9" defaultRowHeight="16.5" x14ac:dyDescent="0.15"/>
  <cols>
    <col min="1" max="1" width="9" style="11"/>
    <col min="2" max="2" width="20.375" style="11" bestFit="1" customWidth="1"/>
    <col min="3" max="4" width="15.375" style="11" bestFit="1" customWidth="1"/>
    <col min="5" max="5" width="17.125" style="11" bestFit="1" customWidth="1"/>
    <col min="6" max="6" width="15.125" style="11" bestFit="1" customWidth="1"/>
    <col min="7" max="7" width="19.375" style="11" customWidth="1"/>
    <col min="8" max="8" width="17.5" style="11" customWidth="1"/>
    <col min="9" max="9" width="15.375" style="21" bestFit="1" customWidth="1"/>
    <col min="10" max="11" width="15.375" style="11" bestFit="1" customWidth="1"/>
    <col min="12" max="12" width="14.625" style="11" customWidth="1"/>
    <col min="13" max="13" width="14.75" style="11" customWidth="1"/>
    <col min="14" max="14" width="15.625" style="11" customWidth="1"/>
    <col min="15" max="16384" width="9" style="11"/>
  </cols>
  <sheetData>
    <row r="1" spans="2:13" x14ac:dyDescent="0.15">
      <c r="B1" s="11" t="s">
        <v>62</v>
      </c>
      <c r="C1" s="57">
        <v>44827</v>
      </c>
      <c r="E1" s="11" t="s">
        <v>65</v>
      </c>
      <c r="F1" s="20">
        <v>42370</v>
      </c>
      <c r="K1" s="22"/>
    </row>
    <row r="2" spans="2:13" x14ac:dyDescent="0.15">
      <c r="B2" s="11" t="s">
        <v>64</v>
      </c>
      <c r="C2" s="11" t="s">
        <v>106</v>
      </c>
      <c r="D2" s="11">
        <f>SUM(C20:I20)+J20</f>
        <v>125</v>
      </c>
      <c r="E2" s="11" t="s">
        <v>66</v>
      </c>
      <c r="F2" s="11" t="s">
        <v>67</v>
      </c>
      <c r="G2" s="11">
        <f>C20+E20+G20+D20+F20+J20</f>
        <v>85</v>
      </c>
      <c r="K2" s="23"/>
    </row>
    <row r="3" spans="2:13" x14ac:dyDescent="0.15">
      <c r="F3" s="11" t="s">
        <v>68</v>
      </c>
    </row>
    <row r="5" spans="2:13" x14ac:dyDescent="0.15"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63</v>
      </c>
      <c r="H5" s="24" t="s">
        <v>8</v>
      </c>
      <c r="I5" s="24" t="s">
        <v>9</v>
      </c>
      <c r="J5" s="25" t="s">
        <v>10</v>
      </c>
      <c r="K5" s="22"/>
    </row>
    <row r="6" spans="2:13" x14ac:dyDescent="0.15">
      <c r="B6" s="26">
        <v>618</v>
      </c>
      <c r="C6" s="26">
        <f>C10</f>
        <v>1.1169</v>
      </c>
      <c r="D6" s="26">
        <v>1</v>
      </c>
      <c r="E6" s="26">
        <v>1</v>
      </c>
      <c r="F6" s="26">
        <v>1</v>
      </c>
      <c r="G6" s="26">
        <f>D2-G2</f>
        <v>40</v>
      </c>
      <c r="H6" s="27">
        <f>B6*C6*D6*E6*F6+G6</f>
        <v>730.24419999999998</v>
      </c>
      <c r="I6" s="28"/>
      <c r="J6" s="29"/>
      <c r="K6" s="30" t="s">
        <v>40</v>
      </c>
    </row>
    <row r="7" spans="2:13" x14ac:dyDescent="0.15">
      <c r="B7" s="26">
        <v>618</v>
      </c>
      <c r="C7" s="31">
        <f>C10</f>
        <v>1.1169</v>
      </c>
      <c r="D7" s="26">
        <v>1</v>
      </c>
      <c r="E7" s="26">
        <v>0.95</v>
      </c>
      <c r="F7" s="26">
        <v>1</v>
      </c>
      <c r="G7" s="26">
        <f>D2-G2</f>
        <v>40</v>
      </c>
      <c r="H7" s="32">
        <f>ROUND(B7*C7*D7*E7*F7+G7,0)</f>
        <v>696</v>
      </c>
      <c r="I7" s="26">
        <f>基础信息!F4</f>
        <v>2106</v>
      </c>
      <c r="J7" s="42">
        <f>ROUND(H7*I7/10000,4)</f>
        <v>146.57759999999999</v>
      </c>
      <c r="K7" s="11" t="s">
        <v>41</v>
      </c>
    </row>
    <row r="8" spans="2:13" x14ac:dyDescent="0.15">
      <c r="I8" s="34"/>
    </row>
    <row r="10" spans="2:13" x14ac:dyDescent="0.15">
      <c r="B10" s="35" t="s">
        <v>11</v>
      </c>
      <c r="C10" s="36">
        <f>ROUND((1+C12)*(1+D12)*(1+E12)*(1+F12)*(1+G12)*(1+H12)*(1+I12)*(1+C14)*(1+D14)*(1+E14)*(1+F14)*(1+G14)*(1+H14)*(1+I14)*(1+J14)*(1+C16)*(1+D16)*(1+E16)*(1+F16)*(1+G16)*(1+H16)*(1+I16)*(1+J16)*(1+C18)*(1+D18)*(1+E18),4)</f>
        <v>1.1169</v>
      </c>
      <c r="D10" s="41" t="s">
        <v>42</v>
      </c>
      <c r="E10" s="41"/>
    </row>
    <row r="11" spans="2:13" x14ac:dyDescent="0.15">
      <c r="B11" s="26" t="s">
        <v>12</v>
      </c>
      <c r="C11" s="26" t="s">
        <v>13</v>
      </c>
      <c r="D11" s="26" t="s">
        <v>14</v>
      </c>
      <c r="E11" s="26" t="s">
        <v>15</v>
      </c>
      <c r="F11" s="26" t="s">
        <v>16</v>
      </c>
      <c r="G11" s="26" t="s">
        <v>17</v>
      </c>
      <c r="H11" s="26" t="s">
        <v>18</v>
      </c>
      <c r="I11" s="26" t="s">
        <v>19</v>
      </c>
    </row>
    <row r="12" spans="2:13" x14ac:dyDescent="0.15">
      <c r="B12" s="26" t="s">
        <v>20</v>
      </c>
      <c r="C12" s="37">
        <v>1.4E-2</v>
      </c>
      <c r="D12" s="37">
        <v>7.7000000000000002E-3</v>
      </c>
      <c r="E12" s="37">
        <v>1.83E-2</v>
      </c>
      <c r="F12" s="37">
        <v>6.0000000000000001E-3</v>
      </c>
      <c r="G12" s="37">
        <v>7.4000000000000003E-3</v>
      </c>
      <c r="H12" s="37">
        <v>5.8999999999999999E-3</v>
      </c>
      <c r="I12" s="37">
        <v>2.8999999999999998E-3</v>
      </c>
    </row>
    <row r="13" spans="2:13" x14ac:dyDescent="0.15">
      <c r="B13" s="26" t="s">
        <v>12</v>
      </c>
      <c r="C13" s="26" t="s">
        <v>21</v>
      </c>
      <c r="D13" s="26" t="s">
        <v>22</v>
      </c>
      <c r="E13" s="26" t="s">
        <v>23</v>
      </c>
      <c r="F13" s="26" t="s">
        <v>24</v>
      </c>
      <c r="G13" s="26" t="s">
        <v>25</v>
      </c>
      <c r="H13" s="26" t="s">
        <v>26</v>
      </c>
      <c r="I13" s="26" t="s">
        <v>27</v>
      </c>
      <c r="J13" s="26" t="s">
        <v>69</v>
      </c>
    </row>
    <row r="14" spans="2:13" x14ac:dyDescent="0.15">
      <c r="B14" s="26" t="s">
        <v>20</v>
      </c>
      <c r="C14" s="37">
        <v>5.8999999999999999E-3</v>
      </c>
      <c r="D14" s="37">
        <v>0</v>
      </c>
      <c r="E14" s="37">
        <v>1.1599999999999999E-2</v>
      </c>
      <c r="F14" s="37">
        <v>5.7999999999999996E-3</v>
      </c>
      <c r="G14" s="37">
        <v>7.1999999999999998E-3</v>
      </c>
      <c r="H14" s="37">
        <v>5.0000000000000001E-3</v>
      </c>
      <c r="I14" s="37">
        <v>3.7000000000000002E-3</v>
      </c>
      <c r="J14" s="37">
        <v>6.1000000000000004E-3</v>
      </c>
    </row>
    <row r="15" spans="2:13" x14ac:dyDescent="0.15">
      <c r="B15" s="22"/>
      <c r="C15" s="26" t="s">
        <v>98</v>
      </c>
      <c r="D15" s="26" t="s">
        <v>99</v>
      </c>
      <c r="E15" s="26" t="s">
        <v>100</v>
      </c>
      <c r="F15" s="26" t="s">
        <v>101</v>
      </c>
      <c r="G15" s="26" t="s">
        <v>102</v>
      </c>
      <c r="H15" s="26" t="s">
        <v>103</v>
      </c>
      <c r="I15" s="26" t="s">
        <v>105</v>
      </c>
      <c r="J15" s="26" t="s">
        <v>107</v>
      </c>
      <c r="K15" s="22"/>
      <c r="L15" s="22"/>
      <c r="M15" s="22"/>
    </row>
    <row r="16" spans="2:13" x14ac:dyDescent="0.15">
      <c r="C16" s="37">
        <v>6.1000000000000004E-3</v>
      </c>
      <c r="D16" s="37">
        <v>2.3999999999999998E-3</v>
      </c>
      <c r="E16" s="37">
        <v>3.5999999999999999E-3</v>
      </c>
      <c r="F16" s="37">
        <v>2.3999999999999998E-3</v>
      </c>
      <c r="G16" s="37">
        <v>0</v>
      </c>
      <c r="H16" s="37">
        <v>-4.7999999999999996E-3</v>
      </c>
      <c r="I16" s="37">
        <v>-8.5000000000000006E-3</v>
      </c>
      <c r="J16" s="37">
        <v>-2.3999999999999998E-3</v>
      </c>
      <c r="K16" s="56"/>
      <c r="L16" s="56"/>
      <c r="M16" s="56"/>
    </row>
    <row r="17" spans="2:15" x14ac:dyDescent="0.15">
      <c r="C17" s="26" t="s">
        <v>119</v>
      </c>
      <c r="D17" s="26" t="s">
        <v>120</v>
      </c>
      <c r="E17" s="26" t="s">
        <v>121</v>
      </c>
      <c r="F17" s="37"/>
      <c r="G17" s="37"/>
      <c r="H17" s="37"/>
      <c r="I17" s="37"/>
      <c r="J17" s="37"/>
      <c r="K17" s="56"/>
      <c r="L17" s="56"/>
      <c r="M17" s="56"/>
    </row>
    <row r="18" spans="2:15" x14ac:dyDescent="0.15">
      <c r="C18" s="37">
        <f>N29</f>
        <v>-1.1999999999999999E-3</v>
      </c>
      <c r="D18" s="37">
        <f>N30</f>
        <v>2.3999999999999998E-3</v>
      </c>
      <c r="E18" s="37">
        <f>N31</f>
        <v>3.7000000000000002E-3</v>
      </c>
      <c r="F18" s="37"/>
      <c r="G18" s="37"/>
      <c r="H18" s="37"/>
      <c r="I18" s="37"/>
      <c r="J18" s="37"/>
    </row>
    <row r="19" spans="2:15" x14ac:dyDescent="0.15">
      <c r="B19" s="24" t="s">
        <v>28</v>
      </c>
      <c r="C19" s="26" t="s">
        <v>29</v>
      </c>
      <c r="D19" s="26" t="s">
        <v>30</v>
      </c>
      <c r="E19" s="26" t="s">
        <v>31</v>
      </c>
      <c r="F19" s="26" t="s">
        <v>32</v>
      </c>
      <c r="G19" s="26" t="s">
        <v>33</v>
      </c>
      <c r="H19" s="26" t="s">
        <v>34</v>
      </c>
      <c r="I19" s="33" t="s">
        <v>35</v>
      </c>
      <c r="J19" s="26" t="s">
        <v>36</v>
      </c>
    </row>
    <row r="20" spans="2:15" x14ac:dyDescent="0.15">
      <c r="B20" s="24" t="s">
        <v>37</v>
      </c>
      <c r="C20" s="26">
        <v>25</v>
      </c>
      <c r="D20" s="26">
        <v>14</v>
      </c>
      <c r="E20" s="26">
        <v>18</v>
      </c>
      <c r="F20" s="26">
        <v>14</v>
      </c>
      <c r="G20" s="26">
        <v>10</v>
      </c>
      <c r="H20" s="26">
        <v>25</v>
      </c>
      <c r="I20" s="38">
        <v>15</v>
      </c>
      <c r="J20" s="26">
        <v>4</v>
      </c>
    </row>
    <row r="21" spans="2:15" ht="33" x14ac:dyDescent="0.15">
      <c r="B21" s="39"/>
      <c r="C21" s="40"/>
      <c r="L21" s="61" t="s">
        <v>123</v>
      </c>
      <c r="M21" s="61" t="s">
        <v>124</v>
      </c>
      <c r="N21" s="61" t="s">
        <v>125</v>
      </c>
    </row>
    <row r="22" spans="2:15" x14ac:dyDescent="0.15">
      <c r="B22" s="39"/>
      <c r="I22" s="11"/>
      <c r="K22" s="11" t="s">
        <v>111</v>
      </c>
      <c r="L22" s="11">
        <v>55.13</v>
      </c>
      <c r="M22" s="11">
        <f>ROUND(L22*10000/666.67,0)</f>
        <v>827</v>
      </c>
      <c r="N22" s="56"/>
      <c r="O22" s="56"/>
    </row>
    <row r="23" spans="2:15" x14ac:dyDescent="0.15">
      <c r="B23" s="39"/>
      <c r="I23" s="11"/>
      <c r="K23" s="11" t="s">
        <v>112</v>
      </c>
      <c r="L23" s="11">
        <v>55.33</v>
      </c>
      <c r="M23" s="11">
        <f t="shared" ref="M23:M32" si="0">ROUND(L23*10000/666.67,0)</f>
        <v>830</v>
      </c>
      <c r="N23" s="56">
        <f>ROUND((M23/M22-1),4)</f>
        <v>3.5999999999999999E-3</v>
      </c>
      <c r="O23" s="56"/>
    </row>
    <row r="24" spans="2:15" x14ac:dyDescent="0.15">
      <c r="K24" s="11" t="s">
        <v>113</v>
      </c>
      <c r="L24" s="11">
        <v>55.47</v>
      </c>
      <c r="M24" s="11">
        <f t="shared" si="0"/>
        <v>832</v>
      </c>
      <c r="N24" s="56">
        <f t="shared" ref="N24:N32" si="1">ROUND((M24/M23-1),4)</f>
        <v>2.3999999999999998E-3</v>
      </c>
      <c r="O24" s="56"/>
    </row>
    <row r="25" spans="2:15" x14ac:dyDescent="0.15">
      <c r="D25" s="56"/>
      <c r="K25" s="11" t="s">
        <v>114</v>
      </c>
      <c r="L25" s="11">
        <v>55.47</v>
      </c>
      <c r="M25" s="11">
        <f t="shared" si="0"/>
        <v>832</v>
      </c>
      <c r="N25" s="56">
        <f t="shared" si="1"/>
        <v>0</v>
      </c>
      <c r="O25" s="56"/>
    </row>
    <row r="26" spans="2:15" x14ac:dyDescent="0.15">
      <c r="K26" s="11" t="s">
        <v>108</v>
      </c>
      <c r="L26" s="11">
        <v>55.2</v>
      </c>
      <c r="M26" s="11">
        <f t="shared" si="0"/>
        <v>828</v>
      </c>
      <c r="N26" s="56">
        <f t="shared" si="1"/>
        <v>-4.7999999999999996E-3</v>
      </c>
      <c r="O26" s="56"/>
    </row>
    <row r="27" spans="2:15" x14ac:dyDescent="0.15">
      <c r="K27" s="11" t="s">
        <v>109</v>
      </c>
      <c r="L27" s="11">
        <v>54.73</v>
      </c>
      <c r="M27" s="11">
        <f t="shared" si="0"/>
        <v>821</v>
      </c>
      <c r="N27" s="56">
        <f t="shared" si="1"/>
        <v>-8.5000000000000006E-3</v>
      </c>
      <c r="O27" s="56"/>
    </row>
    <row r="28" spans="2:15" x14ac:dyDescent="0.15">
      <c r="K28" s="11" t="s">
        <v>110</v>
      </c>
      <c r="L28" s="11">
        <v>54.6</v>
      </c>
      <c r="M28" s="11">
        <f t="shared" si="0"/>
        <v>819</v>
      </c>
      <c r="N28" s="56">
        <f t="shared" si="1"/>
        <v>-2.3999999999999998E-3</v>
      </c>
      <c r="O28" s="56"/>
    </row>
    <row r="29" spans="2:15" x14ac:dyDescent="0.15">
      <c r="K29" s="59" t="s">
        <v>115</v>
      </c>
      <c r="L29" s="59">
        <v>54.53</v>
      </c>
      <c r="M29" s="59">
        <f t="shared" si="0"/>
        <v>818</v>
      </c>
      <c r="N29" s="60">
        <f t="shared" si="1"/>
        <v>-1.1999999999999999E-3</v>
      </c>
      <c r="O29" s="60"/>
    </row>
    <row r="30" spans="2:15" x14ac:dyDescent="0.15">
      <c r="K30" s="59" t="s">
        <v>116</v>
      </c>
      <c r="L30" s="59">
        <v>54.67</v>
      </c>
      <c r="M30" s="59">
        <f t="shared" si="0"/>
        <v>820</v>
      </c>
      <c r="N30" s="60">
        <f t="shared" si="1"/>
        <v>2.3999999999999998E-3</v>
      </c>
      <c r="O30" s="60"/>
    </row>
    <row r="31" spans="2:15" x14ac:dyDescent="0.15">
      <c r="K31" s="59" t="s">
        <v>117</v>
      </c>
      <c r="L31" s="59">
        <v>54.87</v>
      </c>
      <c r="M31" s="59">
        <f t="shared" si="0"/>
        <v>823</v>
      </c>
      <c r="N31" s="60">
        <f t="shared" si="1"/>
        <v>3.7000000000000002E-3</v>
      </c>
      <c r="O31" s="60"/>
    </row>
    <row r="32" spans="2:15" x14ac:dyDescent="0.15">
      <c r="K32" s="59" t="s">
        <v>118</v>
      </c>
      <c r="L32" s="59">
        <v>54.93</v>
      </c>
      <c r="M32" s="59">
        <f t="shared" si="0"/>
        <v>824</v>
      </c>
      <c r="N32" s="60">
        <f t="shared" si="1"/>
        <v>1.1999999999999999E-3</v>
      </c>
      <c r="O32" s="60"/>
    </row>
    <row r="43" spans="10:10" x14ac:dyDescent="0.15">
      <c r="J43" s="11" t="s">
        <v>122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B37" sqref="B37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1" sqref="F11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估价对象!I7</f>
        <v>2106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估价对象!C1</f>
        <v>44827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146.57759999999999</v>
      </c>
      <c r="C5" s="43" t="e">
        <f>ROUND(B5*10000/$B$1,0)</f>
        <v>#DIV/0!</v>
      </c>
      <c r="D5" s="43">
        <f>ROUND(B5*10000/$B$2,0)</f>
        <v>696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146.57759999999999</v>
      </c>
      <c r="C6" s="43" t="e">
        <f>ROUND(B6*10000/$B$1,0)</f>
        <v>#DIV/0!</v>
      </c>
      <c r="D6" s="43">
        <f>ROUND(B6*10000/$B$2,0)</f>
        <v>696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151</v>
      </c>
      <c r="B14" s="51">
        <v>0</v>
      </c>
      <c r="C14" s="51">
        <f>估价对象!I7</f>
        <v>2106</v>
      </c>
      <c r="D14" s="51">
        <f>估价对象!J7</f>
        <v>146.57759999999999</v>
      </c>
      <c r="E14" s="51" t="e">
        <f>ROUND(D14*10000/B14,0)</f>
        <v>#DIV/0!</v>
      </c>
      <c r="F14" s="51">
        <f>ROUND(D14*10000/C14,0)</f>
        <v>696</v>
      </c>
      <c r="G14" s="51">
        <f>D14</f>
        <v>146.57759999999999</v>
      </c>
      <c r="H14" s="51"/>
      <c r="I14" s="51"/>
      <c r="J14" s="45"/>
    </row>
    <row r="15" spans="1:10" ht="16.5" x14ac:dyDescent="0.15">
      <c r="A15" s="52" t="s">
        <v>152</v>
      </c>
      <c r="B15" s="53"/>
      <c r="C15" s="53">
        <f>基础信息!F5</f>
        <v>0</v>
      </c>
      <c r="D15" s="53">
        <f>基础信息!H5/10000</f>
        <v>0</v>
      </c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>
        <f>D15</f>
        <v>0</v>
      </c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2023-06-26T01:20:47Z</dcterms:modified>
</cp:coreProperties>
</file>