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商业)" sheetId="87" r:id="rId19"/>
    <sheet name="结果表(仓储)" sheetId="88" r:id="rId20"/>
    <sheet name="结果表(办公)" sheetId="86" r:id="rId21"/>
    <sheet name="结果表" sheetId="9" r:id="rId22"/>
    <sheet name="成本法(仓储)" sheetId="89" r:id="rId23"/>
    <sheet name="成本法" sheetId="68" r:id="rId24"/>
    <sheet name="成本法 (元)" sheetId="69" state="hidden" r:id="rId25"/>
    <sheet name="基准地价修正" sheetId="43" r:id="rId26"/>
    <sheet name="基准地价修正(商业)" sheetId="81" r:id="rId27"/>
    <sheet name="基准地价修正(车库仓储)" sheetId="82" r:id="rId28"/>
    <sheet name="基准地价（汇总）" sheetId="76" r:id="rId29"/>
    <sheet name="假设开发法" sheetId="12" state="hidden" r:id="rId30"/>
    <sheet name="收益法" sheetId="15" r:id="rId31"/>
    <sheet name="收益法 (元)" sheetId="67" r:id="rId32"/>
    <sheet name="收益法 (元)车位" sheetId="83" r:id="rId33"/>
    <sheet name="收益法 (元)仓储" sheetId="84" r:id="rId34"/>
    <sheet name="收益法-酒店模型" sheetId="77" state="hidden" r:id="rId35"/>
    <sheet name="收益法（汇总）" sheetId="70" r:id="rId36"/>
    <sheet name="比较法-住宅" sheetId="21" state="hidden" r:id="rId37"/>
    <sheet name="比较法-商业" sheetId="33" r:id="rId38"/>
    <sheet name="比较法-办公" sheetId="34"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Sheet6" sheetId="85" r:id="rId55"/>
  </sheets>
  <externalReferences>
    <externalReference r:id="rId56"/>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3">成本法!$A$1:$G$57</definedName>
    <definedName name="_xlnm.Print_Area" localSheetId="24">'成本法 (元)'!$A$1:$G$57</definedName>
    <definedName name="_xlnm.Print_Area" localSheetId="22">'成本法(仓储)'!$A$1:$G$57</definedName>
    <definedName name="_xlnm.Print_Area" localSheetId="16">估价对象房地状况!$A$1:$G$24</definedName>
    <definedName name="_xlnm.Print_Area" localSheetId="8">估价师及机构信息!$A$1:$G$22</definedName>
    <definedName name="_xlnm.Print_Area" localSheetId="28">'基准地价（汇总）'!$A$1:$E$13</definedName>
    <definedName name="_xlnm.Print_Area" localSheetId="25">基准地价修正!$A$1:$J$44,基准地价修正!$A$47:$H$101,基准地价修正!$R$1:$V$16</definedName>
    <definedName name="_xlnm.Print_Area" localSheetId="27">'基准地价修正(车库仓储)'!$A$1:$J$44,'基准地价修正(车库仓储)'!$A$47:$H$101,'基准地价修正(车库仓储)'!$R$1:$V$16</definedName>
    <definedName name="_xlnm.Print_Area" localSheetId="26">'基准地价修正(商业)'!$A$1:$J$44,'基准地价修正(商业)'!$A$47:$H$101,'基准地价修正(商业)'!$R$1:$V$16</definedName>
    <definedName name="_xlnm.Print_Area" localSheetId="29">假设开发法!$A$1:$K$32</definedName>
    <definedName name="_xlnm.Print_Area" localSheetId="21">结果表!$A$1:$I$127</definedName>
    <definedName name="_xlnm.Print_Area" localSheetId="20">'结果表(办公)'!$A$1:$I$127</definedName>
    <definedName name="_xlnm.Print_Area" localSheetId="19">'结果表(仓储)'!$A$1:$I$127</definedName>
    <definedName name="_xlnm.Print_Area" localSheetId="18">'结果表(商业)'!$A$1:$I$127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 (元)仓储'!$A$1:$F$43,'收益法 (元)仓储'!$H$3:$M$29,'收益法 (元)仓储'!$A$45:$F$71,'收益法 (元)仓储'!$I$46:$N$65</definedName>
    <definedName name="_xlnm.Print_Area" localSheetId="32">'收益法 (元)车位'!$A$1:$F$43,'收益法 (元)车位'!$H$3:$M$29,'收益法 (元)车位'!$A$45:$F$71,'收益法 (元)车位'!$I$46:$N$65</definedName>
    <definedName name="_xlnm.Print_Area" localSheetId="35">'收益法（汇总）'!$A$1:$F$13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7">'基准地价修正(车库仓储)'!$Q$19:$AD$19</definedName>
    <definedName name="季度" localSheetId="26">'基准地价修正(商业)'!$Q$19:$AD$19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 i="80" l="1"/>
  <c r="I9" i="80" l="1"/>
  <c r="I4" i="80"/>
  <c r="I5" i="80"/>
  <c r="I6" i="80"/>
  <c r="I3" i="80"/>
  <c r="C9" i="80"/>
  <c r="F8" i="80" l="1"/>
  <c r="AM9" i="1"/>
  <c r="AK9" i="1"/>
  <c r="C6" i="89"/>
  <c r="F50" i="89"/>
  <c r="G41" i="89"/>
  <c r="C40" i="89"/>
  <c r="F38" i="89"/>
  <c r="E37" i="89"/>
  <c r="F36" i="89"/>
  <c r="F35" i="89"/>
  <c r="F34" i="89"/>
  <c r="F30" i="89"/>
  <c r="F48" i="89" s="1"/>
  <c r="G22" i="89"/>
  <c r="F21" i="89"/>
  <c r="F40" i="89" s="1"/>
  <c r="C21" i="89"/>
  <c r="F20" i="89"/>
  <c r="F39" i="89" s="1"/>
  <c r="E19" i="89"/>
  <c r="C19" i="89"/>
  <c r="E10" i="89"/>
  <c r="E9" i="89"/>
  <c r="F7" i="89"/>
  <c r="G1" i="89"/>
  <c r="A126" i="88"/>
  <c r="A120" i="88"/>
  <c r="A118" i="88"/>
  <c r="H112" i="88"/>
  <c r="H111" i="88"/>
  <c r="D126" i="88" s="1"/>
  <c r="D127" i="88" s="1"/>
  <c r="E111" i="88"/>
  <c r="E109" i="88"/>
  <c r="A124" i="88" s="1"/>
  <c r="E107" i="88"/>
  <c r="A122" i="88" s="1"/>
  <c r="H106" i="88"/>
  <c r="H103" i="88" s="1"/>
  <c r="D120" i="88" s="1"/>
  <c r="H105" i="88"/>
  <c r="H104" i="88"/>
  <c r="D101" i="88"/>
  <c r="C101" i="88"/>
  <c r="D93" i="88"/>
  <c r="C91" i="88"/>
  <c r="E90" i="88"/>
  <c r="D89" i="88"/>
  <c r="C89" i="88"/>
  <c r="C87" i="88"/>
  <c r="C92" i="88" s="1"/>
  <c r="D78" i="88"/>
  <c r="H77" i="88"/>
  <c r="D77" i="88"/>
  <c r="C77" i="88"/>
  <c r="C76" i="88"/>
  <c r="C74" i="88" s="1"/>
  <c r="D68" i="88"/>
  <c r="F59" i="88"/>
  <c r="E59" i="88"/>
  <c r="N56" i="88"/>
  <c r="M56" i="88"/>
  <c r="K56" i="88"/>
  <c r="J56" i="88"/>
  <c r="F56" i="88"/>
  <c r="O55" i="88"/>
  <c r="N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M19" i="88"/>
  <c r="C118" i="88" s="1"/>
  <c r="L19" i="88"/>
  <c r="M18" i="88"/>
  <c r="B118" i="88" s="1"/>
  <c r="L18" i="88"/>
  <c r="D17" i="88"/>
  <c r="C17" i="88"/>
  <c r="C18" i="88" s="1"/>
  <c r="D18" i="88" s="1"/>
  <c r="L4" i="88"/>
  <c r="K4" i="88"/>
  <c r="A2" i="88"/>
  <c r="H1" i="88"/>
  <c r="I47" i="33"/>
  <c r="G47" i="33"/>
  <c r="I36" i="33"/>
  <c r="G36" i="33"/>
  <c r="E36" i="33"/>
  <c r="I7" i="33"/>
  <c r="G7" i="33"/>
  <c r="E7" i="33"/>
  <c r="A126" i="87"/>
  <c r="A120" i="87"/>
  <c r="A118" i="87"/>
  <c r="H112" i="87"/>
  <c r="H111" i="87"/>
  <c r="D126" i="87" s="1"/>
  <c r="D127" i="87" s="1"/>
  <c r="E111" i="87"/>
  <c r="E109" i="87"/>
  <c r="A124" i="87" s="1"/>
  <c r="E107" i="87"/>
  <c r="A122" i="87" s="1"/>
  <c r="H106" i="87"/>
  <c r="H103" i="87" s="1"/>
  <c r="D120" i="87" s="1"/>
  <c r="H105" i="87"/>
  <c r="H104" i="87"/>
  <c r="D101" i="87"/>
  <c r="C101" i="87"/>
  <c r="D93" i="87"/>
  <c r="C91" i="87"/>
  <c r="E90" i="87"/>
  <c r="D89" i="87"/>
  <c r="C89" i="87"/>
  <c r="C87" i="87"/>
  <c r="C92" i="87" s="1"/>
  <c r="D78" i="87"/>
  <c r="H77" i="87"/>
  <c r="D77" i="87"/>
  <c r="C77" i="87"/>
  <c r="C76" i="87"/>
  <c r="C74" i="87" s="1"/>
  <c r="D68" i="87"/>
  <c r="F59" i="87"/>
  <c r="E59" i="87"/>
  <c r="N56" i="87"/>
  <c r="M56" i="87"/>
  <c r="K56" i="87"/>
  <c r="J56" i="87"/>
  <c r="F56" i="87"/>
  <c r="O55" i="87"/>
  <c r="N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L4" i="87"/>
  <c r="K4" i="87"/>
  <c r="A2" i="87"/>
  <c r="H1" i="87"/>
  <c r="A126" i="86"/>
  <c r="A120" i="86"/>
  <c r="A118" i="86"/>
  <c r="H112" i="86"/>
  <c r="H111" i="86"/>
  <c r="D126" i="86" s="1"/>
  <c r="D127" i="86" s="1"/>
  <c r="E111" i="86"/>
  <c r="H109" i="86"/>
  <c r="D124" i="86" s="1"/>
  <c r="D125" i="86" s="1"/>
  <c r="E109" i="86"/>
  <c r="A124" i="86" s="1"/>
  <c r="E107" i="86"/>
  <c r="A122" i="86" s="1"/>
  <c r="H106" i="86"/>
  <c r="H103" i="86" s="1"/>
  <c r="D120" i="86" s="1"/>
  <c r="H105" i="86"/>
  <c r="H104" i="86"/>
  <c r="D101" i="86"/>
  <c r="C101" i="86"/>
  <c r="D93" i="86"/>
  <c r="C91" i="86"/>
  <c r="E90" i="86"/>
  <c r="D89" i="86"/>
  <c r="C89" i="86"/>
  <c r="C87" i="86"/>
  <c r="C92" i="86" s="1"/>
  <c r="D78" i="86"/>
  <c r="H77" i="86"/>
  <c r="D77" i="86"/>
  <c r="C77" i="86"/>
  <c r="C76" i="86"/>
  <c r="C74" i="86" s="1"/>
  <c r="D68" i="86"/>
  <c r="F59" i="86"/>
  <c r="E59" i="86"/>
  <c r="N56" i="86"/>
  <c r="M56" i="86"/>
  <c r="K56" i="86"/>
  <c r="J56" i="86"/>
  <c r="J57" i="86" s="1"/>
  <c r="J59" i="86" s="1"/>
  <c r="J61" i="86" s="1"/>
  <c r="F56" i="86"/>
  <c r="O54" i="86" s="1"/>
  <c r="O55" i="86"/>
  <c r="N55" i="86"/>
  <c r="K55" i="86"/>
  <c r="J55" i="86"/>
  <c r="I55" i="86"/>
  <c r="F55" i="86"/>
  <c r="N54" i="86"/>
  <c r="F54" i="86"/>
  <c r="O53" i="86"/>
  <c r="N53" i="86"/>
  <c r="F53" i="86"/>
  <c r="F52" i="86"/>
  <c r="K49" i="86"/>
  <c r="F48" i="86"/>
  <c r="O52" i="86" s="1"/>
  <c r="E48" i="86"/>
  <c r="N52" i="86" s="1"/>
  <c r="D48" i="86"/>
  <c r="M52" i="86" s="1"/>
  <c r="M47" i="86"/>
  <c r="F33" i="86"/>
  <c r="D27" i="86"/>
  <c r="C25" i="86"/>
  <c r="C24" i="86"/>
  <c r="M19" i="86"/>
  <c r="C118" i="86" s="1"/>
  <c r="L19" i="86"/>
  <c r="M18" i="86"/>
  <c r="B118" i="86" s="1"/>
  <c r="L18" i="86"/>
  <c r="D17" i="86"/>
  <c r="C17" i="86"/>
  <c r="L4" i="86"/>
  <c r="K4" i="86"/>
  <c r="A2" i="86"/>
  <c r="H1" i="86"/>
  <c r="I48" i="34"/>
  <c r="G48" i="34"/>
  <c r="I37" i="34"/>
  <c r="G37" i="34"/>
  <c r="E37" i="34"/>
  <c r="I7" i="34"/>
  <c r="G7" i="34"/>
  <c r="E7" i="34"/>
  <c r="P74" i="84"/>
  <c r="Q72" i="84"/>
  <c r="F61" i="84"/>
  <c r="Q59" i="84"/>
  <c r="K59" i="84"/>
  <c r="P61" i="84" s="1"/>
  <c r="Q58" i="84"/>
  <c r="Q51" i="84"/>
  <c r="J50" i="84"/>
  <c r="J51" i="84" s="1"/>
  <c r="M47" i="84"/>
  <c r="D46" i="84"/>
  <c r="F34" i="84"/>
  <c r="F62" i="84" s="1"/>
  <c r="F33" i="84"/>
  <c r="F32" i="84"/>
  <c r="F60" i="84" s="1"/>
  <c r="F28" i="84"/>
  <c r="C28" i="84" s="1"/>
  <c r="F23" i="84"/>
  <c r="D24" i="84" s="1"/>
  <c r="F21" i="84"/>
  <c r="M20" i="84"/>
  <c r="F20" i="84"/>
  <c r="M19" i="84"/>
  <c r="M18" i="84"/>
  <c r="F18" i="84"/>
  <c r="F17" i="84"/>
  <c r="F15" i="84"/>
  <c r="G1" i="84"/>
  <c r="Q72" i="83"/>
  <c r="Q59" i="83"/>
  <c r="K59" i="83"/>
  <c r="P74" i="83" s="1"/>
  <c r="Q58" i="83"/>
  <c r="Q51" i="83"/>
  <c r="J50" i="83"/>
  <c r="J51" i="83" s="1"/>
  <c r="M47" i="83"/>
  <c r="D46" i="83"/>
  <c r="F34" i="83"/>
  <c r="F62" i="83" s="1"/>
  <c r="F33" i="83"/>
  <c r="F61" i="83" s="1"/>
  <c r="F32" i="83"/>
  <c r="F60" i="83" s="1"/>
  <c r="F28" i="83"/>
  <c r="C28" i="83"/>
  <c r="F23" i="83"/>
  <c r="D24" i="83" s="1"/>
  <c r="D23" i="83"/>
  <c r="D22" i="83"/>
  <c r="F21" i="83"/>
  <c r="M20" i="83"/>
  <c r="F20" i="83"/>
  <c r="M19" i="83"/>
  <c r="M18" i="83"/>
  <c r="F18" i="83"/>
  <c r="F17" i="83"/>
  <c r="F15" i="83"/>
  <c r="G1" i="83"/>
  <c r="AM8" i="1"/>
  <c r="AM7" i="1"/>
  <c r="AL9" i="1"/>
  <c r="AL8" i="1"/>
  <c r="AL7" i="1"/>
  <c r="AK8" i="1"/>
  <c r="AK7" i="1"/>
  <c r="Y9" i="1"/>
  <c r="Y8" i="1"/>
  <c r="Y7" i="1"/>
  <c r="Y6" i="1"/>
  <c r="N9" i="1"/>
  <c r="N8" i="1"/>
  <c r="N7" i="1"/>
  <c r="N6" i="1"/>
  <c r="N21" i="1"/>
  <c r="N19" i="1"/>
  <c r="L9" i="1"/>
  <c r="L8" i="1"/>
  <c r="L7" i="1"/>
  <c r="J9" i="1"/>
  <c r="J8" i="1"/>
  <c r="J7" i="1"/>
  <c r="I7" i="1"/>
  <c r="H7" i="1"/>
  <c r="D42" i="82"/>
  <c r="D41" i="82"/>
  <c r="G13" i="4"/>
  <c r="F13" i="4"/>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B101" i="82"/>
  <c r="M100" i="82"/>
  <c r="N100" i="82" s="1"/>
  <c r="K100" i="82"/>
  <c r="J100" i="82" s="1"/>
  <c r="D100" i="82"/>
  <c r="B100" i="82"/>
  <c r="N99" i="82"/>
  <c r="M99" i="82"/>
  <c r="K99" i="82"/>
  <c r="J99" i="82"/>
  <c r="D99" i="82"/>
  <c r="B99" i="82"/>
  <c r="N98" i="82"/>
  <c r="M98" i="82"/>
  <c r="K98" i="82"/>
  <c r="J98" i="82"/>
  <c r="D98" i="82"/>
  <c r="M97" i="82"/>
  <c r="N97" i="82" s="1"/>
  <c r="K97" i="82"/>
  <c r="J97" i="82"/>
  <c r="D97" i="82"/>
  <c r="B97" i="82"/>
  <c r="N96" i="82"/>
  <c r="M96" i="82"/>
  <c r="K96" i="82"/>
  <c r="J96" i="82" s="1"/>
  <c r="D96" i="82"/>
  <c r="N95" i="82"/>
  <c r="M95" i="82"/>
  <c r="K95" i="82"/>
  <c r="J95" i="82"/>
  <c r="D95" i="82"/>
  <c r="B95" i="82"/>
  <c r="M94" i="82"/>
  <c r="N94" i="82" s="1"/>
  <c r="K94" i="82"/>
  <c r="J94" i="82" s="1"/>
  <c r="D94" i="82"/>
  <c r="B94" i="82"/>
  <c r="M93" i="82"/>
  <c r="N93" i="82" s="1"/>
  <c r="K93" i="82"/>
  <c r="J93" i="82" s="1"/>
  <c r="F93" i="82"/>
  <c r="H101" i="82" s="1"/>
  <c r="E93" i="82"/>
  <c r="B91" i="82" s="1"/>
  <c r="D93" i="82"/>
  <c r="M90" i="82"/>
  <c r="N90" i="82" s="1"/>
  <c r="K90" i="82"/>
  <c r="J90" i="82" s="1"/>
  <c r="D90" i="82"/>
  <c r="B90" i="82"/>
  <c r="M89" i="82"/>
  <c r="N89" i="82" s="1"/>
  <c r="K89" i="82"/>
  <c r="J89" i="82" s="1"/>
  <c r="D89" i="82"/>
  <c r="N88" i="82"/>
  <c r="M88" i="82"/>
  <c r="K88" i="82"/>
  <c r="J88" i="82"/>
  <c r="D88" i="82"/>
  <c r="B88" i="82"/>
  <c r="M87" i="82"/>
  <c r="N87" i="82" s="1"/>
  <c r="K87" i="82"/>
  <c r="J87" i="82" s="1"/>
  <c r="D87" i="82"/>
  <c r="E83" i="82" s="1"/>
  <c r="B81" i="82" s="1"/>
  <c r="B87" i="82"/>
  <c r="M86" i="82"/>
  <c r="N86" i="82" s="1"/>
  <c r="K86" i="82"/>
  <c r="J86" i="82" s="1"/>
  <c r="D86" i="82"/>
  <c r="B86" i="82"/>
  <c r="N85" i="82"/>
  <c r="M85" i="82"/>
  <c r="K85" i="82"/>
  <c r="J85" i="82"/>
  <c r="D85" i="82"/>
  <c r="B85" i="82"/>
  <c r="N84" i="82"/>
  <c r="M84" i="82"/>
  <c r="K84" i="82"/>
  <c r="J84" i="82"/>
  <c r="D84" i="82"/>
  <c r="B84" i="82"/>
  <c r="M83" i="82"/>
  <c r="N83" i="82" s="1"/>
  <c r="K83" i="82"/>
  <c r="J83" i="82" s="1"/>
  <c r="F83" i="82"/>
  <c r="H88" i="82" s="1"/>
  <c r="D83" i="82"/>
  <c r="B83" i="82"/>
  <c r="N80" i="82"/>
  <c r="M80" i="82"/>
  <c r="K80" i="82"/>
  <c r="J80" i="82"/>
  <c r="D80" i="82"/>
  <c r="M79" i="82"/>
  <c r="N79" i="82" s="1"/>
  <c r="K79" i="82"/>
  <c r="J79" i="82" s="1"/>
  <c r="D79" i="82"/>
  <c r="B79" i="82"/>
  <c r="N78" i="82"/>
  <c r="M78" i="82"/>
  <c r="K78" i="82"/>
  <c r="J78" i="82" s="1"/>
  <c r="D78" i="82"/>
  <c r="N77" i="82"/>
  <c r="M77" i="82"/>
  <c r="K77" i="82"/>
  <c r="J77" i="82"/>
  <c r="D77" i="82"/>
  <c r="B77" i="82"/>
  <c r="M76" i="82"/>
  <c r="N76" i="82" s="1"/>
  <c r="K76" i="82"/>
  <c r="J76" i="82" s="1"/>
  <c r="D76" i="82"/>
  <c r="E72" i="82" s="1"/>
  <c r="B70" i="82" s="1"/>
  <c r="B76" i="82"/>
  <c r="M75" i="82"/>
  <c r="N75" i="82" s="1"/>
  <c r="K75" i="82"/>
  <c r="J75" i="82" s="1"/>
  <c r="D75" i="82"/>
  <c r="B75" i="82"/>
  <c r="N74" i="82"/>
  <c r="M74" i="82"/>
  <c r="K74" i="82"/>
  <c r="J74" i="82"/>
  <c r="D74" i="82"/>
  <c r="B74" i="82"/>
  <c r="N73" i="82"/>
  <c r="M73" i="82"/>
  <c r="K73" i="82"/>
  <c r="J73" i="82"/>
  <c r="D73" i="82"/>
  <c r="B73" i="82"/>
  <c r="M72" i="82"/>
  <c r="N72" i="82" s="1"/>
  <c r="K72" i="82"/>
  <c r="J72" i="82" s="1"/>
  <c r="D72" i="82"/>
  <c r="B72" i="82"/>
  <c r="B69" i="82"/>
  <c r="B68" i="82"/>
  <c r="B67" i="82"/>
  <c r="D65" i="82"/>
  <c r="B65" i="82"/>
  <c r="B63" i="82"/>
  <c r="B62" i="82"/>
  <c r="F61" i="82"/>
  <c r="B61" i="82"/>
  <c r="B58" i="82"/>
  <c r="B57" i="82"/>
  <c r="B56" i="82"/>
  <c r="D54" i="82"/>
  <c r="B54" i="82"/>
  <c r="B52" i="82"/>
  <c r="B51" i="82"/>
  <c r="B50" i="82"/>
  <c r="H42" i="82"/>
  <c r="H41" i="82"/>
  <c r="H40" i="82"/>
  <c r="H39" i="82"/>
  <c r="H38" i="82"/>
  <c r="H37" i="82"/>
  <c r="P32" i="82"/>
  <c r="J24" i="82"/>
  <c r="I18" i="82" s="1"/>
  <c r="G24" i="82"/>
  <c r="E44" i="82" s="1"/>
  <c r="E24" i="82"/>
  <c r="O32" i="82" s="1"/>
  <c r="M23" i="82"/>
  <c r="I23" i="82"/>
  <c r="G23" i="82"/>
  <c r="P29" i="82" s="1"/>
  <c r="C22" i="82"/>
  <c r="C20" i="82"/>
  <c r="G17" i="82"/>
  <c r="C17" i="82"/>
  <c r="C13" i="82"/>
  <c r="AJ10" i="82"/>
  <c r="AI10" i="82"/>
  <c r="AF10" i="82"/>
  <c r="AE10" i="82"/>
  <c r="AB10" i="82"/>
  <c r="AA10" i="82"/>
  <c r="Y10" i="82"/>
  <c r="C10" i="82"/>
  <c r="C11" i="82" s="1"/>
  <c r="AJ9" i="82"/>
  <c r="AI9" i="82"/>
  <c r="AH9" i="82"/>
  <c r="AH10" i="82" s="1"/>
  <c r="AG9" i="82"/>
  <c r="AG10" i="82" s="1"/>
  <c r="AF9" i="82"/>
  <c r="AE9" i="82"/>
  <c r="AD9" i="82"/>
  <c r="AD10" i="82" s="1"/>
  <c r="AC9" i="82"/>
  <c r="AC10" i="82" s="1"/>
  <c r="AB9" i="82"/>
  <c r="AA9" i="82"/>
  <c r="Z9" i="82"/>
  <c r="Z10" i="82" s="1"/>
  <c r="C9" i="82"/>
  <c r="Z7" i="82"/>
  <c r="C7" i="82"/>
  <c r="S6" i="82"/>
  <c r="G3" i="82"/>
  <c r="B116" i="82" s="1"/>
  <c r="U2" i="82"/>
  <c r="I2" i="82"/>
  <c r="M12" i="82" s="1"/>
  <c r="G2" i="82"/>
  <c r="N21" i="82" s="1"/>
  <c r="D1" i="82"/>
  <c r="U2" i="81"/>
  <c r="G51" i="81"/>
  <c r="G52" i="81"/>
  <c r="G53" i="81"/>
  <c r="G54" i="81"/>
  <c r="G55" i="81"/>
  <c r="G56" i="81"/>
  <c r="K56" i="81" s="1"/>
  <c r="G57" i="81"/>
  <c r="K57" i="81" s="1"/>
  <c r="J57" i="81" s="1"/>
  <c r="D57" i="81" s="1"/>
  <c r="G58" i="81"/>
  <c r="G50"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B101" i="81"/>
  <c r="M100" i="81"/>
  <c r="N100" i="81" s="1"/>
  <c r="K100" i="81"/>
  <c r="J100" i="81" s="1"/>
  <c r="D100" i="81"/>
  <c r="B100" i="81"/>
  <c r="N99" i="81"/>
  <c r="M99" i="81"/>
  <c r="K99" i="81"/>
  <c r="J99" i="81"/>
  <c r="D99" i="81"/>
  <c r="B99" i="81"/>
  <c r="N98" i="81"/>
  <c r="M98" i="81"/>
  <c r="K98" i="81"/>
  <c r="J98" i="81"/>
  <c r="D98" i="81"/>
  <c r="M97" i="81"/>
  <c r="N97" i="81" s="1"/>
  <c r="K97" i="81"/>
  <c r="J97" i="81"/>
  <c r="D97" i="81"/>
  <c r="B97" i="81"/>
  <c r="N96" i="81"/>
  <c r="M96" i="81"/>
  <c r="K96" i="81"/>
  <c r="J96" i="81" s="1"/>
  <c r="D96" i="81"/>
  <c r="N95" i="81"/>
  <c r="M95" i="81"/>
  <c r="K95" i="81"/>
  <c r="J95" i="81"/>
  <c r="D95" i="81"/>
  <c r="B95" i="81"/>
  <c r="M94" i="81"/>
  <c r="N94" i="81" s="1"/>
  <c r="K94" i="81"/>
  <c r="J94" i="81" s="1"/>
  <c r="D94" i="81"/>
  <c r="B94" i="81"/>
  <c r="M93" i="81"/>
  <c r="N93" i="81" s="1"/>
  <c r="K93" i="81"/>
  <c r="J93" i="81" s="1"/>
  <c r="F93" i="81"/>
  <c r="H101" i="81" s="1"/>
  <c r="D93" i="81"/>
  <c r="E93" i="81" s="1"/>
  <c r="B91" i="81" s="1"/>
  <c r="M90" i="81"/>
  <c r="N90" i="81" s="1"/>
  <c r="K90" i="81"/>
  <c r="J90" i="81" s="1"/>
  <c r="D90" i="81"/>
  <c r="B90" i="81"/>
  <c r="M89" i="81"/>
  <c r="N89" i="81" s="1"/>
  <c r="K89" i="81"/>
  <c r="J89" i="81" s="1"/>
  <c r="D89" i="81"/>
  <c r="N88" i="81"/>
  <c r="M88" i="81"/>
  <c r="K88" i="81"/>
  <c r="J88" i="81"/>
  <c r="D88" i="81"/>
  <c r="B88" i="81"/>
  <c r="M87" i="81"/>
  <c r="N87" i="81" s="1"/>
  <c r="K87" i="81"/>
  <c r="J87" i="81" s="1"/>
  <c r="D87" i="81"/>
  <c r="B87" i="81"/>
  <c r="M86" i="81"/>
  <c r="N86" i="81" s="1"/>
  <c r="K86" i="81"/>
  <c r="J86" i="81" s="1"/>
  <c r="D86" i="81"/>
  <c r="B86" i="81"/>
  <c r="N85" i="81"/>
  <c r="M85" i="81"/>
  <c r="K85" i="81"/>
  <c r="J85" i="81"/>
  <c r="D85" i="81"/>
  <c r="B85" i="81"/>
  <c r="N84" i="81"/>
  <c r="M84" i="81"/>
  <c r="K84" i="81"/>
  <c r="J84" i="81"/>
  <c r="D84" i="81"/>
  <c r="B84" i="81"/>
  <c r="M83" i="81"/>
  <c r="N83" i="81" s="1"/>
  <c r="K83" i="81"/>
  <c r="J83" i="81" s="1"/>
  <c r="F83" i="81"/>
  <c r="H88" i="81" s="1"/>
  <c r="E83" i="81"/>
  <c r="B81" i="81" s="1"/>
  <c r="D83" i="81"/>
  <c r="B83" i="81"/>
  <c r="N80" i="81"/>
  <c r="M80" i="81"/>
  <c r="K80" i="81"/>
  <c r="J80" i="81"/>
  <c r="D80" i="81"/>
  <c r="M79" i="81"/>
  <c r="N79" i="81" s="1"/>
  <c r="K79" i="81"/>
  <c r="J79" i="81" s="1"/>
  <c r="D79" i="81"/>
  <c r="B79" i="81"/>
  <c r="N78" i="81"/>
  <c r="M78" i="81"/>
  <c r="K78" i="81"/>
  <c r="J78" i="81" s="1"/>
  <c r="D78" i="81"/>
  <c r="N77" i="81"/>
  <c r="M77" i="81"/>
  <c r="K77" i="81"/>
  <c r="J77" i="81"/>
  <c r="D77" i="81"/>
  <c r="B77" i="81"/>
  <c r="M76" i="81"/>
  <c r="N76" i="81" s="1"/>
  <c r="K76" i="81"/>
  <c r="J76" i="81" s="1"/>
  <c r="D76" i="81"/>
  <c r="B76" i="81"/>
  <c r="M75" i="81"/>
  <c r="N75" i="81" s="1"/>
  <c r="K75" i="81"/>
  <c r="J75" i="81" s="1"/>
  <c r="D75" i="81"/>
  <c r="B75" i="81"/>
  <c r="N74" i="81"/>
  <c r="M74" i="81"/>
  <c r="K74" i="81"/>
  <c r="J74" i="81"/>
  <c r="D74" i="81"/>
  <c r="B74" i="81"/>
  <c r="N73" i="81"/>
  <c r="M73" i="81"/>
  <c r="K73" i="81"/>
  <c r="J73" i="81"/>
  <c r="D73" i="81"/>
  <c r="B73" i="81"/>
  <c r="M72" i="81"/>
  <c r="N72" i="81" s="1"/>
  <c r="K72" i="81"/>
  <c r="J72" i="81" s="1"/>
  <c r="F72" i="81"/>
  <c r="H77" i="81" s="1"/>
  <c r="E72" i="81"/>
  <c r="B70" i="81" s="1"/>
  <c r="D72" i="81"/>
  <c r="B72" i="81"/>
  <c r="B69" i="81"/>
  <c r="B68" i="81"/>
  <c r="B67" i="81"/>
  <c r="D65" i="81"/>
  <c r="B65" i="81"/>
  <c r="B63" i="81"/>
  <c r="B62" i="81"/>
  <c r="B61" i="81"/>
  <c r="M58" i="81"/>
  <c r="N58" i="81" s="1"/>
  <c r="K58" i="81"/>
  <c r="J58" i="81" s="1"/>
  <c r="B58" i="81"/>
  <c r="M57" i="81"/>
  <c r="N57" i="81" s="1"/>
  <c r="B57" i="81"/>
  <c r="M56" i="81"/>
  <c r="N56" i="81" s="1"/>
  <c r="B56" i="81"/>
  <c r="M55" i="81"/>
  <c r="N55" i="81" s="1"/>
  <c r="K55" i="81"/>
  <c r="J55" i="81" s="1"/>
  <c r="D55" i="81"/>
  <c r="M54" i="81"/>
  <c r="N54" i="81" s="1"/>
  <c r="K54" i="81"/>
  <c r="J54" i="81"/>
  <c r="D54" i="81"/>
  <c r="B54" i="81"/>
  <c r="M53" i="81"/>
  <c r="N53" i="81" s="1"/>
  <c r="K53" i="81"/>
  <c r="J53" i="81" s="1"/>
  <c r="M52" i="81"/>
  <c r="N52" i="81" s="1"/>
  <c r="K52" i="81"/>
  <c r="D52" i="81" s="1"/>
  <c r="B52" i="81"/>
  <c r="N51" i="81"/>
  <c r="M51" i="81"/>
  <c r="K51" i="81"/>
  <c r="J51" i="81" s="1"/>
  <c r="D51" i="81"/>
  <c r="B51" i="81"/>
  <c r="M50" i="81"/>
  <c r="N50" i="81" s="1"/>
  <c r="K50" i="81"/>
  <c r="J50" i="81" s="1"/>
  <c r="D50" i="81"/>
  <c r="B50" i="81"/>
  <c r="H42" i="81"/>
  <c r="H41" i="81"/>
  <c r="H40" i="81"/>
  <c r="H39" i="81"/>
  <c r="H38" i="81"/>
  <c r="H37" i="81"/>
  <c r="M24" i="81"/>
  <c r="J24" i="81"/>
  <c r="G24" i="81"/>
  <c r="G18" i="81" s="1"/>
  <c r="E24" i="81"/>
  <c r="M23" i="81"/>
  <c r="I23" i="81"/>
  <c r="G23" i="81"/>
  <c r="P29" i="81" s="1"/>
  <c r="C22" i="81"/>
  <c r="C20" i="81"/>
  <c r="G17" i="81"/>
  <c r="C17" i="81"/>
  <c r="C13" i="81"/>
  <c r="AH10" i="81"/>
  <c r="AG10" i="81"/>
  <c r="Z10" i="81"/>
  <c r="Y10" i="81"/>
  <c r="C10" i="81"/>
  <c r="C11" i="81" s="1"/>
  <c r="AJ9" i="81"/>
  <c r="AJ10" i="81" s="1"/>
  <c r="AI9" i="81"/>
  <c r="AI10" i="81" s="1"/>
  <c r="AH9" i="81"/>
  <c r="AG9" i="81"/>
  <c r="AF9" i="81"/>
  <c r="AF10" i="81" s="1"/>
  <c r="AE9" i="81"/>
  <c r="AE10" i="81" s="1"/>
  <c r="AD9" i="81"/>
  <c r="AD10" i="81" s="1"/>
  <c r="AC9" i="81"/>
  <c r="AC10" i="81" s="1"/>
  <c r="AB9" i="81"/>
  <c r="AB10" i="81" s="1"/>
  <c r="AA9" i="81"/>
  <c r="AA10" i="81" s="1"/>
  <c r="Z9" i="81"/>
  <c r="C9" i="81"/>
  <c r="G3" i="81"/>
  <c r="I2" i="81"/>
  <c r="M9" i="81" s="1"/>
  <c r="G2" i="81"/>
  <c r="D1" i="81"/>
  <c r="G62" i="43"/>
  <c r="G63" i="43"/>
  <c r="G64" i="43"/>
  <c r="G65" i="43"/>
  <c r="G66" i="43"/>
  <c r="G67" i="43"/>
  <c r="G68" i="43"/>
  <c r="G69" i="43"/>
  <c r="G61" i="43"/>
  <c r="D33" i="43"/>
  <c r="F4" i="80"/>
  <c r="F5" i="80"/>
  <c r="F6" i="80"/>
  <c r="F3" i="80"/>
  <c r="B21" i="1"/>
  <c r="D35" i="88"/>
  <c r="F9" i="84"/>
  <c r="M22" i="83"/>
  <c r="M26" i="84"/>
  <c r="D34" i="86"/>
  <c r="F36" i="84"/>
  <c r="E2" i="89"/>
  <c r="M28" i="84"/>
  <c r="F42" i="83"/>
  <c r="M9" i="84"/>
  <c r="L47" i="84"/>
  <c r="D9" i="89"/>
  <c r="D34" i="87"/>
  <c r="M8" i="84"/>
  <c r="C19" i="87"/>
  <c r="F38" i="84"/>
  <c r="D34" i="88"/>
  <c r="M28" i="83"/>
  <c r="M23" i="84"/>
  <c r="F13" i="84"/>
  <c r="C20" i="87"/>
  <c r="L48" i="84"/>
  <c r="C76" i="83"/>
  <c r="M6" i="84"/>
  <c r="F7" i="83"/>
  <c r="F26" i="84"/>
  <c r="F16" i="84"/>
  <c r="D35" i="87"/>
  <c r="D10" i="89"/>
  <c r="F42" i="84"/>
  <c r="F9" i="83"/>
  <c r="D35" i="86"/>
  <c r="M29" i="84"/>
  <c r="F27" i="89"/>
  <c r="F6" i="84"/>
  <c r="C76" i="84"/>
  <c r="M22" i="84"/>
  <c r="F7" i="84"/>
  <c r="J15" i="84"/>
  <c r="M27" i="84"/>
  <c r="C18" i="87" l="1"/>
  <c r="D18" i="87" s="1"/>
  <c r="F9" i="80"/>
  <c r="C10" i="89"/>
  <c r="C9" i="89"/>
  <c r="D19" i="89"/>
  <c r="D37" i="89" s="1"/>
  <c r="C37" i="89" s="1"/>
  <c r="F45" i="89"/>
  <c r="C47" i="89"/>
  <c r="D45" i="89" s="1"/>
  <c r="C29" i="89"/>
  <c r="D27" i="89" s="1"/>
  <c r="C48" i="89"/>
  <c r="C30" i="89"/>
  <c r="D121" i="88"/>
  <c r="K120" i="88"/>
  <c r="C94" i="88"/>
  <c r="H109" i="88"/>
  <c r="C102" i="87"/>
  <c r="C21" i="87"/>
  <c r="C103" i="87"/>
  <c r="D121" i="87"/>
  <c r="K120" i="87"/>
  <c r="C94" i="87"/>
  <c r="H109" i="87"/>
  <c r="C18" i="86"/>
  <c r="D18" i="86" s="1"/>
  <c r="D121" i="86"/>
  <c r="K120" i="86"/>
  <c r="M49" i="86"/>
  <c r="C94" i="86"/>
  <c r="H110" i="86"/>
  <c r="Q71" i="84"/>
  <c r="F64" i="84"/>
  <c r="F66" i="84"/>
  <c r="N59" i="84"/>
  <c r="L58" i="84"/>
  <c r="M59" i="84"/>
  <c r="L59" i="84"/>
  <c r="L57" i="84"/>
  <c r="L56" i="84"/>
  <c r="M7" i="84"/>
  <c r="J6" i="84" s="1"/>
  <c r="F50" i="84"/>
  <c r="C27" i="84"/>
  <c r="D22" i="84"/>
  <c r="D23" i="84"/>
  <c r="I54" i="84"/>
  <c r="L60" i="84"/>
  <c r="J53" i="84"/>
  <c r="J57" i="84"/>
  <c r="J55" i="84" s="1"/>
  <c r="J58" i="84" s="1"/>
  <c r="Q50" i="84" s="1"/>
  <c r="Q71" i="83"/>
  <c r="M7" i="83"/>
  <c r="F50" i="83"/>
  <c r="P61" i="83"/>
  <c r="G18" i="82"/>
  <c r="F37" i="82"/>
  <c r="N2" i="82"/>
  <c r="F72" i="82" s="1"/>
  <c r="M4" i="82"/>
  <c r="M1" i="82"/>
  <c r="S4" i="82"/>
  <c r="N7" i="82"/>
  <c r="M9" i="82"/>
  <c r="N11" i="82"/>
  <c r="E21" i="82"/>
  <c r="H26" i="82"/>
  <c r="H95" i="82"/>
  <c r="N3" i="82"/>
  <c r="N5" i="82"/>
  <c r="X7" i="82"/>
  <c r="N12" i="82"/>
  <c r="E17" i="82"/>
  <c r="J21" i="82"/>
  <c r="E9" i="82"/>
  <c r="E11" i="82"/>
  <c r="E10" i="82"/>
  <c r="E8" i="82"/>
  <c r="P27" i="82"/>
  <c r="H65" i="82"/>
  <c r="G65" i="82" s="1"/>
  <c r="H64" i="82"/>
  <c r="G64" i="82" s="1"/>
  <c r="H69" i="82"/>
  <c r="G69" i="82" s="1"/>
  <c r="H68" i="82"/>
  <c r="G68" i="82" s="1"/>
  <c r="H67" i="82"/>
  <c r="G67" i="82" s="1"/>
  <c r="H66" i="82"/>
  <c r="G66" i="82" s="1"/>
  <c r="H63" i="82"/>
  <c r="G63" i="82" s="1"/>
  <c r="H62" i="82"/>
  <c r="G62" i="82" s="1"/>
  <c r="H61" i="82"/>
  <c r="G61" i="82" s="1"/>
  <c r="H116" i="82"/>
  <c r="F50" i="82"/>
  <c r="F41" i="82"/>
  <c r="F39" i="82"/>
  <c r="S2" i="82"/>
  <c r="S3" i="82"/>
  <c r="N4" i="82"/>
  <c r="S5" i="82"/>
  <c r="M6" i="82"/>
  <c r="N9" i="82"/>
  <c r="M10" i="82"/>
  <c r="K21" i="82"/>
  <c r="O21" i="82"/>
  <c r="M24" i="82"/>
  <c r="E26" i="82"/>
  <c r="J26" i="82"/>
  <c r="Q32" i="82"/>
  <c r="F42" i="82"/>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2" i="82"/>
  <c r="C122" i="82" s="1"/>
  <c r="B121" i="82"/>
  <c r="C121" i="82" s="1"/>
  <c r="B120" i="82"/>
  <c r="C120" i="82" s="1"/>
  <c r="B119" i="82"/>
  <c r="C119" i="82" s="1"/>
  <c r="B118" i="82"/>
  <c r="C118" i="82" s="1"/>
  <c r="N6" i="82"/>
  <c r="M8" i="82"/>
  <c r="N10" i="82"/>
  <c r="C21" i="82"/>
  <c r="H21" i="82"/>
  <c r="L21" i="82"/>
  <c r="F26" i="82"/>
  <c r="P26" i="82"/>
  <c r="P28" i="82"/>
  <c r="M32" i="82"/>
  <c r="F40" i="82"/>
  <c r="N1" i="82"/>
  <c r="M2" i="82"/>
  <c r="C6" i="82" s="1"/>
  <c r="M3" i="82"/>
  <c r="M5" i="82"/>
  <c r="M7" i="82"/>
  <c r="N8" i="82"/>
  <c r="M11" i="82"/>
  <c r="D21" i="82"/>
  <c r="I21" i="82"/>
  <c r="M21" i="82"/>
  <c r="C23" i="82"/>
  <c r="O23" i="82"/>
  <c r="P25" i="82"/>
  <c r="G26" i="82"/>
  <c r="C27" i="82"/>
  <c r="C25" i="82" s="1"/>
  <c r="N32" i="82"/>
  <c r="F38" i="82"/>
  <c r="H83" i="82"/>
  <c r="H87" i="82"/>
  <c r="H90" i="82"/>
  <c r="H94" i="82"/>
  <c r="H97" i="82"/>
  <c r="H100" i="82"/>
  <c r="H86" i="82"/>
  <c r="H89" i="82"/>
  <c r="H93" i="82"/>
  <c r="H96" i="82"/>
  <c r="H99" i="82"/>
  <c r="H85" i="82"/>
  <c r="H98" i="82"/>
  <c r="H84" i="82"/>
  <c r="D56" i="81"/>
  <c r="J56" i="81"/>
  <c r="J52" i="81"/>
  <c r="D53" i="81"/>
  <c r="D58" i="81"/>
  <c r="E50" i="81" s="1"/>
  <c r="B48" i="81" s="1"/>
  <c r="E11" i="81"/>
  <c r="E8" i="81"/>
  <c r="E9" i="81"/>
  <c r="S3" i="81"/>
  <c r="N6" i="81"/>
  <c r="N4" i="81"/>
  <c r="N9" i="81"/>
  <c r="S5" i="81"/>
  <c r="M8" i="81"/>
  <c r="M10" i="81"/>
  <c r="H95" i="81"/>
  <c r="N2" i="81"/>
  <c r="F50" i="81" s="1"/>
  <c r="M6" i="81"/>
  <c r="H116" i="81"/>
  <c r="C27" i="81"/>
  <c r="M21" i="81"/>
  <c r="I21" i="81"/>
  <c r="D21" i="81"/>
  <c r="F61" i="81"/>
  <c r="F41" i="81"/>
  <c r="F39" i="81"/>
  <c r="F42" i="81"/>
  <c r="F40" i="81"/>
  <c r="F38" i="81"/>
  <c r="F37" i="81"/>
  <c r="N21" i="81"/>
  <c r="J21" i="81"/>
  <c r="E21" i="81"/>
  <c r="S2" i="81"/>
  <c r="G26" i="81"/>
  <c r="F26" i="81"/>
  <c r="J26" i="81"/>
  <c r="E26" i="81"/>
  <c r="B116" i="81"/>
  <c r="H26" i="81"/>
  <c r="S4" i="81"/>
  <c r="N10" i="81"/>
  <c r="M1" i="81"/>
  <c r="M3" i="81"/>
  <c r="S6" i="81"/>
  <c r="N1" i="81"/>
  <c r="M2" i="81"/>
  <c r="N3" i="81"/>
  <c r="M4" i="81"/>
  <c r="N5" i="81"/>
  <c r="C6" i="81"/>
  <c r="N7" i="81"/>
  <c r="Z7" i="81"/>
  <c r="E10" i="81"/>
  <c r="C7" i="81" s="1"/>
  <c r="H21" i="81"/>
  <c r="N32" i="81"/>
  <c r="Q32" i="81"/>
  <c r="M32" i="81"/>
  <c r="P32" i="81"/>
  <c r="O32" i="81"/>
  <c r="K21" i="81"/>
  <c r="C21" i="81"/>
  <c r="L21" i="81"/>
  <c r="M12" i="81"/>
  <c r="M11" i="81"/>
  <c r="N12" i="81"/>
  <c r="N11" i="81"/>
  <c r="M5" i="81"/>
  <c r="M7" i="81"/>
  <c r="X7" i="81"/>
  <c r="N8" i="81"/>
  <c r="O21" i="81"/>
  <c r="I18" i="81"/>
  <c r="E17" i="81" s="1"/>
  <c r="P27" i="81"/>
  <c r="H72" i="81"/>
  <c r="H76" i="81"/>
  <c r="H79" i="81"/>
  <c r="H83" i="81"/>
  <c r="H87" i="81"/>
  <c r="H90" i="81"/>
  <c r="H94" i="81"/>
  <c r="H97" i="81"/>
  <c r="H100" i="81"/>
  <c r="E44" i="81"/>
  <c r="C44" i="81" s="1"/>
  <c r="H75" i="81"/>
  <c r="H78" i="81"/>
  <c r="H86" i="81"/>
  <c r="H89" i="81"/>
  <c r="H93" i="81"/>
  <c r="H96" i="81"/>
  <c r="H99" i="81"/>
  <c r="P26" i="81"/>
  <c r="P28" i="81"/>
  <c r="H74" i="81"/>
  <c r="H80" i="81"/>
  <c r="H85" i="81"/>
  <c r="H98" i="81"/>
  <c r="C23" i="81"/>
  <c r="O23" i="81"/>
  <c r="P25" i="81"/>
  <c r="H73" i="81"/>
  <c r="H84" i="81"/>
  <c r="G22" i="6"/>
  <c r="G21" i="6"/>
  <c r="F20" i="6"/>
  <c r="F19" i="6"/>
  <c r="O13" i="3"/>
  <c r="M13" i="3"/>
  <c r="K13" i="3"/>
  <c r="I13" i="3"/>
  <c r="F43" i="84"/>
  <c r="M9" i="83"/>
  <c r="M24" i="84"/>
  <c r="M6" i="83"/>
  <c r="F13" i="83"/>
  <c r="F40" i="84"/>
  <c r="M26" i="83"/>
  <c r="M8" i="83"/>
  <c r="F37" i="84"/>
  <c r="M23" i="83"/>
  <c r="F40" i="83"/>
  <c r="F37" i="83"/>
  <c r="M24" i="83"/>
  <c r="F6" i="83"/>
  <c r="F8" i="84"/>
  <c r="F8" i="83"/>
  <c r="L47" i="83"/>
  <c r="F43" i="83"/>
  <c r="C34" i="89"/>
  <c r="L48" i="83"/>
  <c r="F16" i="83"/>
  <c r="C36" i="89"/>
  <c r="J15" i="83"/>
  <c r="M29" i="83"/>
  <c r="F38" i="83"/>
  <c r="M27" i="83"/>
  <c r="F26" i="83"/>
  <c r="F36" i="83"/>
  <c r="C35" i="89" l="1"/>
  <c r="C38" i="89"/>
  <c r="D124" i="88"/>
  <c r="D125" i="88" s="1"/>
  <c r="H110" i="88"/>
  <c r="M49" i="88"/>
  <c r="D124" i="87"/>
  <c r="D125" i="87" s="1"/>
  <c r="H110" i="87"/>
  <c r="M49" i="87"/>
  <c r="L66" i="86"/>
  <c r="M66" i="86" s="1"/>
  <c r="L64" i="86"/>
  <c r="M64" i="86" s="1"/>
  <c r="L68" i="86"/>
  <c r="M68" i="86" s="1"/>
  <c r="L67" i="86"/>
  <c r="M67" i="86" s="1"/>
  <c r="L65" i="86"/>
  <c r="M65" i="86" s="1"/>
  <c r="L63" i="86"/>
  <c r="M63" i="86" s="1"/>
  <c r="M69" i="86" s="1"/>
  <c r="N69" i="86" s="1"/>
  <c r="M17" i="84"/>
  <c r="F65" i="84"/>
  <c r="F71" i="84"/>
  <c r="F51" i="84"/>
  <c r="C49" i="84" s="1"/>
  <c r="C6" i="84"/>
  <c r="F31" i="84"/>
  <c r="F68" i="84"/>
  <c r="Q66" i="84"/>
  <c r="Q57" i="84"/>
  <c r="Q73" i="84"/>
  <c r="Q60" i="84"/>
  <c r="J18" i="84"/>
  <c r="J19" i="84"/>
  <c r="F1" i="84"/>
  <c r="Q52" i="84"/>
  <c r="Q61" i="84"/>
  <c r="Q74" i="84"/>
  <c r="C27" i="83"/>
  <c r="F51" i="83"/>
  <c r="C49" i="83" s="1"/>
  <c r="F65" i="83"/>
  <c r="F66" i="83"/>
  <c r="M17" i="83"/>
  <c r="J6" i="83"/>
  <c r="C6" i="83"/>
  <c r="F31" i="83"/>
  <c r="L57" i="83"/>
  <c r="L56" i="83"/>
  <c r="L60" i="83"/>
  <c r="J57" i="83"/>
  <c r="J55" i="83" s="1"/>
  <c r="J58" i="83" s="1"/>
  <c r="Q50" i="83" s="1"/>
  <c r="I54" i="83"/>
  <c r="J53" i="83"/>
  <c r="F64" i="83"/>
  <c r="F71" i="83"/>
  <c r="N59" i="83"/>
  <c r="L58" i="83"/>
  <c r="M59" i="83"/>
  <c r="L59" i="83"/>
  <c r="F68" i="83"/>
  <c r="F59" i="83"/>
  <c r="H77" i="82"/>
  <c r="H79" i="82"/>
  <c r="H78" i="82"/>
  <c r="H76" i="82"/>
  <c r="H75" i="82"/>
  <c r="H80" i="82"/>
  <c r="H72" i="82"/>
  <c r="H74" i="82"/>
  <c r="H73" i="82"/>
  <c r="H58" i="82"/>
  <c r="G58" i="82" s="1"/>
  <c r="H57" i="82"/>
  <c r="G57" i="82" s="1"/>
  <c r="H56" i="82"/>
  <c r="G56" i="82" s="1"/>
  <c r="H55" i="82"/>
  <c r="G55" i="82" s="1"/>
  <c r="H54" i="82"/>
  <c r="G54" i="82" s="1"/>
  <c r="H52" i="82"/>
  <c r="G52" i="82" s="1"/>
  <c r="H53" i="82"/>
  <c r="G53" i="82" s="1"/>
  <c r="H51" i="82"/>
  <c r="G51" i="82" s="1"/>
  <c r="H50" i="82"/>
  <c r="G50" i="82" s="1"/>
  <c r="M63" i="82"/>
  <c r="N63" i="82" s="1"/>
  <c r="K63" i="82"/>
  <c r="M69" i="82"/>
  <c r="N69" i="82" s="1"/>
  <c r="K69" i="82"/>
  <c r="M66" i="82"/>
  <c r="N66" i="82" s="1"/>
  <c r="K66" i="82"/>
  <c r="M64" i="82"/>
  <c r="N64" i="82" s="1"/>
  <c r="K64" i="82"/>
  <c r="M61" i="82"/>
  <c r="N61" i="82" s="1"/>
  <c r="K61" i="82"/>
  <c r="M67" i="82"/>
  <c r="N67" i="82" s="1"/>
  <c r="K67" i="82"/>
  <c r="M65" i="82"/>
  <c r="N65" i="82" s="1"/>
  <c r="K65" i="82"/>
  <c r="J65" i="82" s="1"/>
  <c r="D116" i="82"/>
  <c r="D5" i="82"/>
  <c r="C5" i="82"/>
  <c r="G21" i="82"/>
  <c r="D26" i="82"/>
  <c r="M62" i="82"/>
  <c r="N62" i="82" s="1"/>
  <c r="K62" i="82"/>
  <c r="M68" i="82"/>
  <c r="N68" i="82" s="1"/>
  <c r="K68" i="82"/>
  <c r="J68" i="82" s="1"/>
  <c r="D68" i="82" s="1"/>
  <c r="H56" i="81"/>
  <c r="H50" i="81"/>
  <c r="H53" i="81"/>
  <c r="H57" i="81"/>
  <c r="H51" i="81"/>
  <c r="H52" i="81"/>
  <c r="H54" i="81"/>
  <c r="H55" i="81"/>
  <c r="H58" i="81"/>
  <c r="G21"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2" i="81"/>
  <c r="C122" i="81" s="1"/>
  <c r="B121" i="81"/>
  <c r="C121" i="81" s="1"/>
  <c r="B120" i="81"/>
  <c r="C120" i="81" s="1"/>
  <c r="B119" i="81"/>
  <c r="C119" i="81" s="1"/>
  <c r="B118" i="81"/>
  <c r="H65" i="81"/>
  <c r="G65" i="81" s="1"/>
  <c r="H64" i="81"/>
  <c r="G64" i="81" s="1"/>
  <c r="H69" i="81"/>
  <c r="G69" i="81" s="1"/>
  <c r="H68" i="81"/>
  <c r="G68" i="81" s="1"/>
  <c r="H67" i="81"/>
  <c r="G67" i="81" s="1"/>
  <c r="H66" i="81"/>
  <c r="G66" i="81" s="1"/>
  <c r="H63" i="81"/>
  <c r="G63" i="81" s="1"/>
  <c r="H62" i="81"/>
  <c r="G62" i="81" s="1"/>
  <c r="H61" i="81"/>
  <c r="G61" i="81" s="1"/>
  <c r="D26" i="81"/>
  <c r="C25" i="81" s="1"/>
  <c r="I7" i="79"/>
  <c r="C16" i="83"/>
  <c r="C16" i="84"/>
  <c r="C14" i="83"/>
  <c r="C17" i="83"/>
  <c r="C17" i="84"/>
  <c r="C14" i="84"/>
  <c r="C33" i="89" l="1"/>
  <c r="C39" i="89" s="1"/>
  <c r="C46" i="89" s="1"/>
  <c r="C45" i="89" s="1"/>
  <c r="L66" i="88"/>
  <c r="M66" i="88" s="1"/>
  <c r="L64" i="88"/>
  <c r="M64" i="88" s="1"/>
  <c r="L68" i="88"/>
  <c r="M68" i="88" s="1"/>
  <c r="L67" i="88"/>
  <c r="M67" i="88" s="1"/>
  <c r="L65" i="88"/>
  <c r="M65" i="88" s="1"/>
  <c r="L63" i="88"/>
  <c r="M63" i="88" s="1"/>
  <c r="M69" i="88" s="1"/>
  <c r="N69" i="88" s="1"/>
  <c r="L66" i="87"/>
  <c r="M66" i="87" s="1"/>
  <c r="L64" i="87"/>
  <c r="M64" i="87" s="1"/>
  <c r="L68" i="87"/>
  <c r="M68" i="87" s="1"/>
  <c r="L67" i="87"/>
  <c r="M67" i="87" s="1"/>
  <c r="L65" i="87"/>
  <c r="M65" i="87" s="1"/>
  <c r="L63" i="87"/>
  <c r="M63" i="87" s="1"/>
  <c r="M69" i="87" s="1"/>
  <c r="N69" i="87" s="1"/>
  <c r="F59" i="84"/>
  <c r="C18" i="84"/>
  <c r="C15" i="84"/>
  <c r="C33" i="84"/>
  <c r="C32" i="84"/>
  <c r="C61" i="84"/>
  <c r="C18" i="83"/>
  <c r="C15" i="83"/>
  <c r="Q73" i="83"/>
  <c r="Q60" i="83"/>
  <c r="F1" i="83"/>
  <c r="Q52" i="83"/>
  <c r="Q66" i="83"/>
  <c r="Q57" i="83"/>
  <c r="C33" i="83"/>
  <c r="C32" i="83"/>
  <c r="Q61" i="83"/>
  <c r="Q74" i="83"/>
  <c r="J18" i="83"/>
  <c r="J19" i="83"/>
  <c r="C61" i="83"/>
  <c r="D62" i="82"/>
  <c r="J62" i="82"/>
  <c r="J67" i="82"/>
  <c r="D67" i="82"/>
  <c r="D64" i="82"/>
  <c r="J64" i="82"/>
  <c r="K51" i="82"/>
  <c r="M51" i="82"/>
  <c r="N51" i="82" s="1"/>
  <c r="M55" i="82"/>
  <c r="N55" i="82" s="1"/>
  <c r="K55" i="82"/>
  <c r="J61" i="82"/>
  <c r="D61" i="82"/>
  <c r="E61" i="82" s="1"/>
  <c r="B59" i="82" s="1"/>
  <c r="J66" i="82"/>
  <c r="D66" i="82"/>
  <c r="D63" i="82"/>
  <c r="J63" i="82"/>
  <c r="M53" i="82"/>
  <c r="N53" i="82" s="1"/>
  <c r="K53" i="82"/>
  <c r="M56" i="82"/>
  <c r="N56" i="82" s="1"/>
  <c r="K56" i="82"/>
  <c r="K52" i="82"/>
  <c r="M52" i="82"/>
  <c r="N52" i="82" s="1"/>
  <c r="M57" i="82"/>
  <c r="N57" i="82" s="1"/>
  <c r="K57" i="82"/>
  <c r="J57" i="82" s="1"/>
  <c r="D57" i="82" s="1"/>
  <c r="J69" i="82"/>
  <c r="D69" i="82"/>
  <c r="K50" i="82"/>
  <c r="M50" i="82"/>
  <c r="N50" i="82" s="1"/>
  <c r="M54" i="82"/>
  <c r="N54" i="82" s="1"/>
  <c r="K54" i="82"/>
  <c r="J54" i="82" s="1"/>
  <c r="K58" i="82"/>
  <c r="M58" i="82"/>
  <c r="N58" i="82" s="1"/>
  <c r="M62" i="81"/>
  <c r="N62" i="81" s="1"/>
  <c r="K62" i="81"/>
  <c r="M68" i="81"/>
  <c r="N68" i="81" s="1"/>
  <c r="K68" i="81"/>
  <c r="J68" i="81" s="1"/>
  <c r="D68" i="81" s="1"/>
  <c r="C118" i="81"/>
  <c r="D116" i="81"/>
  <c r="M69" i="81"/>
  <c r="N69" i="81" s="1"/>
  <c r="K69" i="81"/>
  <c r="M66" i="81"/>
  <c r="N66" i="81" s="1"/>
  <c r="K66" i="81"/>
  <c r="M64" i="81"/>
  <c r="N64" i="81" s="1"/>
  <c r="K64" i="81"/>
  <c r="M61" i="81"/>
  <c r="N61" i="81" s="1"/>
  <c r="K61" i="81"/>
  <c r="M67" i="81"/>
  <c r="N67" i="81" s="1"/>
  <c r="K67" i="81"/>
  <c r="M65" i="81"/>
  <c r="N65" i="81" s="1"/>
  <c r="K65" i="81"/>
  <c r="J65" i="81" s="1"/>
  <c r="M63" i="81"/>
  <c r="N63" i="81" s="1"/>
  <c r="K63" i="81"/>
  <c r="I29" i="79"/>
  <c r="I28" i="79"/>
  <c r="N28" i="79"/>
  <c r="M28" i="79"/>
  <c r="P28" i="79" s="1"/>
  <c r="L28" i="79"/>
  <c r="N29" i="79"/>
  <c r="M29" i="79"/>
  <c r="L29" i="79"/>
  <c r="P6" i="79"/>
  <c r="O6" i="79"/>
  <c r="N6" i="79"/>
  <c r="M6" i="79"/>
  <c r="L6" i="79"/>
  <c r="K6" i="79"/>
  <c r="O7" i="79"/>
  <c r="N7" i="79"/>
  <c r="M7" i="79"/>
  <c r="P7" i="79" s="1"/>
  <c r="L7" i="79"/>
  <c r="K7" i="79"/>
  <c r="C19" i="84" l="1"/>
  <c r="C20" i="84" s="1"/>
  <c r="C26" i="84" s="1"/>
  <c r="C19" i="83"/>
  <c r="C20" i="83" s="1"/>
  <c r="D51" i="82"/>
  <c r="J51" i="82"/>
  <c r="D53" i="82"/>
  <c r="J53" i="82"/>
  <c r="J55" i="82"/>
  <c r="D55" i="82"/>
  <c r="D58" i="82"/>
  <c r="J58" i="82"/>
  <c r="J50" i="82"/>
  <c r="D50" i="82"/>
  <c r="D52" i="82"/>
  <c r="J52" i="82"/>
  <c r="J56" i="82"/>
  <c r="D56" i="82"/>
  <c r="D63" i="81"/>
  <c r="J63" i="81"/>
  <c r="J61" i="81"/>
  <c r="D61" i="81"/>
  <c r="J66" i="81"/>
  <c r="D66" i="81"/>
  <c r="J67" i="81"/>
  <c r="D67" i="81"/>
  <c r="D64" i="81"/>
  <c r="J64" i="81"/>
  <c r="J69" i="81"/>
  <c r="D69" i="81"/>
  <c r="D62" i="81"/>
  <c r="J62" i="81"/>
  <c r="P29" i="79"/>
  <c r="C26" i="83" l="1"/>
  <c r="E50" i="82"/>
  <c r="B48" i="82" s="1"/>
  <c r="C28" i="82" s="1"/>
  <c r="E61" i="81"/>
  <c r="B59" i="81" s="1"/>
  <c r="C28" i="81" s="1"/>
  <c r="G14" i="73"/>
  <c r="F14" i="73"/>
  <c r="E14" i="73"/>
  <c r="C42" i="81" l="1"/>
  <c r="C41" i="81"/>
  <c r="E10" i="1"/>
  <c r="E11" i="1"/>
  <c r="E12" i="1"/>
  <c r="E13" i="1"/>
  <c r="E42" i="81" l="1"/>
  <c r="G42" i="81"/>
  <c r="I42" i="81" s="1"/>
  <c r="G41" i="81"/>
  <c r="I41" i="81" s="1"/>
  <c r="E41"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82" s="1"/>
  <c r="C24" i="82" s="1"/>
  <c r="K47" i="78"/>
  <c r="K46" i="78"/>
  <c r="K45" i="78"/>
  <c r="K41" i="78"/>
  <c r="K40" i="78"/>
  <c r="K39" i="78"/>
  <c r="K38" i="78"/>
  <c r="K37" i="78"/>
  <c r="K36" i="78"/>
  <c r="K35" i="78"/>
  <c r="K23" i="78"/>
  <c r="K24" i="78"/>
  <c r="K25" i="78"/>
  <c r="K26" i="78"/>
  <c r="K27" i="78"/>
  <c r="K28" i="78"/>
  <c r="K29" i="78"/>
  <c r="K30" i="78"/>
  <c r="K22" i="78"/>
  <c r="C38" i="82" l="1"/>
  <c r="T12" i="82"/>
  <c r="V12" i="82" s="1"/>
  <c r="T15" i="82"/>
  <c r="V15" i="82" s="1"/>
  <c r="C33" i="82"/>
  <c r="C40" i="82"/>
  <c r="T3" i="82"/>
  <c r="V3" i="82" s="1"/>
  <c r="T4" i="82"/>
  <c r="V4" i="82" s="1"/>
  <c r="C37" i="82"/>
  <c r="T11" i="82"/>
  <c r="V11" i="82" s="1"/>
  <c r="T5" i="82"/>
  <c r="V5" i="82" s="1"/>
  <c r="T6" i="82"/>
  <c r="V6" i="82" s="1"/>
  <c r="T14" i="82"/>
  <c r="V14" i="82" s="1"/>
  <c r="T8" i="82"/>
  <c r="V8" i="82" s="1"/>
  <c r="T13" i="82"/>
  <c r="V13" i="82" s="1"/>
  <c r="T10" i="82"/>
  <c r="V10" i="82" s="1"/>
  <c r="T2" i="82"/>
  <c r="V2" i="82" s="1"/>
  <c r="T9" i="82"/>
  <c r="V9" i="82" s="1"/>
  <c r="C39" i="82"/>
  <c r="T7" i="82"/>
  <c r="V7" i="82" s="1"/>
  <c r="T16" i="82"/>
  <c r="V16" i="82" s="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G37" i="82" l="1"/>
  <c r="I37" i="82" s="1"/>
  <c r="E37" i="82"/>
  <c r="E33" i="82"/>
  <c r="C34" i="82"/>
  <c r="E34" i="82" s="1"/>
  <c r="E39" i="82"/>
  <c r="G39" i="82"/>
  <c r="I39" i="82" s="1"/>
  <c r="G40" i="82"/>
  <c r="I40" i="82" s="1"/>
  <c r="E40" i="82"/>
  <c r="G38" i="82"/>
  <c r="I38" i="82" s="1"/>
  <c r="E38" i="82"/>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c r="U29" i="34"/>
  <c r="E5" i="6"/>
  <c r="E32" i="6"/>
  <c r="E1" i="73"/>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9" i="76"/>
  <c r="AO13" i="1"/>
  <c r="F5" i="73"/>
  <c r="E13" i="76"/>
  <c r="B10" i="76"/>
  <c r="E2" i="69"/>
  <c r="D3" i="73"/>
  <c r="D4" i="73"/>
  <c r="F20" i="31"/>
  <c r="B9" i="76"/>
  <c r="E12" i="76"/>
  <c r="D35" i="9"/>
  <c r="B11" i="76"/>
  <c r="E11" i="76"/>
  <c r="F4" i="73"/>
  <c r="B12" i="76"/>
  <c r="D7" i="73"/>
  <c r="E10" i="76"/>
  <c r="F3" i="73"/>
  <c r="D6" i="73"/>
  <c r="F6" i="73"/>
  <c r="E2" i="68"/>
  <c r="D34" i="9"/>
  <c r="F7" i="73"/>
  <c r="B13" i="76"/>
  <c r="AB36" i="33" l="1"/>
  <c r="S36" i="33"/>
  <c r="S33" i="33"/>
  <c r="AC11" i="33"/>
  <c r="U34" i="34"/>
  <c r="F9" i="1"/>
  <c r="G9" i="1" s="1"/>
  <c r="F11" i="1"/>
  <c r="G11" i="1" s="1"/>
  <c r="G44" i="82"/>
  <c r="C44" i="82" s="1"/>
  <c r="G6" i="1"/>
  <c r="I24" i="81"/>
  <c r="C24" i="81" s="1"/>
  <c r="F8" i="1"/>
  <c r="G8" i="1" s="1"/>
  <c r="F7" i="1"/>
  <c r="H67" i="43"/>
  <c r="H69" i="43"/>
  <c r="H50" i="43"/>
  <c r="C24" i="12"/>
  <c r="B41" i="1"/>
  <c r="F53" i="9" s="1"/>
  <c r="D93" i="9"/>
  <c r="C40" i="69"/>
  <c r="C21" i="68"/>
  <c r="E19" i="11"/>
  <c r="E19" i="68"/>
  <c r="G22" i="68"/>
  <c r="G22" i="69"/>
  <c r="G1" i="15"/>
  <c r="K1" i="12"/>
  <c r="K7" i="1"/>
  <c r="M7" i="1" s="1"/>
  <c r="O7" i="1" s="1"/>
  <c r="P7" i="1" s="1"/>
  <c r="G1" i="68"/>
  <c r="G1" i="67"/>
  <c r="G5" i="3"/>
  <c r="B3" i="3" s="1"/>
  <c r="E13" i="3" s="1"/>
  <c r="BA13" i="3"/>
  <c r="BA5" i="3" s="1"/>
  <c r="G28"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238" i="3"/>
  <c r="E85" i="3"/>
  <c r="E352" i="3"/>
  <c r="E511" i="3"/>
  <c r="E157" i="3"/>
  <c r="E120" i="3"/>
  <c r="E193" i="3"/>
  <c r="E313" i="3"/>
  <c r="Q6" i="3"/>
  <c r="E529" i="3"/>
  <c r="E481" i="3"/>
  <c r="E527" i="3"/>
  <c r="E288" i="3"/>
  <c r="E344" i="3"/>
  <c r="E571" i="3"/>
  <c r="E429" i="3"/>
  <c r="E433" i="3"/>
  <c r="E475" i="3"/>
  <c r="E73" i="3"/>
  <c r="E111" i="3"/>
  <c r="E208" i="3"/>
  <c r="E279" i="3"/>
  <c r="E357" i="3"/>
  <c r="E394" i="3"/>
  <c r="E31" i="3"/>
  <c r="E93" i="3"/>
  <c r="I6" i="3"/>
  <c r="E196" i="3"/>
  <c r="E252" i="3"/>
  <c r="E271" i="3"/>
  <c r="E379" i="3"/>
  <c r="E576" i="3"/>
  <c r="E515" i="3"/>
  <c r="E448" i="3"/>
  <c r="E414" i="3"/>
  <c r="E432" i="3"/>
  <c r="E558" i="3"/>
  <c r="E505" i="3"/>
  <c r="E403" i="3"/>
  <c r="E476" i="3"/>
  <c r="E71" i="3"/>
  <c r="E88" i="3"/>
  <c r="E162" i="3"/>
  <c r="E126" i="3"/>
  <c r="E272" i="3"/>
  <c r="E210" i="3"/>
  <c r="E331" i="3"/>
  <c r="E377" i="3"/>
  <c r="E572" i="3"/>
  <c r="AM6" i="3"/>
  <c r="E29"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21" i="3"/>
  <c r="E294" i="3"/>
  <c r="E231"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42" i="15"/>
  <c r="M28" i="15"/>
  <c r="M23" i="67"/>
  <c r="M9" i="15"/>
  <c r="G1" i="73"/>
  <c r="F6" i="15"/>
  <c r="M24" i="67"/>
  <c r="F8" i="67"/>
  <c r="F7" i="67"/>
  <c r="F16" i="15"/>
  <c r="F9" i="67"/>
  <c r="M26" i="67"/>
  <c r="F8" i="15"/>
  <c r="M23" i="15"/>
  <c r="M22" i="15"/>
  <c r="F36" i="15"/>
  <c r="F40" i="67"/>
  <c r="F43" i="67"/>
  <c r="L48" i="15"/>
  <c r="M26" i="15"/>
  <c r="M6" i="15"/>
  <c r="F7" i="15"/>
  <c r="L47" i="67"/>
  <c r="J15" i="15"/>
  <c r="M29" i="15"/>
  <c r="F40" i="15"/>
  <c r="C76" i="67"/>
  <c r="F37" i="67"/>
  <c r="F13" i="15"/>
  <c r="F26" i="15"/>
  <c r="L48" i="67"/>
  <c r="M22" i="67"/>
  <c r="F42" i="67"/>
  <c r="F36" i="67"/>
  <c r="M8" i="15"/>
  <c r="F6" i="67"/>
  <c r="M9" i="67"/>
  <c r="M29" i="67"/>
  <c r="M28" i="67"/>
  <c r="F43" i="15"/>
  <c r="F26" i="67"/>
  <c r="M6" i="67"/>
  <c r="M8" i="67"/>
  <c r="L47" i="15"/>
  <c r="F38" i="15"/>
  <c r="F16" i="67"/>
  <c r="C76" i="15"/>
  <c r="F37" i="15"/>
  <c r="J15" i="67"/>
  <c r="F13" i="67"/>
  <c r="F9" i="15"/>
  <c r="M24" i="15"/>
  <c r="F38" i="67"/>
  <c r="M11" i="84" l="1"/>
  <c r="J10" i="84" s="1"/>
  <c r="J5" i="84" s="1"/>
  <c r="F11" i="84"/>
  <c r="M11" i="83"/>
  <c r="J10" i="83" s="1"/>
  <c r="J5" i="83" s="1"/>
  <c r="F11" i="83"/>
  <c r="T14" i="81"/>
  <c r="V14" i="81" s="1"/>
  <c r="T15" i="81"/>
  <c r="V15" i="81" s="1"/>
  <c r="T8" i="81"/>
  <c r="V8" i="81" s="1"/>
  <c r="T10" i="81"/>
  <c r="V10" i="81" s="1"/>
  <c r="C37" i="81"/>
  <c r="T7" i="81"/>
  <c r="V7" i="81" s="1"/>
  <c r="T2" i="81"/>
  <c r="V2" i="81" s="1"/>
  <c r="T3" i="81"/>
  <c r="V3" i="81" s="1"/>
  <c r="T12" i="81"/>
  <c r="V12" i="81" s="1"/>
  <c r="T6" i="81"/>
  <c r="V6" i="81" s="1"/>
  <c r="T11" i="81"/>
  <c r="V11" i="81" s="1"/>
  <c r="T13" i="81"/>
  <c r="V13" i="81" s="1"/>
  <c r="C40" i="81"/>
  <c r="T16" i="81"/>
  <c r="V16" i="81" s="1"/>
  <c r="C33" i="81"/>
  <c r="E33" i="81" s="1"/>
  <c r="C38" i="81"/>
  <c r="T5" i="81"/>
  <c r="V5" i="81" s="1"/>
  <c r="T9" i="81"/>
  <c r="V9" i="81" s="1"/>
  <c r="C39" i="81"/>
  <c r="T4" i="81"/>
  <c r="V4" i="81" s="1"/>
  <c r="C42" i="82"/>
  <c r="C41" i="82"/>
  <c r="G7" i="1"/>
  <c r="I24" i="43"/>
  <c r="C24" i="43" s="1"/>
  <c r="F26" i="43"/>
  <c r="F48" i="9"/>
  <c r="O52" i="9" s="1"/>
  <c r="F31" i="12"/>
  <c r="C31" i="12" s="1"/>
  <c r="F30" i="69"/>
  <c r="D68" i="9"/>
  <c r="F30" i="68"/>
  <c r="F52" i="9"/>
  <c r="F32" i="15"/>
  <c r="F60" i="15" s="1"/>
  <c r="F54" i="9"/>
  <c r="F28" i="15"/>
  <c r="C28" i="15" s="1"/>
  <c r="F30" i="11"/>
  <c r="M18" i="15"/>
  <c r="F32" i="67"/>
  <c r="F60" i="67" s="1"/>
  <c r="M18" i="67"/>
  <c r="F28" i="67"/>
  <c r="C28" i="67" s="1"/>
  <c r="N94" i="46"/>
  <c r="G26" i="43"/>
  <c r="N370" i="46"/>
  <c r="J26" i="43"/>
  <c r="F65" i="67"/>
  <c r="F68" i="67"/>
  <c r="F51" i="67"/>
  <c r="F31" i="67"/>
  <c r="C6" i="67"/>
  <c r="F66" i="67"/>
  <c r="L59" i="67"/>
  <c r="Q61" i="67" s="1"/>
  <c r="L58" i="67"/>
  <c r="Q60" i="67" s="1"/>
  <c r="M59" i="67"/>
  <c r="N59" i="67"/>
  <c r="M7" i="67"/>
  <c r="J6" i="67" s="1"/>
  <c r="J18" i="67" s="1"/>
  <c r="F50" i="67"/>
  <c r="F64" i="67"/>
  <c r="J57" i="67"/>
  <c r="J55" i="67" s="1"/>
  <c r="J58" i="67" s="1"/>
  <c r="Q50" i="67" s="1"/>
  <c r="L56" i="67"/>
  <c r="I54" i="67"/>
  <c r="J53" i="67"/>
  <c r="F1" i="67" s="1"/>
  <c r="Q71" i="67"/>
  <c r="C27" i="67"/>
  <c r="F71" i="67"/>
  <c r="F50" i="15"/>
  <c r="M7" i="15"/>
  <c r="J6" i="15" s="1"/>
  <c r="J18" i="15" s="1"/>
  <c r="F65" i="15"/>
  <c r="F66" i="15"/>
  <c r="C27" i="15"/>
  <c r="F68" i="15"/>
  <c r="F51" i="15"/>
  <c r="F31" i="15"/>
  <c r="C6" i="15"/>
  <c r="C32" i="15" s="1"/>
  <c r="F71" i="15"/>
  <c r="J57" i="15"/>
  <c r="J55" i="15" s="1"/>
  <c r="J58" i="15" s="1"/>
  <c r="Q50" i="15" s="1"/>
  <c r="I54" i="15"/>
  <c r="J53" i="15"/>
  <c r="L56" i="15" s="1"/>
  <c r="Q71" i="15"/>
  <c r="M59" i="15"/>
  <c r="L59" i="15"/>
  <c r="Q74" i="15" s="1"/>
  <c r="N59" i="15"/>
  <c r="L58" i="15"/>
  <c r="Q60" i="15" s="1"/>
  <c r="F64" i="15"/>
  <c r="G16" i="1"/>
  <c r="F10" i="39" s="1"/>
  <c r="AA10" i="39" s="1"/>
  <c r="H16" i="1"/>
  <c r="Q16" i="1"/>
  <c r="F27" i="69" s="1"/>
  <c r="F45" i="69" s="1"/>
  <c r="E109" i="3"/>
  <c r="E384" i="3"/>
  <c r="E291" i="3"/>
  <c r="E211" i="3"/>
  <c r="E121" i="3"/>
  <c r="E404" i="3"/>
  <c r="AS6" i="3"/>
  <c r="E367" i="3"/>
  <c r="E548" i="3"/>
  <c r="AG6" i="3"/>
  <c r="E107" i="3"/>
  <c r="E269" i="3"/>
  <c r="E397" i="3"/>
  <c r="E580" i="3"/>
  <c r="E274" i="3"/>
  <c r="E150" i="3"/>
  <c r="E54" i="3"/>
  <c r="E471" i="3"/>
  <c r="AE6" i="3"/>
  <c r="E457" i="3"/>
  <c r="E458" i="3"/>
  <c r="E532" i="3"/>
  <c r="E177" i="3"/>
  <c r="E262" i="3"/>
  <c r="E314" i="3"/>
  <c r="E461" i="3"/>
  <c r="E215" i="3"/>
  <c r="E335" i="3"/>
  <c r="E387" i="3"/>
  <c r="AB6" i="3"/>
  <c r="M6" i="3"/>
  <c r="E570" i="3"/>
  <c r="E514" i="3"/>
  <c r="E311" i="3"/>
  <c r="E201" i="3"/>
  <c r="E247" i="3"/>
  <c r="E431" i="3"/>
  <c r="E579" i="3"/>
  <c r="E509" i="3"/>
  <c r="AJ6" i="3"/>
  <c r="E322" i="3"/>
  <c r="E268" i="3"/>
  <c r="E526" i="3"/>
  <c r="E217" i="3"/>
  <c r="E44" i="3"/>
  <c r="E317" i="3"/>
  <c r="E273" i="3"/>
  <c r="E186" i="3"/>
  <c r="E27" i="3"/>
  <c r="E546" i="3"/>
  <c r="E581" i="3"/>
  <c r="E443" i="3"/>
  <c r="E478" i="3"/>
  <c r="U6" i="3"/>
  <c r="E145" i="3"/>
  <c r="E236" i="3"/>
  <c r="E567" i="3"/>
  <c r="E318" i="3"/>
  <c r="E257" i="3"/>
  <c r="E203" i="3"/>
  <c r="E55" i="3"/>
  <c r="E450" i="3"/>
  <c r="W6" i="3"/>
  <c r="E438" i="3"/>
  <c r="E437" i="3"/>
  <c r="E519" i="3"/>
  <c r="E45" i="3"/>
  <c r="E306" i="3"/>
  <c r="E434" i="3"/>
  <c r="E156" i="3"/>
  <c r="E480" i="3"/>
  <c r="E30" i="3"/>
  <c r="E334" i="3"/>
  <c r="E316" i="3"/>
  <c r="E295" i="3"/>
  <c r="E166" i="3"/>
  <c r="E92" i="3"/>
  <c r="E447" i="3"/>
  <c r="E444" i="3"/>
  <c r="E547" i="3"/>
  <c r="E477" i="3"/>
  <c r="P6" i="3"/>
  <c r="E411" i="3"/>
  <c r="E585" i="3"/>
  <c r="E164" i="3"/>
  <c r="E207" i="3"/>
  <c r="E549" i="3"/>
  <c r="E32" i="3"/>
  <c r="E14" i="3"/>
  <c r="E351" i="3"/>
  <c r="E256" i="3"/>
  <c r="E168" i="3"/>
  <c r="E72" i="3"/>
  <c r="E496" i="3"/>
  <c r="E537" i="3"/>
  <c r="E562" i="3"/>
  <c r="E424" i="3"/>
  <c r="E474" i="3"/>
  <c r="E573" i="3"/>
  <c r="E330" i="3"/>
  <c r="E224" i="3"/>
  <c r="E99" i="3"/>
  <c r="E128" i="3"/>
  <c r="E136" i="3"/>
  <c r="E453" i="3"/>
  <c r="P6" i="1"/>
  <c r="C13" i="12" s="1"/>
  <c r="E26" i="4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6" i="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3"/>
  <c r="E493" i="3"/>
  <c r="E543" i="3"/>
  <c r="E486" i="3"/>
  <c r="E507" i="3"/>
  <c r="E440" i="3"/>
  <c r="E376" i="3"/>
  <c r="J6" i="3"/>
  <c r="E498" i="3"/>
  <c r="E483" i="3"/>
  <c r="E463" i="3"/>
  <c r="E25" i="3"/>
  <c r="E178" i="3"/>
  <c r="E329" i="3"/>
  <c r="E188" i="3"/>
  <c r="E223" i="3"/>
  <c r="E116" i="3"/>
  <c r="E105" i="3"/>
  <c r="E393" i="3"/>
  <c r="E564" i="3"/>
  <c r="E427" i="3"/>
  <c r="E422" i="3"/>
  <c r="E490" i="3"/>
  <c r="AH6" i="3"/>
  <c r="E419" i="3"/>
  <c r="E401" i="3"/>
  <c r="E40" i="3"/>
  <c r="E108" i="3"/>
  <c r="E148" i="3"/>
  <c r="E575" i="3"/>
  <c r="E442" i="3"/>
  <c r="E449" i="3"/>
  <c r="E554" i="3"/>
  <c r="E417" i="3"/>
  <c r="E95" i="3"/>
  <c r="E202" i="3"/>
  <c r="E226" i="3"/>
  <c r="E346" i="3"/>
  <c r="E372" i="3"/>
  <c r="E60" i="3"/>
  <c r="E540" i="3"/>
  <c r="E15" i="3"/>
  <c r="E79" i="3"/>
  <c r="E100" i="3"/>
  <c r="E137" i="3"/>
  <c r="E200" i="3"/>
  <c r="E275" i="3"/>
  <c r="E299" i="3"/>
  <c r="E371" i="3"/>
  <c r="E342" i="3"/>
  <c r="AQ6" i="3"/>
  <c r="E84" i="3"/>
  <c r="E34" i="3"/>
  <c r="E123" i="3"/>
  <c r="E184" i="3"/>
  <c r="E251" i="3"/>
  <c r="E364" i="3"/>
  <c r="E68" i="3"/>
  <c r="E80" i="3"/>
  <c r="E176" i="3"/>
  <c r="E264" i="3"/>
  <c r="E308" i="3"/>
  <c r="E524" i="3"/>
  <c r="E21" i="3"/>
  <c r="E212" i="3"/>
  <c r="E499" i="3"/>
  <c r="E466" i="3"/>
  <c r="E255" i="3"/>
  <c r="E517" i="3"/>
  <c r="E479" i="3"/>
  <c r="E152" i="3"/>
  <c r="E192" i="3"/>
  <c r="E241" i="3"/>
  <c r="E363" i="3"/>
  <c r="E389" i="3"/>
  <c r="E76" i="3"/>
  <c r="E409" i="3"/>
  <c r="E425" i="3"/>
  <c r="E64" i="3"/>
  <c r="E103" i="3"/>
  <c r="E142" i="3"/>
  <c r="E220" i="3"/>
  <c r="E219" i="3"/>
  <c r="E300" i="3"/>
  <c r="E383" i="3"/>
  <c r="E392" i="3"/>
  <c r="E23" i="3"/>
  <c r="E86" i="3"/>
  <c r="E112" i="3"/>
  <c r="E144" i="3"/>
  <c r="E232" i="3"/>
  <c r="E340" i="3"/>
  <c r="E381" i="3"/>
  <c r="E102" i="3"/>
  <c r="E62" i="3"/>
  <c r="E118" i="3"/>
  <c r="E287" i="3"/>
  <c r="E365" i="3"/>
  <c r="E513" i="3"/>
  <c r="E83" i="3"/>
  <c r="E539" i="3"/>
  <c r="R6" i="3"/>
  <c r="E541" i="3"/>
  <c r="I3" i="6"/>
  <c r="E435" i="3"/>
  <c r="E56" i="3"/>
  <c r="E242" i="3"/>
  <c r="E276" i="3"/>
  <c r="L6" i="3"/>
  <c r="E43" i="3"/>
  <c r="E473" i="3"/>
  <c r="E38" i="3"/>
  <c r="E174" i="3"/>
  <c r="E234" i="3"/>
  <c r="E324" i="3"/>
  <c r="E325" i="3"/>
  <c r="E35" i="3"/>
  <c r="E33" i="3"/>
  <c r="E289" i="3"/>
  <c r="AF6" i="3"/>
  <c r="E20" i="3"/>
  <c r="E158" i="3"/>
  <c r="E309" i="3"/>
  <c r="E536" i="3"/>
  <c r="E286" i="3"/>
  <c r="E502" i="3"/>
  <c r="E430" i="3"/>
  <c r="AP6" i="3"/>
  <c r="E491" i="3"/>
  <c r="E37" i="3"/>
  <c r="E132" i="3"/>
  <c r="E258" i="3"/>
  <c r="E292" i="3"/>
  <c r="E349" i="3"/>
  <c r="E544" i="3"/>
  <c r="E59" i="3"/>
  <c r="E484" i="3"/>
  <c r="E467" i="3"/>
  <c r="E46" i="3"/>
  <c r="E160" i="3"/>
  <c r="E194" i="3"/>
  <c r="E267" i="3"/>
  <c r="E235" i="3"/>
  <c r="E339" i="3"/>
  <c r="E310" i="3"/>
  <c r="E522" i="3"/>
  <c r="E52" i="3"/>
  <c r="E67" i="3"/>
  <c r="E49" i="3"/>
  <c r="E147" i="3"/>
  <c r="E233" i="3"/>
  <c r="E370" i="3"/>
  <c r="E50" i="3"/>
  <c r="E63" i="3"/>
  <c r="E113" i="3"/>
  <c r="E218" i="3"/>
  <c r="E283" i="3"/>
  <c r="E326" i="3"/>
  <c r="E101" i="3"/>
  <c r="E199" i="3"/>
  <c r="E119" i="3"/>
  <c r="E333" i="3"/>
  <c r="E455" i="3"/>
  <c r="E170" i="3"/>
  <c r="E249" i="3"/>
  <c r="E492" i="3"/>
  <c r="E36" i="3"/>
  <c r="E206" i="3"/>
  <c r="E355" i="3"/>
  <c r="E81" i="3"/>
  <c r="E265" i="3"/>
  <c r="E22" i="3"/>
  <c r="E59" i="40"/>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D5" i="43"/>
  <c r="C7" i="43"/>
  <c r="C5" i="43" s="1"/>
  <c r="D10" i="52"/>
  <c r="D125" i="9"/>
  <c r="D11" i="52" s="1"/>
  <c r="B7" i="74"/>
  <c r="E69" i="39"/>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F27" i="68"/>
  <c r="AE12" i="1"/>
  <c r="AE10" i="1"/>
  <c r="AE8" i="1"/>
  <c r="C16" i="15"/>
  <c r="AE9" i="1"/>
  <c r="C16" i="67"/>
  <c r="AE7" i="1"/>
  <c r="F24" i="84" l="1"/>
  <c r="C24" i="84" s="1"/>
  <c r="F22" i="89"/>
  <c r="C53" i="84"/>
  <c r="C48" i="84" s="1"/>
  <c r="C10" i="84"/>
  <c r="C5" i="84" s="1"/>
  <c r="J24" i="84"/>
  <c r="J26" i="84"/>
  <c r="L36" i="82"/>
  <c r="N36" i="82" s="1"/>
  <c r="F24" i="83"/>
  <c r="C53" i="83"/>
  <c r="C48" i="83" s="1"/>
  <c r="C10" i="83"/>
  <c r="C5" i="83" s="1"/>
  <c r="J24" i="83"/>
  <c r="J26" i="83"/>
  <c r="G38" i="81"/>
  <c r="I38" i="81" s="1"/>
  <c r="E38" i="81"/>
  <c r="G39" i="81"/>
  <c r="I39" i="81" s="1"/>
  <c r="E39" i="81"/>
  <c r="C34" i="81"/>
  <c r="E34" i="81" s="1"/>
  <c r="G41" i="82"/>
  <c r="I41" i="82" s="1"/>
  <c r="E41" i="82"/>
  <c r="G42" i="82"/>
  <c r="I42" i="82" s="1"/>
  <c r="E42" i="82"/>
  <c r="G40" i="81"/>
  <c r="I40" i="81" s="1"/>
  <c r="E40" i="81"/>
  <c r="E37" i="81"/>
  <c r="G37" i="81"/>
  <c r="I37" i="81" s="1"/>
  <c r="L36" i="43"/>
  <c r="P36" i="43" s="1"/>
  <c r="L36" i="81"/>
  <c r="Q52" i="15"/>
  <c r="D26" i="43"/>
  <c r="C25" i="43" s="1"/>
  <c r="C49" i="15"/>
  <c r="M17" i="15"/>
  <c r="C29" i="69"/>
  <c r="D27" i="69" s="1"/>
  <c r="C47" i="69"/>
  <c r="D45" i="69" s="1"/>
  <c r="Q73" i="15"/>
  <c r="J5" i="15"/>
  <c r="J24" i="15" s="1"/>
  <c r="C32" i="67"/>
  <c r="F48" i="69"/>
  <c r="C30" i="69"/>
  <c r="C48" i="69"/>
  <c r="C48" i="11"/>
  <c r="C30" i="11"/>
  <c r="F48" i="68"/>
  <c r="C48" i="68"/>
  <c r="C30" i="68"/>
  <c r="Q73" i="67"/>
  <c r="M17" i="67"/>
  <c r="Q52" i="67"/>
  <c r="F59" i="15"/>
  <c r="C49" i="67"/>
  <c r="F59" i="67"/>
  <c r="F1" i="15"/>
  <c r="Q74" i="67"/>
  <c r="Q61" i="15"/>
  <c r="J5" i="67"/>
  <c r="J24" i="67" s="1"/>
  <c r="S10" i="39"/>
  <c r="J10" i="39"/>
  <c r="W10" i="39" s="1"/>
  <c r="F10" i="40"/>
  <c r="S10" i="40" s="1"/>
  <c r="H10" i="39"/>
  <c r="U10" i="39" s="1"/>
  <c r="H10" i="40"/>
  <c r="AB10" i="40" s="1"/>
  <c r="J10" i="40"/>
  <c r="AC10" i="40" s="1"/>
  <c r="AC6" i="3"/>
  <c r="E6" i="3" s="1"/>
  <c r="H6" i="3"/>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F41" i="84"/>
  <c r="M27" i="15"/>
  <c r="M27" i="67"/>
  <c r="AE6" i="1"/>
  <c r="F41" i="15" s="1"/>
  <c r="F41" i="83"/>
  <c r="F69" i="83" l="1"/>
  <c r="F69" i="84"/>
  <c r="J29" i="83"/>
  <c r="J29" i="84"/>
  <c r="C23" i="84"/>
  <c r="C29" i="84" s="1"/>
  <c r="C57" i="84" s="1"/>
  <c r="C64" i="84" s="1"/>
  <c r="F41" i="89"/>
  <c r="C24" i="89"/>
  <c r="C44" i="89"/>
  <c r="D41" i="89" s="1"/>
  <c r="C26" i="89"/>
  <c r="D22" i="89" s="1"/>
  <c r="C42" i="89"/>
  <c r="C43" i="89"/>
  <c r="C66" i="84"/>
  <c r="C60" i="84"/>
  <c r="C38" i="84"/>
  <c r="L37" i="82"/>
  <c r="Q37" i="82" s="1"/>
  <c r="O36" i="82"/>
  <c r="Q36" i="82"/>
  <c r="M36" i="82"/>
  <c r="P36" i="82"/>
  <c r="C66" i="83"/>
  <c r="C60" i="83"/>
  <c r="C24" i="83"/>
  <c r="C23" i="83"/>
  <c r="C38" i="83"/>
  <c r="AC10" i="39"/>
  <c r="C31" i="82"/>
  <c r="AA10" i="40"/>
  <c r="C30" i="81"/>
  <c r="C30" i="82"/>
  <c r="C31" i="81"/>
  <c r="Q36" i="43"/>
  <c r="N36" i="43"/>
  <c r="C48" i="15"/>
  <c r="C66" i="15" s="1"/>
  <c r="L37" i="43"/>
  <c r="O37" i="43" s="1"/>
  <c r="O36" i="43"/>
  <c r="M36" i="43"/>
  <c r="O36" i="81"/>
  <c r="N36" i="81"/>
  <c r="Q36" i="81"/>
  <c r="M36" i="81"/>
  <c r="L37" i="81"/>
  <c r="P36" i="81"/>
  <c r="C48" i="67"/>
  <c r="C60" i="67" s="1"/>
  <c r="AB10" i="39"/>
  <c r="U10" i="40"/>
  <c r="W10" i="40"/>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C17" i="67"/>
  <c r="F41" i="67"/>
  <c r="C17" i="15"/>
  <c r="E8" i="76"/>
  <c r="E7" i="76"/>
  <c r="F69" i="67" l="1"/>
  <c r="C41" i="89"/>
  <c r="C49" i="89" s="1"/>
  <c r="C51" i="89" s="1"/>
  <c r="Q49" i="84"/>
  <c r="C36" i="84"/>
  <c r="J59" i="84"/>
  <c r="J60" i="84" s="1"/>
  <c r="L46" i="84" s="1"/>
  <c r="J14" i="84"/>
  <c r="J22" i="84" s="1"/>
  <c r="N37" i="82"/>
  <c r="C13" i="84"/>
  <c r="C56" i="84" s="1"/>
  <c r="C65" i="84" s="1"/>
  <c r="P37" i="82"/>
  <c r="J13" i="84"/>
  <c r="J23" i="84" s="1"/>
  <c r="O37" i="82"/>
  <c r="M37" i="82"/>
  <c r="B2" i="81"/>
  <c r="B2" i="82"/>
  <c r="C29" i="83"/>
  <c r="C66" i="67"/>
  <c r="Q37" i="43"/>
  <c r="M37" i="43"/>
  <c r="N37" i="43"/>
  <c r="P37" i="43"/>
  <c r="C60" i="15"/>
  <c r="O37" i="81"/>
  <c r="N37" i="81"/>
  <c r="Q37" i="81"/>
  <c r="M37" i="81"/>
  <c r="P37" i="81"/>
  <c r="C25" i="11"/>
  <c r="C22" i="11" s="1"/>
  <c r="C31" i="11" s="1"/>
  <c r="H24" i="6"/>
  <c r="R24" i="6" s="1"/>
  <c r="R11" i="1" s="1"/>
  <c r="H22" i="6"/>
  <c r="R22" i="6" s="1"/>
  <c r="R9" i="1" s="1"/>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4"/>
  <c r="B8" i="76"/>
  <c r="F35" i="84"/>
  <c r="M21" i="83"/>
  <c r="B6" i="76"/>
  <c r="F35" i="83"/>
  <c r="B7" i="76"/>
  <c r="E6" i="76"/>
  <c r="C14" i="15"/>
  <c r="C8" i="68" l="1"/>
  <c r="C8" i="89"/>
  <c r="Q48" i="84"/>
  <c r="C37" i="84"/>
  <c r="Q70" i="84"/>
  <c r="C75" i="84"/>
  <c r="J20" i="84"/>
  <c r="J17" i="84" s="1"/>
  <c r="J16" i="84" s="1"/>
  <c r="J25" i="84" s="1"/>
  <c r="F63" i="84"/>
  <c r="C62" i="84" s="1"/>
  <c r="C59" i="84" s="1"/>
  <c r="C58" i="84" s="1"/>
  <c r="C67" i="84" s="1"/>
  <c r="C68" i="84" s="1"/>
  <c r="C34" i="84"/>
  <c r="C31" i="84" s="1"/>
  <c r="J20" i="83"/>
  <c r="J17" i="83" s="1"/>
  <c r="F63" i="83"/>
  <c r="C62" i="83" s="1"/>
  <c r="C59" i="83" s="1"/>
  <c r="C34" i="83"/>
  <c r="C31" i="83" s="1"/>
  <c r="C57" i="83"/>
  <c r="C64" i="83" s="1"/>
  <c r="Q49" i="83"/>
  <c r="C36" i="83"/>
  <c r="J14" i="83"/>
  <c r="C13" i="83"/>
  <c r="J59" i="83"/>
  <c r="J60" i="83" s="1"/>
  <c r="B3" i="82"/>
  <c r="B3" i="8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6" i="68" l="1"/>
  <c r="C7" i="68" s="1"/>
  <c r="C5" i="68" s="1"/>
  <c r="C23" i="68" s="1"/>
  <c r="C30" i="84"/>
  <c r="C39" i="84" s="1"/>
  <c r="C80" i="84" s="1"/>
  <c r="C79" i="84" s="1"/>
  <c r="C71" i="84"/>
  <c r="C56" i="83"/>
  <c r="C65" i="83" s="1"/>
  <c r="C58" i="83" s="1"/>
  <c r="C67" i="83" s="1"/>
  <c r="C68" i="83" s="1"/>
  <c r="C37" i="83"/>
  <c r="C30" i="83" s="1"/>
  <c r="C39" i="83" s="1"/>
  <c r="C75" i="83"/>
  <c r="Q70" i="83"/>
  <c r="J13" i="83"/>
  <c r="J23" i="83" s="1"/>
  <c r="J22" i="83"/>
  <c r="Q48" i="83"/>
  <c r="L46" i="83"/>
  <c r="C21" i="12"/>
  <c r="C22" i="12" s="1"/>
  <c r="C27" i="12" s="1"/>
  <c r="C25"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7" i="89" l="1"/>
  <c r="C5" i="89" s="1"/>
  <c r="Q69" i="84"/>
  <c r="Q68" i="84" s="1"/>
  <c r="C40" i="84"/>
  <c r="C45" i="84" s="1"/>
  <c r="C46" i="84" s="1"/>
  <c r="J16" i="83"/>
  <c r="J25" i="83" s="1"/>
  <c r="C40" i="83"/>
  <c r="C45" i="83" s="1"/>
  <c r="C46" i="83" s="1"/>
  <c r="Q69" i="83"/>
  <c r="Q68" i="83" s="1"/>
  <c r="C71" i="83"/>
  <c r="C80" i="83"/>
  <c r="C79" i="83" s="1"/>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L51" i="83"/>
  <c r="L51" i="84"/>
  <c r="M21" i="15"/>
  <c r="F35" i="67"/>
  <c r="M21" i="67"/>
  <c r="Q67" i="84" l="1"/>
  <c r="C23" i="89"/>
  <c r="C20" i="89"/>
  <c r="C25" i="89" s="1"/>
  <c r="Q65" i="84"/>
  <c r="Q75" i="84" s="1"/>
  <c r="Q47" i="84"/>
  <c r="Q53" i="84" s="1"/>
  <c r="Q56" i="84"/>
  <c r="Q62" i="84" s="1"/>
  <c r="D2" i="84"/>
  <c r="B3" i="84" s="1"/>
  <c r="C83" i="84"/>
  <c r="C82" i="84" s="1"/>
  <c r="C43" i="84"/>
  <c r="Q67" i="83"/>
  <c r="Q47" i="83"/>
  <c r="Q53" i="83" s="1"/>
  <c r="C43" i="83"/>
  <c r="Q65" i="83"/>
  <c r="Q75" i="83" s="1"/>
  <c r="Q56" i="83"/>
  <c r="Q62" i="83" s="1"/>
  <c r="D2" i="83"/>
  <c r="C83" i="83"/>
  <c r="C82"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9" i="86"/>
  <c r="C28" i="89" l="1"/>
  <c r="C27" i="89" s="1"/>
  <c r="C22" i="89"/>
  <c r="C102" i="86"/>
  <c r="C21" i="86"/>
  <c r="B2" i="84"/>
  <c r="C102" i="9"/>
  <c r="C21" i="9"/>
  <c r="B3" i="68"/>
  <c r="B3" i="83"/>
  <c r="B2"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20" i="86"/>
  <c r="C31" i="89" l="1"/>
  <c r="C52" i="89" s="1"/>
  <c r="C57" i="89" s="1"/>
  <c r="C56" i="89" s="1"/>
  <c r="C103" i="86"/>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89"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D19" i="88"/>
  <c r="C19" i="88"/>
  <c r="B3" i="89"/>
  <c r="C102" i="88" l="1"/>
  <c r="C21" i="88"/>
  <c r="D21" i="88"/>
  <c r="D102" i="88"/>
  <c r="D22" i="88"/>
  <c r="G19" i="88"/>
  <c r="G21" i="8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8"/>
  <c r="AO9" i="1"/>
  <c r="AO8" i="1"/>
  <c r="AO11" i="1"/>
  <c r="AO7" i="1"/>
  <c r="C20" i="88"/>
  <c r="AO10" i="1"/>
  <c r="AO12" i="1"/>
  <c r="C103" i="88" l="1"/>
  <c r="D103" i="88"/>
  <c r="G20" i="88"/>
  <c r="C32" i="8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7"/>
  <c r="C35" i="88" l="1"/>
  <c r="C34" i="88" s="1"/>
  <c r="D21" i="87"/>
  <c r="D102" i="87"/>
  <c r="D22" i="87"/>
  <c r="G19" i="87"/>
  <c r="G21" i="87" s="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87"/>
  <c r="D19" i="86"/>
  <c r="D103" i="87" l="1"/>
  <c r="G20" i="87"/>
  <c r="C32" i="87" s="1"/>
  <c r="C35" i="87" s="1"/>
  <c r="C34" i="87" s="1"/>
  <c r="D21" i="86"/>
  <c r="D102" i="86"/>
  <c r="D22" i="86"/>
  <c r="G19" i="86"/>
  <c r="G21" i="86" s="1"/>
  <c r="D102" i="9"/>
  <c r="D21" i="9"/>
  <c r="G19" i="9"/>
  <c r="G21" i="9" s="1"/>
  <c r="D22" i="9"/>
  <c r="B3" i="70"/>
  <c r="C42" i="40"/>
  <c r="C43" i="40"/>
  <c r="E47" i="40"/>
  <c r="F47" i="40" s="1"/>
  <c r="E46" i="40"/>
  <c r="F46" i="40" s="1"/>
  <c r="I47" i="40"/>
  <c r="J47" i="40" s="1"/>
  <c r="D20" i="9"/>
  <c r="D20" i="86"/>
  <c r="D103" i="86" l="1"/>
  <c r="G20" i="86"/>
  <c r="C32" i="86"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C35" i="86" l="1"/>
  <c r="C34" i="86" s="1"/>
  <c r="E14" i="74"/>
  <c r="F14" i="74"/>
  <c r="B5" i="74"/>
  <c r="D5" i="74" s="1"/>
  <c r="B6" i="74" l="1"/>
  <c r="D6" i="74" s="1"/>
  <c r="C104" i="87"/>
  <c r="H119" i="87"/>
  <c r="N61" i="9"/>
  <c r="N60" i="9"/>
  <c r="D52" i="9"/>
  <c r="D53" i="9"/>
  <c r="D53" i="88"/>
  <c r="D52" i="88"/>
  <c r="D52" i="87"/>
  <c r="D53" i="87"/>
  <c r="D54" i="87"/>
  <c r="N60" i="88"/>
  <c r="N61" i="88"/>
  <c r="B21" i="72"/>
  <c r="I4" i="52"/>
  <c r="C105" i="9"/>
  <c r="B53" i="72"/>
  <c r="D8" i="52"/>
  <c r="M55" i="86"/>
  <c r="C81" i="87"/>
  <c r="H102" i="88"/>
  <c r="C105" i="88"/>
  <c r="P57" i="87"/>
  <c r="N58" i="87"/>
  <c r="P57" i="88"/>
  <c r="N59" i="88"/>
  <c r="N58" i="88"/>
  <c r="E81" i="86"/>
  <c r="E97" i="87"/>
  <c r="M48" i="87"/>
  <c r="D123" i="9"/>
  <c r="D9" i="52"/>
  <c r="C68" i="87"/>
  <c r="D123" i="86"/>
  <c r="B48" i="72"/>
  <c r="H5" i="52"/>
  <c r="D52" i="86"/>
  <c r="D53" i="86"/>
  <c r="M48" i="86"/>
  <c r="C81" i="88"/>
  <c r="M48" i="9"/>
  <c r="D123" i="87"/>
  <c r="M54" i="86"/>
  <c r="M48" i="88"/>
  <c r="H119" i="88"/>
  <c r="C104" i="88"/>
  <c r="C93" i="9"/>
  <c r="C86" i="9"/>
  <c r="D59" i="86"/>
  <c r="F119" i="88"/>
  <c r="C81" i="9"/>
  <c r="C104" i="9"/>
  <c r="H4" i="52"/>
  <c r="H119" i="9"/>
  <c r="H102" i="87"/>
  <c r="C105" i="87"/>
  <c r="N59" i="9"/>
  <c r="N58" i="9"/>
  <c r="D55" i="9"/>
  <c r="M53" i="9"/>
  <c r="N57" i="9"/>
  <c r="P57" i="9"/>
  <c r="N60" i="87"/>
  <c r="N59" i="87"/>
  <c r="N61" i="87"/>
  <c r="H108" i="86"/>
  <c r="H107" i="86"/>
  <c r="D122" i="86"/>
  <c r="C6" i="74"/>
  <c r="E81" i="9"/>
  <c r="H119" i="86"/>
  <c r="C104" i="86"/>
  <c r="N58" i="86"/>
  <c r="P57" i="86"/>
  <c r="N57" i="88"/>
  <c r="D7" i="53"/>
  <c r="H102" i="9"/>
  <c r="C5" i="74"/>
  <c r="D118" i="86"/>
  <c r="D119" i="86"/>
  <c r="C93" i="87"/>
  <c r="C86" i="87"/>
  <c r="D55" i="87"/>
  <c r="M53" i="87"/>
  <c r="N57" i="87"/>
  <c r="D59" i="87"/>
  <c r="M55" i="87"/>
  <c r="H102" i="86"/>
  <c r="C105" i="86"/>
  <c r="E118" i="86"/>
  <c r="H108" i="87"/>
  <c r="H107" i="87"/>
  <c r="D122" i="87"/>
  <c r="D56" i="88"/>
  <c r="M54" i="88"/>
  <c r="D4" i="52"/>
  <c r="B47" i="72"/>
  <c r="C78" i="88"/>
  <c r="C73" i="88"/>
  <c r="C68" i="88"/>
  <c r="D54" i="88"/>
  <c r="N60" i="86"/>
  <c r="D55" i="86"/>
  <c r="M53" i="86"/>
  <c r="N57" i="86"/>
  <c r="N59" i="86"/>
  <c r="N61" i="86"/>
  <c r="F119" i="87"/>
  <c r="F118" i="87"/>
  <c r="G118" i="87"/>
  <c r="B30" i="72"/>
  <c r="C80" i="87"/>
  <c r="E80" i="87"/>
  <c r="E81" i="87"/>
  <c r="C78" i="9"/>
  <c r="C73" i="9"/>
  <c r="F4" i="52"/>
  <c r="B51" i="72"/>
  <c r="C81" i="86"/>
  <c r="C68" i="9"/>
  <c r="D54" i="9"/>
  <c r="G4" i="52"/>
  <c r="B52" i="72"/>
  <c r="C72" i="87"/>
  <c r="C79" i="87"/>
  <c r="C78" i="86"/>
  <c r="C73" i="86"/>
  <c r="E97" i="86"/>
  <c r="C97" i="87"/>
  <c r="D58" i="87"/>
  <c r="D56" i="87"/>
  <c r="M54" i="87"/>
  <c r="C96" i="88"/>
  <c r="E96" i="88"/>
  <c r="E97" i="88"/>
  <c r="C80" i="88"/>
  <c r="E80" i="88"/>
  <c r="E81" i="88"/>
  <c r="B22" i="72"/>
  <c r="D122" i="9"/>
  <c r="C67" i="86"/>
  <c r="C68" i="86"/>
  <c r="D54" i="86"/>
  <c r="C96" i="9"/>
  <c r="E96" i="9"/>
  <c r="E97" i="9"/>
  <c r="F119" i="86"/>
  <c r="C64" i="87"/>
  <c r="C63" i="87"/>
  <c r="C67" i="87"/>
  <c r="G118" i="88"/>
  <c r="F118" i="88"/>
  <c r="C80" i="9"/>
  <c r="E80" i="9"/>
  <c r="B20" i="72"/>
  <c r="D5" i="53"/>
  <c r="D6" i="53"/>
  <c r="C97" i="9"/>
  <c r="D58" i="9"/>
  <c r="D56" i="9"/>
  <c r="M54" i="9"/>
  <c r="D123" i="88"/>
  <c r="D119" i="9"/>
  <c r="D5" i="52"/>
  <c r="B49" i="72"/>
  <c r="C96" i="87"/>
  <c r="E96" i="87"/>
  <c r="C78" i="87"/>
  <c r="C73" i="87"/>
  <c r="D13" i="53"/>
  <c r="D14" i="53"/>
  <c r="B32" i="72"/>
  <c r="H107" i="9"/>
  <c r="H108" i="9"/>
  <c r="D15" i="53"/>
  <c r="B31" i="72"/>
  <c r="C93" i="88"/>
  <c r="C86" i="88"/>
  <c r="E4" i="52"/>
  <c r="E118" i="9"/>
  <c r="D118" i="9"/>
  <c r="H101" i="87"/>
  <c r="D45" i="87"/>
  <c r="C85" i="87"/>
  <c r="C95" i="87"/>
  <c r="C96" i="86"/>
  <c r="E96" i="86"/>
  <c r="C85" i="88"/>
  <c r="C95" i="88"/>
  <c r="C97" i="88"/>
  <c r="D58" i="88"/>
  <c r="C72" i="86"/>
  <c r="C79" i="86"/>
  <c r="C80" i="86"/>
  <c r="E80" i="86"/>
  <c r="C93" i="86"/>
  <c r="C86" i="86"/>
  <c r="C72" i="88"/>
  <c r="C79" i="88"/>
  <c r="E118" i="88"/>
  <c r="D118" i="88"/>
  <c r="D119" i="88"/>
  <c r="D59" i="88"/>
  <c r="M55" i="88"/>
  <c r="C85" i="86"/>
  <c r="C95" i="86"/>
  <c r="C97" i="86"/>
  <c r="D58" i="86"/>
  <c r="D56" i="86"/>
  <c r="C64" i="88"/>
  <c r="C63" i="88"/>
  <c r="C67" i="88"/>
  <c r="D59" i="9"/>
  <c r="M55" i="9"/>
  <c r="G118" i="9"/>
  <c r="F118" i="9"/>
  <c r="F119" i="9"/>
  <c r="F5" i="52"/>
  <c r="I118" i="86"/>
  <c r="H118" i="86"/>
  <c r="H101" i="86"/>
  <c r="D45" i="86"/>
  <c r="C64" i="86"/>
  <c r="C63" i="86"/>
  <c r="H108" i="88"/>
  <c r="H107" i="88"/>
  <c r="D122" i="88"/>
  <c r="C85" i="9"/>
  <c r="C95" i="9"/>
  <c r="G118" i="86"/>
  <c r="F118" i="86"/>
  <c r="I118" i="88"/>
  <c r="H118" i="88"/>
  <c r="H101" i="88"/>
  <c r="D45" i="88"/>
  <c r="D55" i="88"/>
  <c r="M53" i="88"/>
  <c r="C72" i="9"/>
  <c r="C79" i="9"/>
  <c r="I118" i="9"/>
  <c r="H118" i="9"/>
  <c r="H101" i="9"/>
  <c r="D45" i="9"/>
  <c r="C64" i="9"/>
  <c r="C63" i="9"/>
  <c r="C67" i="9"/>
  <c r="H118" i="87"/>
  <c r="I118" i="87"/>
  <c r="E118" i="87"/>
  <c r="D118" i="87"/>
  <c r="D119"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<sst xmlns="http://schemas.openxmlformats.org/spreadsheetml/2006/main" count="10470" uniqueCount="3445">
  <si>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</si>
  <si>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</si>
  <si>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</si>
  <si>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</si>
  <si>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</si>
  <si>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</si>
  <si>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</si>
  <si>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</si>
  <si>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</si>
  <si>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</si>
  <si>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</si>
  <si>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</si>
  <si>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</si>
  <si>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</si>
  <si>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</si>
  <si>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</si>
  <si>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</si>
  <si>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</si>
  <si>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</si>
  <si>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</si>
  <si>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</si>
  <si>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</si>
  <si>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</si>
  <si>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</si>
  <si>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</si>
  <si>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</si>
  <si>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</si>
  <si>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</si>
  <si>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</si>
  <si>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</si>
  <si>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</si>
  <si>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</si>
  <si>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</si>
  <si>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</si>
  <si>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</si>
  <si>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</si>
  <si>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</si>
  <si>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</si>
  <si>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</si>
  <si>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</si>
  <si>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</si>
  <si>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</si>
  <si>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</si>
  <si>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</si>
  <si>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</si>
  <si>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</si>
  <si>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</si>
  <si>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</si>
  <si>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</si>
  <si>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</si>
  <si>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</si>
  <si>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</si>
  <si>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</si>
  <si>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</si>
  <si>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</si>
  <si>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</si>
  <si>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</si>
  <si>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</si>
  <si>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</si>
  <si>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</si>
  <si>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</si>
  <si>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</si>
  <si>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</si>
  <si>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</si>
  <si>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</si>
  <si>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</si>
  <si>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</si>
  <si>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</si>
  <si>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</si>
  <si>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</si>
  <si>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</si>
  <si>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</si>
  <si>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</si>
  <si>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</si>
  <si>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</si>
  <si>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</si>
  <si>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</si>
  <si>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</si>
  <si>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</si>
  <si>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</si>
  <si>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</si>
  <si>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</si>
  <si>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</si>
  <si>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</si>
  <si>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</si>
  <si>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</si>
  <si>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</si>
  <si>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</si>
  <si>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</si>
  <si>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</si>
  <si>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</si>
  <si>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</si>
  <si>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</si>
  <si>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</si>
  <si>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</si>
  <si>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</si>
  <si>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</si>
  <si>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</si>
  <si>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</si>
  <si>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</si>
  <si>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</si>
  <si>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</si>
  <si>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</si>
  <si>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</si>
  <si>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</si>
  <si>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</si>
  <si>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</si>
  <si>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</si>
  <si>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</si>
  <si>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</si>
  <si>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</si>
  <si>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</si>
  <si>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</si>
  <si>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</si>
  <si>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</si>
  <si>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</si>
  <si>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</si>
  <si>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</si>
  <si>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</si>
  <si>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</si>
  <si>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</si>
  <si>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</si>
  <si>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</si>
  <si>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</si>
  <si>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</si>
  <si>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</si>
  <si>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</si>
  <si>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</si>
  <si>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</si>
  <si>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</si>
  <si>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</si>
  <si>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</si>
  <si>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</si>
  <si>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</si>
  <si>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</si>
  <si>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</si>
  <si>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</si>
  <si>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</si>
  <si>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</si>
  <si>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</si>
  <si>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</si>
  <si>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</si>
  <si>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</si>
  <si>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</si>
  <si>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</si>
  <si>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</si>
  <si>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</si>
  <si>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</si>
  <si>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</si>
  <si>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</si>
  <si>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</si>
  <si>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</si>
  <si>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</si>
  <si>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</si>
  <si>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</si>
  <si>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</si>
  <si>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</si>
  <si>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</si>
  <si>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</si>
  <si>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</si>
  <si>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</si>
  <si>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</si>
  <si>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</si>
  <si>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</si>
  <si>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</si>
  <si>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</si>
  <si>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</si>
  <si>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</si>
  <si>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</si>
  <si>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</si>
  <si>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</si>
  <si>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</si>
  <si>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</si>
  <si>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</si>
  <si>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</si>
  <si>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</si>
  <si>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</si>
  <si>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</si>
  <si>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</si>
  <si>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</si>
  <si>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</si>
  <si>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</si>
  <si>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</si>
  <si>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</si>
  <si>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</si>
  <si>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</si>
  <si>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</si>
  <si>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</si>
  <si>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</si>
  <si>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</si>
  <si>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</si>
  <si>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</si>
  <si>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</si>
  <si>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</si>
  <si>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</si>
  <si>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</si>
  <si>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</si>
  <si>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</si>
  <si>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</si>
  <si>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</si>
  <si>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</si>
  <si>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</si>
  <si>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</si>
  <si>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</si>
  <si>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</si>
  <si>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</si>
  <si>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</si>
  <si>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</si>
  <si>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</si>
  <si>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</si>
  <si>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</si>
  <si>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</si>
  <si>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</si>
  <si>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</si>
  <si>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</si>
  <si>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</si>
  <si>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</si>
  <si>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</si>
  <si>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</si>
  <si>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</si>
  <si>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</si>
  <si>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</si>
  <si>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</si>
  <si>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</si>
  <si>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</si>
  <si>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</si>
  <si>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</si>
  <si>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</si>
  <si>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</si>
  <si>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</si>
  <si>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</si>
  <si>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</si>
  <si>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</si>
  <si>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</si>
  <si>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</si>
  <si>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</si>
  <si>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</si>
  <si>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</si>
  <si>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</si>
  <si>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</si>
  <si>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</si>
  <si>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</si>
  <si>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</si>
  <si>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</si>
  <si>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</si>
  <si>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</si>
  <si>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</si>
  <si>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</si>
  <si>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</si>
  <si>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</si>
  <si>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</si>
  <si>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</si>
  <si>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</si>
  <si>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</si>
  <si>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</si>
  <si>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</si>
  <si>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</si>
  <si>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</si>
  <si>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</si>
  <si>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</si>
  <si>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</si>
  <si>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</si>
  <si>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</si>
  <si>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</si>
  <si>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</si>
  <si>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</si>
  <si>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</si>
  <si>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</si>
  <si>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</si>
  <si>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</si>
  <si>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</si>
  <si>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</si>
  <si>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</si>
  <si>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</si>
  <si>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</si>
  <si>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</si>
  <si>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</si>
  <si>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</si>
  <si>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</si>
  <si>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</si>
  <si>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</si>
  <si>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</si>
  <si>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</si>
  <si>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</si>
  <si>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</si>
  <si>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</si>
  <si>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</si>
  <si>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</si>
  <si>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</si>
  <si>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</si>
  <si>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</si>
  <si>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</si>
  <si>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</si>
  <si>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</si>
  <si>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</si>
  <si>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</si>
  <si>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</si>
  <si>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</si>
  <si>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</si>
  <si>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</si>
  <si>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</si>
  <si>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</si>
  <si>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</si>
  <si>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</si>
  <si>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</si>
  <si>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</si>
  <si>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</si>
  <si>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</si>
  <si>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</si>
  <si>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</si>
  <si>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</si>
  <si>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</si>
  <si>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</si>
  <si>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</si>
  <si>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</si>
  <si>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</si>
  <si>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</si>
  <si>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</si>
  <si>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</si>
  <si>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</si>
  <si>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</si>
  <si>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</si>
  <si>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</si>
  <si>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</si>
  <si>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</si>
  <si>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</si>
  <si>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</si>
  <si>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</si>
  <si>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</si>
  <si>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</si>
  <si>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</si>
  <si>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</si>
  <si>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</si>
  <si>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</si>
  <si>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</si>
  <si>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</si>
  <si>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</si>
  <si>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</si>
  <si>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</si>
  <si>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</si>
  <si>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</si>
  <si>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</si>
  <si>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</si>
  <si>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</si>
  <si>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</si>
  <si>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</si>
  <si>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</si>
  <si>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</si>
  <si>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</si>
  <si>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</si>
  <si>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</si>
  <si>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</si>
  <si>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</si>
  <si>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</si>
  <si>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</si>
  <si>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</si>
  <si>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</si>
  <si>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</si>
  <si>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</si>
  <si>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</si>
  <si>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</si>
  <si>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</si>
  <si>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</si>
  <si>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</si>
  <si>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</si>
  <si>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</si>
  <si>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</si>
  <si>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</si>
  <si>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</si>
  <si>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</si>
  <si>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</si>
  <si>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</si>
  <si>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</si>
  <si>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</si>
  <si>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</si>
  <si>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</si>
  <si>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</si>
  <si>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</si>
  <si>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</si>
  <si>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</si>
  <si>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</si>
  <si>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</si>
  <si>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</si>
  <si>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</si>
  <si>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</si>
  <si>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</si>
  <si>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</si>
  <si>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</si>
  <si>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</si>
  <si>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</si>
  <si>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</si>
  <si>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</si>
  <si>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</si>
  <si>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</si>
  <si>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</si>
  <si>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</si>
  <si>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</si>
  <si>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</si>
  <si>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</si>
  <si>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</si>
  <si>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</si>
  <si>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</si>
  <si>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</si>
  <si>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</si>
  <si>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</si>
  <si>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</si>
  <si>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</si>
  <si>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</si>
  <si>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</si>
  <si>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</si>
  <si>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</si>
  <si>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</si>
  <si>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</si>
  <si>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</si>
  <si>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</si>
  <si>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</si>
  <si>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</si>
  <si>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</si>
  <si>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</si>
  <si>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</si>
  <si>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</si>
  <si>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</si>
  <si>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</si>
  <si>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</si>
  <si>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</si>
  <si>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</si>
  <si>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</si>
  <si>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</si>
  <si>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</si>
  <si>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</si>
  <si>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</si>
  <si>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</si>
  <si>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</si>
  <si>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</si>
  <si>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</si>
  <si>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</si>
  <si>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</si>
  <si>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</si>
  <si>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</si>
  <si>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</si>
  <si>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</si>
  <si>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</si>
  <si>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</si>
  <si>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</si>
  <si>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</si>
  <si>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</si>
  <si>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</si>
  <si>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</si>
  <si>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</si>
  <si>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</si>
  <si>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</si>
  <si>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</si>
  <si>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</si>
  <si>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</si>
  <si>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</si>
  <si>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</si>
  <si>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</si>
  <si>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</si>
  <si>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</si>
  <si>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</si>
  <si>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</si>
  <si>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</si>
  <si>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</si>
  <si>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</si>
  <si>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</si>
  <si>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</si>
  <si>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</si>
  <si>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</si>
  <si>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</si>
  <si>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</si>
  <si>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</si>
  <si>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</si>
  <si>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</si>
  <si>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</si>
  <si>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</si>
  <si>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</si>
  <si>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</si>
  <si>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</si>
  <si>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</si>
  <si>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</si>
  <si>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</si>
  <si>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</si>
  <si>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</si>
  <si>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</si>
  <si>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</si>
  <si>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</si>
  <si>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</si>
  <si>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</si>
  <si>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</si>
  <si>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</si>
  <si>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</si>
  <si>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</si>
  <si>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</si>
  <si>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</si>
  <si>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</si>
  <si>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</si>
  <si>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</si>
  <si>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</si>
  <si>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</si>
  <si>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</si>
  <si>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</si>
  <si>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</si>
  <si>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</si>
  <si>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</si>
  <si>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</si>
  <si>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</si>
  <si>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</si>
  <si>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</si>
  <si>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</si>
  <si>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</si>
  <si>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</si>
  <si>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</si>
  <si>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</si>
  <si>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</si>
  <si>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</si>
  <si>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</si>
  <si>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</si>
  <si>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</si>
  <si>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</si>
  <si>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</si>
  <si>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</si>
  <si>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</si>
  <si>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</si>
  <si>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</si>
  <si>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</si>
  <si>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</si>
  <si>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</si>
  <si>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</si>
  <si>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</si>
  <si>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</si>
  <si>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</si>
  <si>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</si>
  <si>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</si>
  <si>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</si>
  <si>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</si>
  <si>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</si>
  <si>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</si>
  <si>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</si>
  <si>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</si>
  <si>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</si>
  <si>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</si>
  <si>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</si>
  <si>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</si>
  <si>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</si>
  <si>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</si>
  <si>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</si>
  <si>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</si>
  <si>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</si>
  <si>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</si>
  <si>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</si>
  <si>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</si>
  <si>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</si>
  <si>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</si>
  <si>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</si>
  <si>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</si>
  <si>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</si>
  <si>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</si>
  <si>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</si>
  <si>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</si>
  <si>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</si>
  <si>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</si>
  <si>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</si>
  <si>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</si>
  <si>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</si>
  <si>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</si>
  <si>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</si>
  <si>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</si>
  <si>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</si>
  <si>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</si>
  <si>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</si>
  <si>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</si>
  <si>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</si>
  <si>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</si>
  <si>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</si>
  <si>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</si>
  <si>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</si>
  <si>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</si>
  <si>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</si>
  <si>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</si>
  <si>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</si>
  <si>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</si>
  <si>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</si>
  <si>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</si>
  <si>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</si>
  <si>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</si>
  <si>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</si>
  <si>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</si>
  <si>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</si>
  <si>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</si>
  <si>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</si>
  <si>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</si>
  <si>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</si>
  <si>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</si>
  <si>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</si>
  <si>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</si>
  <si>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</si>
  <si>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</si>
  <si>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</si>
  <si>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</si>
  <si>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</si>
  <si>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</si>
  <si>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</si>
  <si>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</si>
  <si>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</si>
  <si>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</si>
  <si>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</si>
  <si>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</si>
  <si>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</si>
  <si>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</si>
  <si>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</si>
  <si>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</si>
  <si>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</si>
  <si>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</si>
  <si>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</si>
  <si>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</si>
  <si>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</si>
  <si>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</si>
  <si>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</si>
  <si>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</si>
  <si>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</si>
  <si>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</si>
  <si>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</si>
  <si>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</si>
  <si>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</si>
  <si>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</si>
  <si>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</si>
  <si>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</si>
  <si>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</si>
  <si>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</si>
  <si>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</si>
  <si>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</si>
  <si>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</si>
  <si>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</si>
  <si>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</si>
  <si>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</si>
  <si>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</si>
  <si>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</si>
  <si>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</si>
  <si>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</si>
  <si>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</si>
  <si>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</si>
  <si>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</si>
  <si>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</si>
  <si>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</si>
  <si>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</si>
  <si>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</si>
  <si>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</si>
  <si>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</si>
  <si>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</si>
  <si>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</si>
  <si>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</si>
  <si>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</si>
  <si>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</si>
  <si>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</si>
  <si>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</si>
  <si>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</si>
  <si>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</si>
  <si>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</si>
  <si>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</si>
  <si>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</si>
  <si>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</si>
  <si>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</si>
  <si>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</si>
  <si>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</si>
  <si>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</si>
  <si>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</si>
  <si>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</si>
  <si>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</si>
  <si>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</si>
  <si>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</si>
  <si>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</si>
  <si>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</si>
  <si>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</si>
  <si>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</si>
  <si>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</si>
  <si>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</si>
  <si>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</si>
  <si>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</si>
  <si>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</si>
  <si>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</si>
  <si>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</si>
  <si>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</si>
  <si>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</si>
  <si>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</si>
  <si>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</si>
  <si>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</si>
  <si>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</si>
  <si>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</si>
  <si>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</si>
  <si>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</si>
  <si>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</si>
  <si>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</si>
  <si>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</si>
  <si>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</si>
  <si>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</si>
  <si>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</si>
  <si>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</si>
  <si>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</si>
  <si>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</si>
  <si>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</si>
  <si>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</si>
  <si>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</si>
  <si>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</si>
  <si>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</si>
  <si>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</si>
  <si>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</si>
  <si>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</si>
  <si>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</si>
  <si>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</si>
  <si>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</si>
  <si>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</si>
  <si>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</si>
  <si>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</si>
  <si>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</si>
  <si>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</si>
  <si>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</si>
  <si>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</si>
  <si>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</si>
  <si>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</si>
  <si>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</si>
  <si>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</si>
  <si>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</si>
  <si>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</si>
  <si>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</si>
  <si>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</si>
  <si>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</si>
  <si>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</si>
  <si>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</si>
  <si>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</si>
  <si>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</si>
  <si>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</si>
  <si>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</si>
  <si>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</si>
  <si>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</si>
  <si>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</si>
  <si>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</si>
  <si>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</si>
  <si>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</si>
  <si>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</si>
  <si>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</si>
  <si>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</si>
  <si>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</si>
  <si>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</si>
  <si>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</si>
  <si>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</si>
  <si>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</si>
  <si>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</si>
  <si>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</si>
  <si>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</si>
  <si>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</si>
  <si>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</si>
  <si>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</si>
  <si>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</si>
  <si>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</si>
  <si>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</si>
  <si>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</si>
  <si>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</si>
  <si>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</si>
  <si>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</si>
  <si>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</si>
  <si>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</si>
  <si>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</si>
  <si>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</si>
  <si>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</si>
  <si>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</si>
  <si>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</si>
  <si>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</si>
  <si>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</si>
  <si>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</si>
  <si>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</si>
  <si>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</si>
  <si>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</si>
  <si>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</si>
  <si>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</si>
  <si>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</si>
  <si>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</si>
  <si>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</si>
  <si>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</si>
  <si>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</si>
  <si>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</si>
  <si>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</si>
  <si>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</si>
  <si>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</si>
  <si>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</si>
  <si>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</si>
  <si>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</si>
  <si>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</si>
  <si>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</si>
  <si>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</si>
  <si>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</si>
  <si>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</si>
  <si>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</si>
  <si>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</si>
  <si>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</si>
  <si>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</si>
  <si>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</si>
  <si>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</si>
  <si>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</si>
  <si>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</si>
  <si>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</si>
  <si>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</si>
  <si>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</si>
  <si>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</si>
  <si>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</si>
  <si>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</si>
  <si>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</si>
  <si>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</si>
  <si>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</si>
  <si>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</si>
  <si>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</si>
  <si>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</si>
  <si>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</si>
  <si>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</si>
  <si>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</si>
  <si>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</si>
  <si>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</si>
  <si>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</si>
  <si>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</si>
  <si>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</si>
  <si>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</si>
  <si>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</si>
  <si>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</si>
  <si>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</si>
  <si>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</si>
  <si>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</si>
  <si>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</si>
  <si>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</si>
  <si>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</si>
  <si>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</si>
  <si>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</si>
  <si>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</si>
  <si>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</si>
  <si>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</si>
  <si>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</si>
  <si>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</si>
  <si>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</si>
  <si>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</si>
  <si>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</si>
  <si>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</si>
  <si>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</si>
  <si>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</si>
  <si>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</si>
  <si>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</si>
  <si>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</si>
  <si>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</si>
  <si>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</si>
  <si>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</si>
  <si>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</si>
  <si>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</si>
  <si>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</si>
  <si>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</si>
  <si>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</si>
  <si>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</si>
  <si>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</si>
  <si>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</si>
  <si>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</si>
  <si>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</si>
  <si>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</si>
  <si>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</si>
  <si>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</si>
  <si>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</si>
  <si>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</si>
  <si>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</si>
  <si>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</si>
  <si>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</si>
  <si>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</si>
  <si>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</si>
  <si>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</si>
  <si>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</si>
  <si>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</si>
  <si>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</si>
  <si>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</si>
  <si>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</si>
  <si>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</si>
  <si>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</si>
  <si>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</si>
  <si>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</si>
  <si>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</si>
  <si>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</si>
  <si>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</si>
  <si>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</si>
  <si>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</si>
  <si>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</si>
  <si>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</si>
  <si>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</si>
  <si>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</si>
  <si>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</si>
  <si>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</si>
  <si>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</si>
  <si>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</si>
  <si>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</si>
  <si>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</si>
  <si>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</si>
  <si>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</si>
  <si>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</si>
  <si>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</si>
  <si>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</si>
  <si>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</si>
  <si>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</si>
  <si>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</si>
  <si>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</si>
  <si>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</si>
  <si>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</si>
  <si>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</si>
  <si>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</si>
  <si>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</si>
  <si>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</si>
  <si>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</si>
  <si>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</si>
  <si>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</si>
  <si>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</si>
  <si>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</si>
  <si>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</si>
  <si>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</si>
  <si>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</si>
  <si>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</si>
  <si>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</si>
  <si>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</si>
  <si>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</si>
  <si>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</si>
  <si>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</si>
  <si>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</si>
  <si>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</si>
  <si>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</si>
  <si>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</si>
  <si>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</si>
  <si>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</si>
  <si>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</si>
  <si>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</si>
  <si>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</si>
  <si>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</si>
  <si>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</si>
  <si>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</si>
  <si>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</si>
  <si>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</si>
  <si>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</si>
  <si>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</si>
  <si>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</si>
  <si>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</si>
  <si>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</si>
  <si>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</si>
  <si>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</si>
  <si>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</si>
  <si>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</si>
  <si>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</si>
  <si>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</si>
  <si>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</si>
  <si>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</si>
  <si>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</si>
  <si>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</si>
  <si>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</si>
  <si>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</si>
  <si>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</si>
  <si>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</si>
  <si>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</si>
  <si>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</si>
  <si>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</si>
  <si>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</si>
  <si>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</si>
  <si>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</si>
  <si>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</si>
  <si>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</si>
  <si>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</si>
  <si>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</si>
  <si>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</si>
  <si>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</si>
  <si>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</si>
  <si>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</si>
  <si>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</si>
  <si>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</si>
  <si>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</si>
  <si>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</si>
  <si>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</si>
  <si>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</si>
  <si>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</si>
  <si>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</si>
  <si>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</si>
  <si>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</si>
  <si>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</si>
  <si>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</si>
  <si>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</si>
  <si>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</si>
  <si>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</si>
  <si>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</si>
  <si>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</si>
  <si>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</si>
  <si>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</si>
  <si>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</si>
  <si>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</si>
  <si>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</si>
  <si>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</si>
  <si>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</si>
  <si>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</si>
  <si>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</si>
  <si>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</si>
  <si>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</si>
  <si>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</si>
  <si>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</si>
  <si>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</si>
  <si>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</si>
  <si>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</si>
  <si>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</si>
  <si>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</si>
  <si>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</si>
  <si>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</si>
  <si>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</si>
  <si>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</si>
  <si>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</si>
  <si>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</si>
  <si>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</si>
  <si>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</si>
  <si>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</si>
  <si>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</si>
  <si>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</si>
  <si>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</si>
  <si>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</si>
  <si>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</si>
  <si>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</si>
  <si>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</si>
  <si>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</si>
  <si>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</si>
  <si>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</si>
  <si>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</si>
  <si>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</si>
  <si>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</si>
  <si>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</si>
  <si>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</si>
  <si>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</si>
  <si>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</si>
  <si>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</si>
  <si>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</si>
  <si>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</si>
  <si>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</si>
  <si>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</si>
  <si>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</si>
  <si>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</si>
  <si>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</si>
  <si>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</si>
  <si>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</si>
  <si>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</si>
  <si>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</si>
  <si>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</si>
  <si>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</si>
  <si>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</si>
  <si>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</si>
  <si>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</si>
  <si>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</si>
  <si>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</si>
  <si>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</si>
  <si>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</si>
  <si>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</si>
  <si>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</si>
  <si>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</si>
  <si>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</si>
  <si>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</si>
  <si>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</si>
  <si>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</si>
  <si>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</si>
  <si>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</si>
  <si>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</si>
  <si>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</si>
  <si>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</si>
  <si>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</si>
  <si>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</si>
  <si>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</si>
  <si>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</si>
  <si>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</si>
  <si>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</si>
  <si>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</si>
  <si>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</si>
  <si>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</si>
  <si>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</si>
  <si>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</si>
  <si>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</si>
  <si>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</si>
  <si>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</si>
  <si>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</si>
  <si>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</si>
  <si>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</si>
  <si>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</si>
  <si>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</si>
  <si>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</si>
  <si>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</si>
  <si>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</si>
  <si>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</si>
  <si>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</si>
  <si>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</si>
  <si>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</si>
  <si>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</si>
  <si>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</si>
  <si>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</si>
  <si>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</si>
  <si>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</si>
  <si>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</si>
  <si>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</si>
  <si>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</si>
  <si>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</si>
  <si>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</si>
  <si>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</si>
  <si>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</si>
  <si>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</si>
  <si>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</si>
  <si>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</si>
  <si>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</si>
  <si>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</si>
  <si>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</si>
  <si>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</si>
  <si>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</si>
  <si>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</si>
  <si>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</si>
  <si>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</si>
  <si>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</si>
  <si>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</si>
  <si>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</si>
  <si>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</si>
  <si>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</si>
  <si>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</si>
  <si>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</si>
  <si>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</si>
  <si>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</si>
  <si>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</si>
  <si>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</si>
  <si>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</si>
  <si>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</si>
  <si>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</si>
  <si>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</si>
  <si>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</si>
  <si>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</si>
  <si>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</si>
  <si>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</si>
  <si>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</si>
  <si>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</si>
  <si>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</si>
  <si>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</si>
  <si>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</si>
  <si>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</si>
  <si>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</si>
  <si>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</si>
  <si>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</si>
  <si>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</si>
  <si>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</si>
  <si>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</si>
  <si>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</si>
  <si>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</si>
  <si>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</si>
  <si>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</si>
  <si>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</si>
  <si>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</si>
  <si>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</si>
  <si>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</si>
  <si>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</si>
  <si>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</si>
  <si>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</si>
  <si>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</si>
  <si>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</si>
  <si>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</si>
  <si>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</si>
  <si>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</si>
  <si>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</si>
  <si>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</si>
  <si>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</si>
  <si>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</si>
  <si>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</si>
  <si>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</si>
  <si>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</si>
  <si>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</si>
  <si>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</si>
  <si>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</si>
  <si>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</si>
  <si>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</si>
  <si>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</si>
  <si>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</si>
  <si>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</si>
  <si>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</si>
  <si>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</si>
  <si>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</si>
  <si>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</si>
  <si>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</si>
  <si>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</si>
  <si>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</si>
  <si>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</si>
  <si>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</si>
  <si>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</si>
  <si>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</si>
  <si>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</si>
  <si>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</si>
  <si>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</si>
  <si>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</si>
  <si>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</si>
  <si>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</si>
  <si>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</si>
  <si>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</si>
  <si>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</si>
  <si>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</si>
  <si>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</si>
  <si>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</si>
  <si>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</si>
  <si>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</si>
  <si>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</si>
  <si>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</si>
  <si>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</si>
  <si>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</si>
  <si>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</si>
  <si>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</si>
  <si>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</si>
  <si>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</si>
  <si>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</si>
  <si>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</si>
  <si>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</si>
  <si>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</si>
  <si>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</si>
  <si>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</si>
  <si>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</si>
  <si>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</si>
  <si>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</si>
  <si>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</si>
  <si>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</si>
  <si>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</si>
  <si>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</si>
  <si>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</si>
  <si>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</si>
  <si>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</si>
  <si>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</si>
  <si>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</si>
  <si>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</si>
  <si>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</si>
  <si>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</si>
  <si>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</si>
  <si>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</si>
  <si>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</si>
  <si>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</si>
  <si>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</si>
  <si>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</si>
  <si>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</si>
  <si>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</si>
  <si>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</si>
  <si>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</si>
  <si>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</si>
  <si>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</si>
  <si>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</si>
  <si>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</si>
  <si>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</si>
  <si>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</si>
  <si>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</si>
  <si>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</si>
  <si>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</si>
  <si>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</si>
  <si>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</si>
  <si>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</si>
  <si>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</si>
  <si>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</si>
  <si>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</si>
  <si>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</si>
  <si>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</si>
  <si>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</si>
  <si>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</si>
  <si>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</si>
  <si>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</si>
  <si>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</si>
  <si>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</si>
  <si>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</si>
  <si>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</si>
  <si>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</si>
  <si>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</si>
  <si>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</si>
  <si>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</si>
  <si>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</si>
  <si>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</si>
  <si>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</si>
  <si>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</si>
  <si>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</si>
  <si>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</si>
  <si>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</si>
  <si>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</si>
  <si>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</si>
  <si>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</si>
  <si>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</si>
  <si>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</si>
  <si>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</si>
  <si>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</si>
  <si>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</si>
  <si>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</si>
  <si>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</si>
  <si>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</si>
  <si>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</si>
  <si>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</si>
  <si>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</si>
  <si>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</si>
  <si>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</si>
  <si>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</si>
  <si>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</si>
  <si>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</si>
  <si>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</si>
  <si>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</si>
  <si>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</si>
  <si>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</si>
  <si>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</si>
  <si>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</si>
  <si>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</si>
  <si>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</si>
  <si>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</si>
  <si>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</si>
  <si>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</si>
  <si>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</si>
  <si>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</si>
  <si>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</si>
  <si>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</si>
  <si>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</si>
  <si>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</si>
  <si>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</si>
  <si>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</si>
  <si>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</si>
  <si>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</si>
  <si>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</si>
  <si>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</si>
  <si>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</si>
  <si>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</si>
  <si>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</si>
  <si>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</si>
  <si>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</si>
  <si>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</si>
  <si>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</si>
  <si>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</si>
  <si>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</si>
  <si>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</si>
  <si>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</si>
  <si>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</si>
  <si>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</si>
  <si>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</si>
  <si>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</si>
  <si>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</si>
  <si>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</si>
  <si>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</si>
  <si>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</si>
  <si>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</si>
  <si>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</si>
  <si>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</si>
  <si>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</si>
  <si>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</si>
  <si>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</si>
  <si>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</si>
  <si>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</si>
  <si>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</si>
  <si>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</si>
  <si>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</si>
  <si>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</si>
  <si>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</si>
  <si>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</si>
  <si>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</si>
  <si>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</si>
  <si>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</si>
  <si>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</si>
  <si>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</si>
  <si>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</si>
  <si>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</si>
  <si>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</si>
  <si>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</si>
  <si>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</si>
  <si>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</si>
  <si>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</si>
  <si>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</si>
  <si>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</si>
  <si>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</si>
  <si>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</si>
  <si>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</si>
  <si>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</si>
  <si>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</si>
  <si>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</si>
  <si>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</si>
  <si>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</si>
  <si>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</si>
  <si>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</si>
  <si>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</si>
  <si>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</si>
  <si>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</si>
  <si>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</si>
  <si>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</si>
  <si>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</si>
  <si>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</si>
  <si>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</si>
  <si>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</si>
  <si>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</si>
  <si>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</si>
  <si>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</si>
  <si>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</si>
  <si>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</si>
  <si>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</si>
  <si>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</si>
  <si>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</si>
  <si>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</si>
  <si>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</si>
  <si>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</si>
  <si>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</si>
  <si>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</si>
  <si>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</si>
  <si>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</si>
  <si>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</si>
  <si>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</si>
  <si>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</si>
  <si>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</si>
  <si>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</si>
  <si>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</si>
  <si>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</si>
  <si>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</si>
  <si>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</si>
  <si>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</si>
  <si>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</si>
  <si>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</si>
  <si>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</si>
  <si>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</si>
  <si>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</si>
  <si>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</si>
  <si>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</si>
  <si>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</si>
  <si>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</si>
  <si>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</si>
  <si>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</si>
  <si>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</si>
  <si>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</si>
  <si>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</si>
  <si>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</si>
  <si>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</si>
  <si>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</si>
  <si>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</si>
  <si>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</si>
  <si>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</si>
  <si>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</si>
  <si>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</si>
  <si>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</si>
  <si>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</si>
  <si>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</si>
  <si>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</si>
  <si>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</si>
  <si>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</si>
  <si>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</si>
  <si>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</si>
  <si>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</si>
  <si>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</si>
  <si>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</si>
  <si>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</si>
  <si>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</si>
  <si>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</si>
  <si>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</si>
  <si>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</si>
  <si>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</si>
  <si>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</si>
  <si>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</si>
  <si>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</si>
  <si>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</si>
  <si>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</si>
  <si>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</si>
  <si>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</si>
  <si>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</si>
  <si>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</si>
  <si>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</si>
  <si>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</si>
  <si>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</si>
  <si>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</si>
  <si>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</si>
  <si>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</si>
  <si>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</si>
  <si>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</si>
  <si>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</si>
  <si>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</si>
  <si>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</si>
  <si>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</si>
  <si>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</si>
  <si>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</si>
  <si>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</si>
  <si>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</si>
  <si>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</si>
  <si>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</si>
  <si>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</si>
  <si>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</si>
  <si>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</si>
  <si>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</si>
  <si>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</si>
  <si>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</si>
  <si>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</si>
  <si>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</si>
  <si>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</si>
  <si>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</si>
  <si>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</si>
  <si>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</si>
  <si>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</si>
  <si>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</si>
  <si>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</si>
  <si>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</si>
  <si>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</si>
  <si>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</si>
  <si>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</si>
  <si>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</si>
  <si>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</si>
  <si>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</si>
  <si>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</si>
  <si>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</si>
  <si>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</si>
  <si>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</si>
  <si>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</si>
  <si>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</si>
  <si>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</si>
  <si>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</si>
  <si>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</si>
  <si>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</si>
  <si>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</si>
  <si>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</si>
  <si>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</si>
  <si>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</si>
  <si>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</si>
  <si>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</si>
  <si>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</si>
  <si>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</si>
  <si>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</si>
  <si>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</si>
  <si>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</si>
  <si>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</si>
  <si>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</si>
  <si>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</si>
  <si>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</si>
  <si>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</si>
  <si>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</si>
  <si>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</si>
  <si>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</si>
  <si>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</si>
  <si>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</si>
  <si>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</si>
  <si>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</si>
  <si>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</si>
  <si>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</si>
  <si>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</si>
  <si>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</si>
  <si>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</si>
  <si>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</si>
  <si>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</si>
  <si>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</si>
  <si>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</si>
  <si>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</si>
  <si>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</si>
  <si>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</si>
  <si>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</si>
  <si>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</si>
  <si>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</si>
  <si>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</si>
  <si>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</si>
  <si>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</si>
  <si>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</si>
  <si>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</si>
  <si>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</si>
  <si>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</si>
  <si>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</si>
  <si>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</si>
  <si>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</si>
  <si>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</si>
  <si>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</si>
  <si>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</si>
  <si>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</si>
  <si>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</si>
  <si>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</si>
  <si>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</si>
  <si>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</si>
  <si>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</si>
  <si>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</si>
  <si>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</si>
  <si>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</si>
  <si>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</si>
  <si>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</si>
  <si>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</si>
  <si>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</si>
  <si>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</si>
  <si>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</si>
  <si>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</si>
  <si>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</si>
  <si>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</si>
  <si>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</si>
  <si>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</si>
  <si>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</si>
  <si>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</si>
  <si>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</si>
  <si>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</si>
  <si>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</si>
  <si>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</si>
  <si>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</si>
  <si>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</si>
  <si>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</si>
  <si>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</si>
  <si>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</si>
  <si>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</si>
  <si>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</si>
  <si>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</si>
  <si>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</si>
  <si>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</si>
  <si>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</si>
  <si>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</si>
  <si>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</si>
  <si>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</si>
  <si>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</si>
  <si>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</si>
  <si>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</si>
  <si>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</si>
  <si>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</si>
  <si>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</si>
  <si>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</si>
  <si>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</si>
  <si>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</si>
  <si>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</si>
  <si>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</si>
  <si>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</si>
  <si>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</si>
  <si>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</si>
  <si>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</si>
  <si>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</si>
  <si>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</si>
  <si>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</si>
  <si>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</si>
  <si>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</si>
  <si>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</si>
  <si>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</si>
  <si>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</si>
  <si>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</si>
  <si>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</si>
  <si>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</si>
  <si>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</si>
  <si>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</si>
  <si>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</si>
  <si>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</si>
  <si>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</si>
  <si>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</si>
  <si>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</si>
  <si>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</si>
  <si>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</si>
  <si>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</si>
  <si>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</si>
  <si>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</si>
  <si>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</si>
  <si>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</si>
  <si>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</si>
  <si>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</si>
  <si>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</si>
  <si>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</si>
  <si>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</si>
  <si>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</si>
  <si>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</si>
  <si>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</si>
  <si>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</si>
  <si>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</si>
  <si>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</si>
  <si>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</si>
  <si>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</si>
  <si>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</si>
  <si>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</si>
  <si>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</si>
  <si>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</si>
  <si>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</si>
  <si>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</si>
  <si>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</si>
  <si>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</si>
  <si>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</si>
  <si>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</si>
  <si>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</si>
  <si>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</si>
  <si>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</si>
  <si>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</si>
  <si>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</si>
  <si>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</si>
  <si>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</si>
  <si>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</si>
  <si>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</si>
  <si>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</si>
  <si>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</si>
  <si>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</si>
  <si>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</si>
  <si>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</si>
  <si>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</si>
  <si>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</si>
  <si>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</si>
  <si>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</si>
  <si>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</si>
  <si>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</si>
  <si>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</si>
  <si>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</si>
  <si>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</si>
  <si>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</si>
  <si>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</si>
  <si>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</si>
  <si>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</si>
  <si>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</si>
  <si>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</si>
  <si>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</si>
  <si>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</si>
  <si>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</si>
  <si>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</si>
  <si>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</si>
  <si>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</si>
  <si>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</si>
  <si>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</si>
  <si>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</si>
  <si>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</si>
  <si>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</si>
  <si>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</si>
  <si>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</si>
  <si>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</si>
  <si>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</si>
  <si>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</si>
  <si>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</si>
  <si>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</si>
  <si>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</si>
  <si>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</si>
  <si>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</si>
  <si>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</si>
  <si>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</si>
  <si>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</si>
  <si>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</si>
  <si>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</si>
  <si>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</si>
  <si>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</si>
  <si>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</si>
  <si>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</si>
  <si>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</si>
  <si>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</si>
  <si>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</si>
  <si>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</si>
  <si>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</si>
  <si>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</si>
  <si>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</si>
  <si>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</si>
  <si>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</si>
  <si>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</si>
  <si>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</si>
  <si>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</si>
  <si>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</si>
  <si>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</si>
  <si>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</si>
  <si>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</si>
  <si>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</si>
  <si>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</si>
  <si>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</si>
  <si>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</si>
  <si>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</si>
  <si>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</si>
  <si>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</si>
  <si>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</si>
  <si>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</si>
  <si>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</si>
  <si>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</si>
  <si>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</si>
  <si>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</si>
  <si>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</si>
  <si>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</si>
  <si>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</si>
  <si>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</si>
  <si>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</si>
  <si>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</si>
  <si>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</si>
  <si>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</si>
  <si>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</si>
  <si>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</si>
  <si>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</si>
  <si>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</si>
  <si>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</si>
  <si>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</si>
  <si>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</si>
  <si>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</si>
  <si>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</si>
  <si>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</si>
  <si>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</si>
  <si>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</si>
  <si>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</si>
  <si>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</si>
  <si>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</si>
  <si>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</si>
  <si>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</si>
  <si>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</si>
  <si>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</si>
  <si>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</si>
  <si>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</si>
  <si>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</si>
  <si>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</si>
  <si>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</si>
  <si>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</si>
  <si>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</si>
  <si>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</si>
  <si>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</si>
  <si>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</si>
  <si>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</si>
  <si>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</si>
  <si>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</si>
  <si>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</si>
  <si>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</si>
  <si>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</si>
  <si>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</si>
  <si>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</si>
  <si>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</si>
  <si>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</si>
  <si>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</si>
  <si>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</si>
  <si>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</si>
  <si>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</si>
  <si>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</si>
  <si>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</si>
  <si>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</si>
  <si>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</si>
  <si>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</si>
  <si>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</si>
  <si>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</si>
  <si>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</si>
  <si>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</si>
  <si>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</si>
  <si>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</si>
  <si>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</si>
  <si>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</si>
  <si>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</si>
  <si>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</si>
  <si>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</si>
  <si>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</si>
  <si>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</si>
  <si>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</si>
  <si>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</si>
  <si>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</si>
  <si>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</si>
  <si>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</si>
  <si>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</si>
  <si>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</si>
  <si>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</si>
  <si>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</si>
  <si>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</si>
  <si>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</si>
  <si>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</si>
  <si>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</si>
  <si>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</si>
  <si>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</si>
  <si>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</si>
  <si>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</si>
  <si>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</si>
  <si>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</si>
  <si>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</si>
  <si>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</si>
  <si>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</si>
  <si>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</si>
  <si>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</si>
  <si>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</si>
  <si>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</si>
  <si>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</si>
  <si>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</si>
  <si>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</si>
  <si>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</si>
  <si>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</si>
  <si>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</si>
  <si>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</si>
  <si>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</si>
  <si>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</si>
  <si>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</si>
  <si>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</si>
  <si>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</si>
  <si>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</si>
  <si>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</si>
  <si>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</si>
  <si>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</si>
  <si>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</si>
  <si>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</si>
  <si>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</si>
  <si>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</si>
  <si>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</si>
  <si>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</si>
  <si>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</si>
  <si>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</si>
  <si>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</si>
  <si>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</si>
  <si>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</si>
  <si>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</si>
  <si>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</si>
  <si>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</si>
  <si>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</si>
  <si>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</si>
  <si>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</si>
  <si>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</si>
  <si>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</si>
  <si>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</si>
  <si>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</si>
  <si>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</si>
  <si>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</si>
  <si>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</si>
  <si>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</si>
  <si>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</si>
  <si>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</si>
  <si>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</si>
  <si>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</si>
  <si>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</si>
  <si>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</si>
  <si>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</si>
  <si>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</si>
  <si>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</si>
  <si>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</si>
  <si>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</si>
  <si>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</si>
  <si>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</si>
  <si>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</si>
  <si>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</si>
  <si>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</si>
  <si>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</si>
  <si>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</si>
  <si>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</si>
  <si>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</si>
  <si>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</si>
  <si>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</si>
  <si>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</si>
  <si>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</si>
  <si>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</si>
  <si>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</si>
  <si>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</si>
  <si>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</si>
  <si>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</si>
  <si>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</si>
  <si>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</si>
  <si>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</si>
  <si>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</si>
  <si>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</si>
  <si>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</si>
  <si>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</si>
  <si>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</si>
  <si>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</si>
  <si>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</si>
  <si>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</si>
  <si>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</si>
  <si>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</si>
  <si>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</si>
  <si>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</si>
  <si>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</si>
  <si>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</si>
  <si>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</si>
  <si>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</si>
  <si>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</si>
  <si>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</si>
  <si>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</si>
  <si>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</si>
  <si>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</si>
  <si>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</si>
  <si>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</si>
  <si>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</si>
  <si>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</si>
  <si>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</si>
  <si>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</si>
  <si>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</si>
  <si>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</si>
  <si>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</si>
  <si>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</si>
  <si>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</si>
  <si>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</si>
  <si>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</si>
  <si>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</si>
  <si>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</si>
  <si>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</si>
  <si>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</si>
  <si>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</si>
  <si>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</si>
  <si>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</si>
  <si>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</si>
  <si>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</si>
  <si>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</si>
  <si>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</si>
  <si>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</si>
  <si>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</si>
  <si>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</si>
  <si>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</si>
  <si>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</si>
  <si>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</si>
  <si>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</si>
  <si>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</si>
  <si>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</si>
  <si>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</si>
  <si>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</si>
  <si>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</si>
  <si>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</si>
  <si>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</si>
  <si>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</si>
  <si>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</si>
  <si>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</si>
  <si>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</si>
  <si>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</si>
  <si>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</si>
  <si>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</si>
  <si>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</si>
  <si>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</si>
  <si>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</si>
  <si>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</si>
  <si>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</si>
  <si>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</si>
  <si>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</si>
  <si>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</si>
  <si>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</si>
  <si>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</si>
  <si>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</si>
  <si>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</si>
  <si>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</si>
  <si>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</si>
  <si>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</si>
  <si>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</si>
  <si>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</si>
  <si>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</si>
  <si>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</si>
  <si>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</si>
  <si>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</si>
  <si>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</si>
  <si>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</si>
  <si>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</si>
  <si>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</si>
  <si>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</si>
  <si>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</si>
  <si>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</si>
  <si>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</si>
  <si>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</si>
  <si>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</si>
  <si>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</si>
  <si>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</si>
  <si>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</si>
  <si>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</si>
  <si>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</si>
  <si>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</si>
  <si>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</si>
  <si>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</si>
  <si>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</si>
  <si>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</si>
  <si>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</si>
  <si>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</si>
  <si>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</si>
  <si>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</si>
  <si>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</si>
  <si>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</si>
  <si>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</si>
  <si>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</si>
  <si>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</si>
  <si>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</si>
  <si>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</si>
  <si>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</si>
  <si>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</si>
  <si>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</si>
  <si>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</si>
  <si>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</si>
  <si>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</si>
  <si>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</si>
  <si>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</si>
  <si>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</si>
  <si>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</si>
  <si>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</si>
  <si>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</si>
  <si>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</si>
  <si>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</si>
  <si>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</si>
  <si>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</si>
  <si>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</si>
  <si>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</si>
  <si>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</si>
  <si>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</si>
  <si>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</si>
  <si>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</si>
  <si>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</si>
  <si>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</si>
  <si>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</si>
  <si>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</si>
  <si>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</si>
  <si>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</si>
  <si>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</si>
  <si>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</si>
  <si>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</si>
  <si>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</si>
  <si>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</si>
  <si>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</si>
  <si>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</si>
  <si>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</si>
  <si>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</si>
  <si>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</si>
  <si>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</si>
  <si>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</si>
  <si>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</si>
  <si>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</si>
  <si>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</si>
  <si>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</si>
  <si>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</si>
  <si>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</si>
  <si>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</si>
  <si>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</si>
  <si>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</si>
  <si>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</si>
  <si>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</si>
  <si>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</si>
  <si>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</si>
  <si>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</si>
  <si>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</si>
  <si>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</si>
  <si>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</si>
  <si>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</si>
  <si>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</si>
  <si>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</si>
  <si>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</si>
  <si>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</si>
  <si>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</si>
  <si>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</si>
  <si>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</si>
  <si>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</si>
  <si>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</si>
  <si>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</si>
  <si>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</si>
  <si>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</si>
  <si>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</si>
  <si>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</si>
  <si>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</si>
  <si>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</si>
  <si>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</si>
  <si>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</si>
  <si>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</si>
  <si>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</si>
  <si>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</si>
  <si>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</si>
  <si>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</si>
  <si>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</si>
  <si>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</si>
  <si>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</si>
  <si>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</si>
  <si>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</si>
  <si>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</si>
  <si>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</si>
  <si>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</si>
  <si>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</si>
  <si>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</si>
  <si>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</si>
  <si>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</si>
  <si>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</si>
  <si>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</si>
  <si>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</si>
  <si>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</si>
  <si>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</si>
  <si>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</si>
  <si>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</si>
  <si>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</si>
  <si>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</si>
  <si>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</si>
  <si>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</si>
  <si>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</si>
  <si>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</si>
  <si>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</si>
  <si>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</si>
  <si>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</si>
  <si>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</si>
  <si>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</si>
  <si>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</si>
  <si>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</si>
  <si>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</si>
  <si>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</si>
  <si>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</si>
  <si>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</si>
  <si>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</si>
  <si>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</si>
  <si>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</si>
  <si>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</si>
  <si>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</si>
  <si>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</si>
  <si>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</si>
  <si>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</si>
  <si>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</si>
  <si>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</si>
  <si>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</si>
  <si>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</si>
  <si>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</si>
  <si>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</si>
  <si>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</si>
  <si>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</si>
  <si>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</si>
  <si>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</si>
  <si>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</si>
  <si>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</si>
  <si>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</si>
  <si>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</si>
  <si>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</si>
  <si>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</si>
  <si>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</si>
  <si>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</si>
  <si>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</si>
  <si>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</si>
  <si>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</si>
  <si>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</si>
  <si>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</si>
  <si>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</si>
  <si>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</si>
  <si>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</si>
  <si>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</si>
  <si>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</si>
  <si>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</si>
  <si>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</si>
  <si>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</si>
  <si>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</si>
  <si>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</si>
  <si>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</si>
  <si>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</si>
  <si>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</si>
  <si>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</si>
  <si>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</si>
  <si>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</si>
  <si>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</si>
  <si>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</si>
  <si>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</si>
  <si>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</si>
  <si>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</si>
  <si>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</si>
  <si>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</si>
  <si>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</si>
  <si>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</si>
  <si>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</si>
  <si>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</si>
  <si>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</si>
  <si>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</si>
  <si>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</si>
  <si>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</si>
  <si>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</si>
  <si>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</si>
  <si>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</si>
  <si>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</si>
  <si>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</si>
  <si>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</si>
  <si>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</si>
  <si>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</si>
  <si>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</si>
  <si>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</si>
  <si>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</si>
  <si>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</si>
  <si>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</si>
  <si>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</si>
  <si>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</si>
  <si>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</si>
  <si>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</si>
  <si>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</si>
  <si>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</si>
  <si>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</si>
  <si>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</si>
  <si>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</si>
  <si>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</si>
  <si>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</si>
  <si>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</si>
  <si>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</si>
  <si>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</si>
  <si>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</si>
  <si>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</si>
  <si>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</si>
  <si>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</si>
  <si>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</si>
  <si>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</si>
  <si>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</si>
  <si>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</si>
  <si>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</si>
  <si>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</si>
  <si>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</si>
  <si>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</si>
  <si>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</si>
  <si>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</si>
  <si>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</si>
  <si>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</si>
  <si>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</si>
  <si>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</si>
  <si>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</si>
  <si>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</si>
  <si>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</si>
  <si>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</si>
  <si>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</si>
  <si>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</si>
  <si>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</si>
  <si>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</si>
  <si>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</si>
  <si>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</si>
  <si>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</si>
  <si>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</si>
  <si>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</si>
  <si>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</si>
  <si>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</si>
  <si>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</si>
  <si>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</si>
  <si>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</si>
  <si>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</si>
  <si>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</si>
  <si>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</si>
  <si>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</si>
  <si>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</si>
  <si>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</si>
  <si>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</si>
  <si>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</si>
  <si>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</si>
  <si>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</si>
  <si>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</si>
  <si>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</si>
  <si>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</si>
  <si>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</si>
  <si>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</si>
  <si>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</si>
  <si>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</si>
  <si>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</si>
  <si>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</si>
  <si>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</si>
  <si>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</si>
  <si>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</si>
  <si>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</si>
  <si>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</si>
  <si>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</si>
  <si>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</si>
  <si>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</si>
  <si>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</si>
  <si>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</si>
  <si>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</si>
  <si>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</si>
  <si>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</si>
  <si>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</si>
  <si>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</si>
  <si>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</si>
  <si>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</si>
  <si>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</si>
  <si>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</si>
  <si>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</si>
  <si>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</si>
  <si>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</si>
  <si>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</si>
  <si>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</si>
  <si>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</si>
  <si>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</si>
  <si>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</si>
  <si>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</si>
  <si>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</si>
  <si>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</si>
  <si>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</si>
  <si>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</si>
  <si>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</si>
  <si>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</si>
  <si>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</si>
  <si>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</si>
  <si>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</si>
  <si>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</si>
  <si>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</si>
  <si>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</si>
  <si>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</si>
  <si>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</si>
  <si>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</si>
  <si>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</si>
  <si>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</si>
  <si>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</si>
  <si>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</si>
  <si>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</si>
  <si>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</si>
  <si>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</si>
  <si>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</si>
  <si>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</si>
  <si>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</si>
  <si>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</si>
  <si>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</si>
  <si>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</si>
  <si>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</si>
  <si>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</si>
  <si>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</si>
  <si>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</si>
  <si>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</si>
  <si>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</si>
  <si>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</si>
  <si>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</si>
  <si>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</si>
  <si>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</si>
  <si>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</si>
  <si>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</si>
  <si>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</si>
  <si>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</si>
  <si>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</si>
  <si>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</si>
  <si>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</si>
  <si>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</si>
  <si>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</si>
  <si>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</si>
  <si>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</si>
  <si>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</si>
  <si>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</si>
  <si>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</si>
  <si>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</si>
  <si>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</si>
  <si>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</si>
  <si>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</si>
  <si>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</si>
  <si>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</si>
  <si>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</si>
  <si>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</si>
  <si>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</si>
  <si>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</si>
  <si>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</si>
  <si>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</si>
  <si>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</si>
  <si>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</si>
  <si>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</si>
  <si>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</si>
  <si>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</si>
  <si>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</si>
  <si>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</si>
  <si>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</si>
  <si>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</si>
  <si>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</si>
  <si>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</si>
  <si>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</si>
  <si>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</si>
  <si>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</si>
  <si>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</si>
  <si>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</si>
  <si>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</si>
  <si>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</si>
  <si>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</si>
  <si>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</si>
  <si>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</si>
  <si>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</si>
  <si>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</si>
  <si>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</si>
  <si>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</si>
  <si>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</si>
  <si>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</si>
  <si>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</si>
  <si>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</si>
  <si>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</si>
  <si>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</si>
  <si>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</si>
  <si>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</si>
  <si>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</si>
  <si>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</si>
  <si>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</si>
  <si>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</si>
  <si>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</si>
  <si>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</si>
  <si>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</si>
  <si>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</si>
  <si>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</si>
  <si>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</si>
  <si>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</si>
  <si>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</si>
  <si>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</si>
  <si>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</si>
  <si>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</si>
  <si>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</si>
  <si>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</si>
  <si>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</si>
  <si>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</si>
  <si>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</si>
  <si>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</si>
  <si>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</si>
  <si>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</si>
  <si>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</si>
  <si>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</si>
  <si>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</si>
  <si>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</si>
  <si>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</si>
  <si>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</si>
  <si>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</si>
  <si>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</si>
  <si>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</si>
  <si>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</si>
  <si>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</si>
  <si>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</si>
  <si>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</si>
  <si>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</si>
  <si>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</si>
  <si>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</si>
  <si>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</si>
  <si>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</si>
  <si>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</si>
  <si>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</si>
  <si>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</si>
  <si>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</si>
  <si>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</si>
  <si>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</si>
  <si>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</si>
  <si>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</si>
  <si>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</si>
  <si>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</si>
  <si>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</si>
  <si>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</si>
  <si>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</si>
  <si>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</si>
  <si>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</si>
  <si>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</si>
  <si>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</si>
  <si>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</si>
  <si>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</si>
  <si>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</si>
  <si>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</si>
  <si>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</si>
  <si>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</si>
  <si>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</si>
  <si>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</si>
  <si>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</si>
  <si>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</si>
  <si>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</si>
  <si>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</si>
  <si>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</si>
  <si>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</si>
  <si>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</si>
  <si>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</si>
  <si>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</si>
  <si>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</si>
  <si>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</si>
  <si>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</si>
  <si>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</si>
  <si>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</si>
  <si>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</si>
  <si>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</si>
  <si>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</si>
  <si>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</si>
  <si>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</si>
  <si>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</si>
  <si>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</si>
  <si>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</si>
  <si>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</si>
  <si>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</si>
  <si>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</si>
  <si>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</si>
  <si>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</si>
  <si>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</si>
  <si>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</si>
  <si>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</si>
  <si>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</si>
  <si>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</si>
  <si>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</si>
  <si>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</si>
  <si>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</si>
  <si>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</si>
  <si>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</si>
  <si>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</si>
  <si>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</si>
  <si>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</si>
  <si>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</si>
  <si>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</si>
  <si>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</si>
  <si>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</si>
  <si>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</si>
  <si>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</si>
  <si>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</si>
  <si>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</si>
  <si>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</si>
  <si>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</si>
  <si>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</si>
  <si>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</si>
  <si>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</si>
  <si>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</si>
  <si>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</si>
  <si>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</si>
  <si>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</si>
  <si>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</si>
  <si>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</si>
  <si>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</si>
  <si>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</si>
  <si>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</si>
  <si>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</si>
  <si>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</si>
  <si>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</si>
  <si>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</si>
  <si>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</si>
  <si>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</si>
  <si>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</si>
  <si>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</si>
  <si>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</si>
  <si>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</si>
  <si>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</si>
  <si>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</si>
  <si>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</si>
  <si>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</si>
  <si>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</si>
  <si>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</si>
  <si>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</si>
  <si>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</si>
  <si>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</si>
  <si>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</si>
  <si>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</si>
  <si>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</si>
  <si>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</si>
  <si>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</si>
  <si>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</si>
  <si>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</si>
  <si>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</si>
  <si>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</si>
  <si>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</si>
  <si>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</si>
  <si>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</si>
  <si>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</si>
  <si>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</si>
  <si>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</si>
  <si>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</si>
  <si>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</si>
  <si>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</si>
  <si>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</si>
  <si>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</si>
  <si>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</si>
  <si>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</si>
  <si>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</si>
  <si>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</si>
  <si>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</si>
  <si>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</si>
  <si>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</si>
  <si>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</si>
  <si>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</si>
  <si>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</si>
  <si>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</si>
  <si>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</si>
  <si>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</si>
  <si>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</si>
  <si>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</si>
  <si>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</si>
  <si>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</si>
  <si>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</si>
  <si>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</si>
  <si>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</si>
  <si>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</si>
  <si>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</si>
  <si>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</si>
  <si>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</si>
  <si>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</si>
  <si>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</si>
  <si>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</si>
  <si>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</si>
  <si>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</si>
  <si>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</si>
  <si>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</si>
  <si>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</si>
  <si>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</si>
  <si>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</si>
  <si>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</si>
  <si>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</si>
  <si>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</si>
  <si>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</si>
  <si>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</si>
  <si>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</si>
  <si>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</si>
  <si>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</si>
  <si>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</si>
  <si>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</si>
  <si>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</si>
  <si>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</si>
  <si>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</si>
  <si>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</si>
  <si>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</si>
  <si>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</si>
  <si>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</si>
  <si>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</si>
  <si>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</si>
  <si>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</si>
  <si>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</si>
  <si>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</si>
  <si>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</si>
  <si>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</si>
  <si>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</si>
  <si>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</si>
  <si>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</si>
  <si>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</si>
  <si>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</si>
  <si>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</si>
  <si>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</si>
  <si>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</si>
  <si>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</si>
  <si>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</si>
  <si>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</si>
  <si>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</si>
  <si>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</si>
  <si>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</si>
  <si>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</si>
  <si>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</si>
  <si>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</si>
  <si>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</si>
  <si>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</si>
  <si>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</si>
  <si>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</si>
  <si>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</si>
  <si>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</si>
  <si>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</si>
  <si>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</si>
  <si>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</si>
  <si>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</si>
  <si>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</si>
  <si>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</si>
  <si>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</si>
  <si>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</si>
  <si>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</si>
  <si>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</si>
  <si>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</si>
  <si>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</si>
  <si>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</si>
  <si>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</si>
  <si>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</si>
  <si>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</si>
  <si>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</si>
  <si>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</si>
  <si>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</si>
  <si>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</si>
  <si>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</si>
  <si>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</si>
  <si>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</si>
  <si>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</si>
  <si>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</si>
  <si>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</si>
  <si>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</si>
  <si>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</si>
  <si>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</si>
  <si>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</si>
  <si>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</si>
  <si>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</si>
  <si>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</si>
  <si>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</si>
  <si>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</si>
  <si>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</si>
  <si>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</si>
  <si>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</si>
  <si>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</si>
  <si>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</si>
  <si>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</si>
  <si>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</si>
  <si>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</si>
  <si>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</si>
  <si>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</si>
  <si>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</si>
  <si>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</si>
  <si>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</si>
  <si>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</si>
  <si>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</si>
  <si>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</si>
  <si>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</si>
  <si>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</si>
  <si>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</si>
  <si>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</si>
  <si>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</si>
  <si>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</si>
  <si>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</si>
  <si>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</si>
  <si>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</si>
  <si>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</si>
  <si>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</si>
  <si>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</si>
  <si>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</si>
  <si>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</si>
  <si>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</si>
  <si>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</si>
  <si>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</si>
  <si>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</si>
  <si>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</si>
  <si>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</si>
  <si>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</si>
  <si>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</si>
  <si>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</si>
  <si>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</si>
  <si>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</si>
  <si>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</si>
  <si>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</si>
  <si>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</si>
  <si>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</si>
  <si>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</si>
  <si>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</si>
  <si>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</si>
  <si>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</si>
  <si>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</si>
  <si>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</si>
  <si>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</si>
  <si>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</si>
  <si>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</si>
  <si>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</si>
  <si>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</si>
  <si>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</si>
  <si>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</si>
  <si>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</si>
  <si>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</si>
  <si>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</si>
  <si>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</si>
  <si>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</si>
  <si>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</si>
  <si>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</si>
  <si>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</si>
  <si>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</si>
  <si>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</si>
  <si>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</si>
  <si>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</si>
  <si>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</si>
  <si>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</si>
  <si>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</si>
  <si>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</si>
  <si>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</si>
  <si>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</si>
  <si>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</si>
  <si>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</si>
  <si>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</si>
  <si>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</si>
  <si>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</si>
  <si>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</si>
  <si>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</si>
  <si>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</si>
  <si>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</si>
  <si>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</si>
  <si>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</si>
  <si>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</si>
  <si>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</si>
  <si>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</si>
  <si>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</si>
  <si>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</si>
  <si>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</si>
  <si>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</si>
  <si>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</si>
  <si>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</si>
  <si>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</si>
  <si>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</si>
  <si>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</si>
  <si>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</si>
  <si>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</si>
  <si>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</si>
  <si>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</si>
  <si>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</si>
  <si>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</si>
  <si>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</si>
  <si>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</si>
  <si>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</si>
  <si>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</si>
  <si>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</si>
  <si>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</si>
  <si>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</si>
  <si>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</si>
  <si>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</si>
  <si>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</si>
  <si>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</si>
  <si>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</si>
  <si>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</si>
  <si>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</si>
  <si>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</si>
  <si>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</si>
  <si>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</si>
  <si>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</si>
  <si>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</si>
  <si>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</si>
  <si>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</si>
  <si>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</si>
  <si>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</si>
  <si>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</si>
  <si>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</si>
  <si>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</si>
  <si>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</si>
  <si>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</si>
  <si>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</si>
  <si>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</si>
  <si>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</si>
  <si>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</si>
  <si>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</si>
  <si>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</si>
  <si>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</si>
  <si>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</si>
  <si>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</si>
  <si>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</si>
  <si>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</si>
  <si>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</si>
  <si>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</si>
  <si>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</si>
  <si>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</si>
  <si>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</si>
  <si>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</si>
  <si>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</si>
  <si>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</si>
  <si>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</si>
  <si>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</si>
  <si>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</si>
  <si>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</si>
  <si>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</si>
  <si>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</si>
  <si>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</si>
  <si>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</si>
  <si>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</si>
  <si>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</si>
  <si>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</si>
  <si>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</si>
  <si>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</si>
  <si>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</si>
  <si>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</si>
  <si>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</si>
  <si>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</si>
  <si>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</si>
  <si>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</si>
  <si>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</si>
  <si>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</si>
  <si>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</si>
  <si>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</si>
  <si>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</si>
  <si>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</si>
  <si>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</si>
  <si>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</si>
  <si>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</si>
  <si>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</si>
  <si>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</si>
  <si>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</si>
  <si>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</si>
  <si>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</si>
  <si>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</si>
  <si>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</si>
  <si>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</si>
  <si>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</si>
  <si>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</si>
  <si>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</si>
  <si>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</si>
  <si>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</si>
  <si>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</si>
  <si>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</si>
  <si>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</si>
  <si>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</si>
  <si>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</si>
  <si>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</si>
  <si>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</si>
  <si>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</si>
  <si>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</si>
  <si>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</si>
  <si>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</si>
  <si>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</si>
  <si>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</si>
  <si>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</si>
  <si>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</si>
  <si>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</si>
  <si>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</si>
  <si>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</si>
  <si>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</si>
  <si>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</si>
  <si>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</si>
  <si>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</si>
  <si>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</si>
  <si>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</si>
  <si>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</si>
  <si>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</si>
  <si>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</si>
  <si>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</si>
  <si>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</si>
  <si>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</si>
  <si>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</si>
  <si>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</si>
  <si>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</si>
  <si>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</si>
  <si>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</si>
  <si>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</si>
  <si>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</si>
  <si>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</si>
  <si>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</si>
  <si>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</si>
  <si>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</si>
  <si>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</si>
  <si>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</si>
  <si>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</si>
  <si>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</si>
  <si>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</si>
  <si>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</si>
  <si>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</si>
  <si>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</si>
  <si>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</si>
  <si>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</si>
  <si>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</si>
  <si>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</si>
  <si>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</si>
  <si>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</si>
  <si>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</si>
  <si>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</si>
  <si>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</si>
  <si>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</si>
  <si>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</si>
  <si>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</si>
  <si>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</si>
  <si>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</si>
  <si>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</si>
  <si>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</si>
  <si>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</si>
  <si>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</si>
  <si>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</si>
  <si>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</si>
  <si>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</si>
  <si>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</si>
  <si>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</si>
  <si>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</si>
  <si>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</si>
  <si>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</si>
  <si>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</si>
  <si>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</si>
  <si>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</si>
  <si>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</si>
  <si>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</si>
  <si>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</si>
  <si>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</si>
  <si>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</si>
  <si>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</si>
  <si>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</si>
  <si>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</si>
  <si>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</si>
  <si>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</si>
  <si>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</si>
  <si>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</si>
  <si>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</si>
  <si>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</si>
  <si>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</si>
  <si>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</si>
  <si>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</si>
  <si>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</si>
  <si>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</si>
  <si>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</si>
  <si>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</si>
  <si>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</si>
  <si>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</si>
  <si>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</si>
  <si>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</si>
  <si>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</si>
  <si>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</si>
  <si>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</si>
  <si>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</si>
  <si>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</si>
  <si>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</si>
  <si>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</si>
  <si>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</si>
  <si>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</si>
  <si>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</si>
  <si>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</si>
  <si>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</si>
  <si>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</si>
  <si>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</si>
  <si>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</si>
  <si>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</si>
  <si>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</si>
  <si>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</si>
  <si>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</si>
  <si>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</si>
  <si>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</si>
  <si>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</si>
  <si>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</si>
  <si>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</si>
  <si>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</si>
  <si>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</si>
  <si>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</si>
  <si>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</si>
  <si>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</si>
  <si>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</si>
  <si>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</si>
  <si>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</si>
  <si>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</si>
  <si>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</si>
  <si>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</si>
  <si>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</si>
  <si>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</si>
  <si>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</si>
  <si>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</si>
  <si>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</si>
  <si>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</si>
  <si>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</si>
  <si>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</si>
  <si>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</si>
  <si>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</si>
  <si>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</si>
  <si>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</si>
  <si>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</si>
  <si>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</si>
  <si>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</si>
  <si>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</si>
  <si>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</si>
  <si>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</si>
  <si>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</si>
  <si>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</si>
  <si>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</si>
  <si>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</si>
  <si>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</si>
  <si>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</si>
  <si>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</si>
  <si>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</si>
  <si>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</si>
  <si>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</si>
  <si>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</si>
  <si>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</si>
  <si>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</si>
  <si>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</si>
  <si>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</si>
  <si>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</si>
  <si>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</si>
  <si>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</si>
  <si>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</si>
  <si>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</si>
  <si>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</si>
  <si>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</si>
  <si>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</si>
  <si>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</si>
  <si>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</si>
  <si>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</si>
  <si>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</si>
  <si>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</si>
  <si>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</si>
  <si>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</si>
  <si>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</si>
  <si>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</si>
  <si>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</si>
  <si>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</si>
  <si>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</si>
  <si>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</si>
  <si>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</si>
  <si>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</si>
  <si>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</si>
  <si>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</si>
  <si>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</si>
  <si>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</si>
  <si>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</si>
  <si>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</si>
  <si>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</si>
  <si>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</si>
  <si>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</si>
  <si>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</si>
  <si>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</si>
  <si>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</si>
  <si>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</si>
  <si>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</si>
  <si>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</si>
  <si>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</si>
  <si>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</si>
  <si>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</si>
  <si>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</si>
  <si>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</si>
  <si>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</si>
  <si>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</si>
  <si>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</si>
  <si>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</si>
  <si>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</si>
  <si>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</si>
  <si>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</si>
  <si>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</si>
  <si>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</si>
  <si>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</si>
  <si>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</si>
  <si>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</si>
  <si>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</si>
  <si>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</si>
  <si>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</si>
  <si>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</si>
  <si>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</si>
  <si>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</si>
  <si>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</si>
  <si>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</si>
  <si>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</si>
  <si>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</si>
  <si>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</si>
  <si>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</si>
  <si>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</si>
  <si>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</si>
  <si>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</si>
  <si>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</si>
  <si>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</si>
  <si>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</si>
  <si>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</si>
  <si>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</si>
  <si>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</si>
  <si>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</si>
  <si>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</si>
  <si>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</si>
  <si>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</si>
  <si>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</si>
  <si>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</si>
  <si>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</si>
  <si>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</si>
  <si>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</si>
  <si>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</si>
  <si>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</si>
  <si>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</si>
  <si>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</si>
  <si>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</si>
  <si>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</si>
  <si>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</si>
  <si>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</si>
  <si>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</si>
  <si>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</si>
  <si>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</si>
  <si>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</si>
  <si>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</si>
  <si>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</si>
  <si>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</si>
  <si>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</si>
  <si>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</si>
  <si>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</si>
  <si>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</si>
  <si>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</si>
  <si>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</si>
  <si>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</si>
  <si>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</si>
  <si>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</si>
  <si>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</si>
  <si>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</si>
  <si>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</si>
  <si>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</si>
  <si>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</si>
  <si>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</si>
  <si>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</si>
  <si>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</si>
  <si>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</si>
  <si>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</si>
  <si>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</si>
  <si>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</si>
  <si>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</si>
  <si>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</si>
  <si>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</si>
  <si>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</si>
  <si>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</si>
  <si>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</si>
  <si>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</si>
  <si>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</si>
  <si>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</si>
  <si>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</si>
  <si>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</si>
  <si>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</si>
  <si>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</si>
  <si>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</si>
  <si>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</si>
  <si>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</si>
  <si>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</si>
  <si>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</si>
  <si>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</si>
  <si>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</si>
  <si>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</si>
  <si>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</si>
  <si>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</si>
  <si>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</si>
  <si>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</si>
  <si>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</si>
  <si>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</si>
  <si>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</si>
  <si>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</si>
  <si>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</si>
  <si>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</si>
  <si>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</si>
  <si>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</si>
  <si>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</si>
  <si>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</si>
  <si>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</si>
  <si>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</si>
  <si>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</si>
  <si>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</si>
  <si>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</si>
  <si>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</si>
  <si>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</si>
  <si>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</si>
  <si>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</si>
  <si>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</si>
  <si>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</si>
  <si>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</si>
  <si>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</si>
  <si>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</si>
  <si>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</si>
  <si>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</si>
  <si>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</si>
  <si>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</si>
  <si>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</si>
  <si>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</si>
  <si>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</si>
  <si>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</si>
  <si>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</si>
  <si>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</si>
  <si>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</si>
  <si>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</si>
  <si>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</si>
  <si>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</si>
  <si>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</si>
  <si>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</si>
  <si>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</si>
  <si>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</si>
  <si>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</si>
  <si>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</si>
  <si>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</si>
  <si>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</si>
  <si>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</si>
  <si>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</si>
  <si>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</si>
  <si>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</si>
  <si>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</si>
  <si>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</si>
  <si>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</si>
  <si>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</si>
  <si>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</si>
  <si>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</si>
  <si>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</si>
  <si>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</si>
  <si>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</si>
  <si>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</si>
  <si>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</si>
  <si>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</si>
  <si>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</si>
  <si>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</si>
  <si>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</si>
  <si>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</si>
  <si>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</si>
  <si>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</si>
  <si>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</si>
  <si>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</si>
  <si>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</si>
  <si>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</si>
  <si>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</si>
  <si>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</si>
  <si>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</si>
  <si>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</si>
  <si>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</si>
  <si>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</si>
  <si>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</si>
  <si>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</si>
  <si>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</si>
  <si>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</si>
  <si>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</si>
  <si>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</si>
  <si>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</si>
  <si>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</si>
  <si>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</si>
  <si>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</si>
  <si>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</si>
  <si>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</si>
  <si>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</si>
  <si>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</si>
  <si>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</si>
  <si>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</si>
  <si>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</si>
  <si>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</si>
  <si>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</si>
  <si>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</si>
  <si>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</si>
  <si>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</si>
  <si>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</si>
  <si>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</si>
  <si>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</si>
  <si>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</si>
  <si>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</si>
  <si>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</si>
  <si>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</si>
  <si>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</si>
  <si>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</si>
  <si>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</si>
  <si>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</si>
  <si>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</si>
  <si>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</si>
  <si>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</si>
  <si>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</si>
  <si>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</si>
  <si>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</si>
  <si>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</si>
  <si>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</si>
  <si>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</si>
  <si>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</si>
  <si>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</si>
  <si>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</si>
  <si>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</si>
  <si>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</si>
  <si>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</si>
  <si>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</si>
  <si>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</si>
  <si>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</si>
  <si>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</si>
  <si>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</si>
  <si>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</si>
  <si>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</si>
  <si>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</si>
  <si>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</si>
  <si>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</si>
  <si>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</si>
  <si>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</si>
  <si>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</si>
  <si>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</si>
  <si>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</si>
  <si>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</si>
  <si>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</si>
  <si>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</si>
  <si>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</si>
  <si>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</si>
  <si>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</si>
  <si>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</si>
  <si>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</si>
  <si>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</si>
  <si>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</si>
  <si>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</si>
  <si>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</si>
  <si>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</si>
  <si>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</si>
  <si>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</si>
  <si>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</si>
  <si>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</si>
  <si>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</si>
  <si>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</si>
  <si>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</si>
  <si>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</si>
  <si>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</si>
  <si>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</si>
  <si>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</si>
  <si>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</si>
  <si>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</si>
  <si>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</si>
  <si>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</si>
  <si>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</si>
  <si>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</si>
  <si>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</si>
  <si>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房号</t>
    <phoneticPr fontId="134" type="noConversion"/>
  </si>
  <si>
    <r>
      <t>1单元</t>
    </r>
    <r>
      <rPr>
        <sz val="11"/>
        <color theme="1"/>
        <rFont val="宋体"/>
        <family val="3"/>
        <charset val="134"/>
        <scheme val="minor"/>
      </rPr>
      <t>301</t>
    </r>
    <phoneticPr fontId="134" type="noConversion"/>
  </si>
  <si>
    <t>面积</t>
    <phoneticPr fontId="134" type="noConversion"/>
  </si>
  <si>
    <t>用途</t>
    <phoneticPr fontId="134" type="noConversion"/>
  </si>
  <si>
    <t>办公</t>
    <phoneticPr fontId="134" type="noConversion"/>
  </si>
  <si>
    <t>1层101</t>
    <phoneticPr fontId="134" type="noConversion"/>
  </si>
  <si>
    <t>1层102</t>
    <phoneticPr fontId="134" type="noConversion"/>
  </si>
  <si>
    <t>商业</t>
    <phoneticPr fontId="134" type="noConversion"/>
  </si>
  <si>
    <t>车位</t>
  </si>
  <si>
    <t>车位</t>
    <phoneticPr fontId="134" type="noConversion"/>
  </si>
  <si>
    <r>
      <t>0</t>
    </r>
    <r>
      <rPr>
        <sz val="11"/>
        <color theme="1"/>
        <rFont val="宋体"/>
        <family val="3"/>
        <charset val="134"/>
        <scheme val="minor"/>
      </rPr>
      <t>51</t>
    </r>
    <phoneticPr fontId="134" type="noConversion"/>
  </si>
  <si>
    <t>078</t>
    <phoneticPr fontId="134" type="noConversion"/>
  </si>
  <si>
    <t>是</t>
  </si>
  <si>
    <t>地上</t>
  </si>
  <si>
    <t>地下</t>
  </si>
  <si>
    <t>商业</t>
    <phoneticPr fontId="7" type="noConversion"/>
  </si>
  <si>
    <t>办公</t>
    <phoneticPr fontId="7" type="noConversion"/>
  </si>
  <si>
    <t>车位</t>
    <phoneticPr fontId="7" type="noConversion"/>
  </si>
  <si>
    <t>仓储</t>
    <phoneticPr fontId="7" type="noConversion"/>
  </si>
  <si>
    <t>Ⅱ—13</t>
  </si>
  <si>
    <t>商务金融用地</t>
  </si>
  <si>
    <t>自定义容积率</t>
  </si>
  <si>
    <t>与级别开发程度一致</t>
  </si>
  <si>
    <t>较好</t>
  </si>
  <si>
    <t>一般</t>
  </si>
  <si>
    <t>好</t>
  </si>
  <si>
    <t>不临65条商业街</t>
  </si>
  <si>
    <t>楼层修正</t>
  </si>
  <si>
    <t>住宅</t>
  </si>
  <si>
    <t>城镇住宅用地</t>
  </si>
  <si>
    <t>无</t>
  </si>
  <si>
    <t>500-1000米</t>
  </si>
  <si>
    <t>基准地价修正</t>
  </si>
  <si>
    <t>基准地价修正(商业)</t>
  </si>
  <si>
    <t>基准地价修正(商业)</t>
    <phoneticPr fontId="16" type="noConversion"/>
  </si>
  <si>
    <t>基准地价修正(车库仓储)</t>
  </si>
  <si>
    <t>基准地价修正(车库仓储)</t>
    <phoneticPr fontId="16" type="noConversion"/>
  </si>
  <si>
    <t>未包含在土地购买价格中</t>
  </si>
  <si>
    <t>全部缴纳</t>
  </si>
  <si>
    <t>已包含在土地取得成本中</t>
  </si>
  <si>
    <t>成新度</t>
  </si>
  <si>
    <t>直线</t>
    <phoneticPr fontId="3" type="noConversion"/>
  </si>
  <si>
    <t>观察</t>
    <phoneticPr fontId="3" type="noConversion"/>
  </si>
  <si>
    <t>收益法</t>
  </si>
  <si>
    <t>押一</t>
  </si>
  <si>
    <t>钢混</t>
  </si>
  <si>
    <t>非生产用房</t>
  </si>
  <si>
    <t>否</t>
  </si>
  <si>
    <t>收益法 (元)</t>
  </si>
  <si>
    <t>收益法 (元)车位</t>
  </si>
  <si>
    <t>收益法 (元)车位</t>
    <phoneticPr fontId="16" type="noConversion"/>
  </si>
  <si>
    <t>收益法 (元)仓储</t>
  </si>
  <si>
    <t>收益法 (元)仓储</t>
    <phoneticPr fontId="16" type="noConversion"/>
  </si>
  <si>
    <t>成本法</t>
  </si>
  <si>
    <t>收益法（汇总）</t>
  </si>
  <si>
    <t>单套模式</t>
  </si>
  <si>
    <t>售价</t>
  </si>
  <si>
    <t>比较法-办公</t>
  </si>
  <si>
    <t>租金</t>
  </si>
  <si>
    <t>比较法-商业</t>
  </si>
  <si>
    <t>成本法(仓储)</t>
  </si>
  <si>
    <t>成本法(仓储)</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</si>
</sst>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49" fontId="95" fillId="0" borderId="0" xfId="0" applyNumberFormat="1" applyFont="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25" fillId="6" borderId="2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123381</xdr:colOff>
      <xdr:row>18</xdr:row>
      <xdr:rowOff>152017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552381" cy="3066667"/>
        </a:xfrm>
        <a:prstGeom prst="rect">
          <a:avLst/>
        </a:prstGeom>
      </xdr:spPr>
    </xdr:pic>
    <xdr:clientData/>
  </xdr:twoCellAnchor>
  <xdr:twoCellAnchor editAs="oneCell">
    <xdr:from>
      <xdr:col>7</xdr:col>
      <xdr:colOff>0</xdr:colOff>
      <xdr:row>2</xdr:row>
      <xdr:rowOff>0</xdr:rowOff>
    </xdr:from>
    <xdr:to>
      <xdr:col>12</xdr:col>
      <xdr:colOff>180524</xdr:colOff>
      <xdr:row>19</xdr:row>
      <xdr:rowOff>123445</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609524" cy="3038095"/>
        </a:xfrm>
        <a:prstGeom prst="rect">
          <a:avLst/>
        </a:prstGeom>
      </xdr:spPr>
    </xdr:pic>
    <xdr:clientData/>
  </xdr:twoCellAnchor>
  <xdr:twoCellAnchor editAs="oneCell">
    <xdr:from>
      <xdr:col>13</xdr:col>
      <xdr:colOff>0</xdr:colOff>
      <xdr:row>2</xdr:row>
      <xdr:rowOff>0</xdr:rowOff>
    </xdr:from>
    <xdr:to>
      <xdr:col>18</xdr:col>
      <xdr:colOff>75762</xdr:colOff>
      <xdr:row>20</xdr:row>
      <xdr:rowOff>56757</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42900"/>
          <a:ext cx="3504762" cy="3142857"/>
        </a:xfrm>
        <a:prstGeom prst="rect">
          <a:avLst/>
        </a:prstGeom>
      </xdr:spPr>
    </xdr:pic>
    <xdr:clientData/>
  </xdr:twoCellAnchor>
  <xdr:twoCellAnchor editAs="oneCell">
    <xdr:from>
      <xdr:col>7</xdr:col>
      <xdr:colOff>0</xdr:colOff>
      <xdr:row>20</xdr:row>
      <xdr:rowOff>0</xdr:rowOff>
    </xdr:from>
    <xdr:to>
      <xdr:col>12</xdr:col>
      <xdr:colOff>94809</xdr:colOff>
      <xdr:row>37</xdr:row>
      <xdr:rowOff>123445</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3429000"/>
          <a:ext cx="3523809" cy="3038095"/>
        </a:xfrm>
        <a:prstGeom prst="rect">
          <a:avLst/>
        </a:prstGeom>
      </xdr:spPr>
    </xdr:pic>
    <xdr:clientData/>
  </xdr:twoCellAnchor>
  <xdr:twoCellAnchor editAs="oneCell">
    <xdr:from>
      <xdr:col>13</xdr:col>
      <xdr:colOff>0</xdr:colOff>
      <xdr:row>21</xdr:row>
      <xdr:rowOff>0</xdr:rowOff>
    </xdr:from>
    <xdr:to>
      <xdr:col>18</xdr:col>
      <xdr:colOff>75762</xdr:colOff>
      <xdr:row>38</xdr:row>
      <xdr:rowOff>56779</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600450"/>
          <a:ext cx="3504762" cy="2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估价对象为房地产，为所有。根据《国有土地使用证》[]，估价对象（分摊）出让国有建设用地使用权面积为0平方米，建筑面积为2209.09平方米。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估价对象为房地产,属开发建设的，该项目尚在开发建设中。根据《国有土地使用证》[]，估价对象（分摊）出让国有建设用地使用权面积为0平方米，规划建筑面积为2209.09平方米。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2024年3月28日</v>
      </c>
    </row>
    <row r="13" spans="1:2" s="1203" customFormat="1">
      <c r="A13" s="1201" t="s">
        <v>529</v>
      </c>
      <c r="B13" s="1202"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2209.09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3" sqref="D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3417</v>
      </c>
      <c r="C19" s="1547"/>
    </row>
    <row r="20" spans="1:3">
      <c r="A20" s="1546" t="s">
        <v>1048</v>
      </c>
      <c r="B20" s="1546" t="s">
        <v>3419</v>
      </c>
      <c r="C20" s="1547"/>
    </row>
    <row r="21" spans="1:3">
      <c r="A21" s="1546" t="s">
        <v>1049</v>
      </c>
      <c r="B21" s="1546" t="s">
        <v>3433</v>
      </c>
      <c r="C21" s="1547"/>
    </row>
    <row r="22" spans="1:3">
      <c r="A22" s="1546" t="s">
        <v>1050</v>
      </c>
      <c r="B22" s="1546" t="s">
        <v>3435</v>
      </c>
      <c r="C22" s="1547"/>
    </row>
    <row r="23" spans="1:3">
      <c r="A23" s="1546" t="s">
        <v>1051</v>
      </c>
      <c r="B23" s="1546" t="s">
        <v>3444</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5" t="s">
        <v>2583</v>
      </c>
      <c r="J2" s="3525"/>
      <c r="K2" s="3525"/>
      <c r="L2" s="3525"/>
      <c r="M2" s="3525"/>
      <c r="N2" s="3525"/>
      <c r="O2" s="3525"/>
      <c r="P2" s="3525"/>
      <c r="Q2" s="3525"/>
      <c r="R2" s="3525"/>
    </row>
    <row r="3" spans="1:18">
      <c r="A3" s="3020" t="s">
        <v>2504</v>
      </c>
      <c r="B3" s="3021">
        <f>项目基本情况!D3</f>
        <v>45379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2.72</v>
      </c>
      <c r="D5" s="3025">
        <f>IF(ISERROR(ROUND(POWER(1+E5,A5-C5)*(POWER(1+E5,C5)-1)/(POWER(1+E5,A5)-1),3)),0,ROUND(POWER(1+E5,A5-C5)*(POWER(1+E5,C5)-1)/(POWER(1+E5,A5)-1),4))</f>
        <v>0.1278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12.73</v>
      </c>
      <c r="D6" s="3025">
        <f>IF(ISERROR(ROUND(POWER(1+E6,A6-C6)*(POWER(1+E6,C6)-1)/(POWER(1+E6,A6)-1),3)),0,ROUND(POWER(1+E6,A6-C6)*(POWER(1+E6,C6)-1)/(POWER(1+E6,A6)-1),4))</f>
        <v>0.45739999999999997</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32.75</v>
      </c>
      <c r="D7" s="3025">
        <f>IF(ISERROR(ROUND(POWER(1+E7,A7-C7)*(POWER(1+E7,C7)-1)/(POWER(1+E7,A7)-1),3)),0,ROUND(POWER(1+E7,A7-C7)*(POWER(1+E7,C7)-1)/(POWER(1+E7,A7)-1),4))</f>
        <v>0.77280000000000004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7" sqref="I27:I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6" t="str">
        <f>IF(B10="北京市","北京市",C10)&amp;F10&amp;IF(结果表!G1="在建","出让国有建设用地使用权及在建建筑物",IF(结果表!G1="土地","出让国有建设用地使用权",))&amp;B9&amp;"预评估"</f>
        <v>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45379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29" t="s">
        <v>2176</v>
      </c>
      <c r="E8" s="2391"/>
      <c r="F8" s="2392"/>
      <c r="G8" s="2663"/>
      <c r="H8" s="2663"/>
      <c r="I8" s="2663"/>
      <c r="J8" s="2439"/>
      <c r="K8" s="2614"/>
      <c r="L8" s="2613"/>
      <c r="M8" s="2613"/>
      <c r="N8" s="2439"/>
      <c r="O8" s="2450"/>
      <c r="P8" s="2439"/>
      <c r="Q8" s="2439"/>
      <c r="R8" s="2439"/>
    </row>
    <row r="9" spans="1:30" ht="13.5" thickBot="1">
      <c r="A9" s="2393" t="s">
        <v>2177</v>
      </c>
      <c r="B9" s="2394"/>
      <c r="C9" s="2395"/>
      <c r="D9" s="3530"/>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v>64362</v>
      </c>
      <c r="D13" s="856">
        <v>53409</v>
      </c>
      <c r="E13" s="856">
        <v>57062</v>
      </c>
      <c r="F13" s="856">
        <f>E13</f>
        <v>57062</v>
      </c>
      <c r="G13" s="856">
        <f>E13</f>
        <v>57062</v>
      </c>
      <c r="H13" s="856"/>
      <c r="I13" s="856"/>
      <c r="J13" s="3062"/>
      <c r="K13" s="2613"/>
      <c r="L13" s="2613"/>
      <c r="M13" s="2439"/>
      <c r="N13" s="2450"/>
      <c r="O13" s="2439"/>
      <c r="P13" s="2439"/>
      <c r="Q13" s="2439"/>
      <c r="AD13" s="1745"/>
    </row>
    <row r="14" spans="1:30">
      <c r="A14" s="1081"/>
      <c r="B14" s="2407" t="s">
        <v>2190</v>
      </c>
      <c r="C14" s="2408">
        <v>70</v>
      </c>
      <c r="D14" s="2408">
        <v>40</v>
      </c>
      <c r="E14" s="2408">
        <v>50</v>
      </c>
      <c r="F14" s="2408">
        <v>50</v>
      </c>
      <c r="G14" s="2408">
        <v>50</v>
      </c>
      <c r="H14" s="2408"/>
      <c r="I14" s="2408"/>
      <c r="J14" s="3063"/>
      <c r="K14" s="2613"/>
      <c r="L14" s="2613"/>
      <c r="M14" s="2439"/>
      <c r="N14" s="2450"/>
      <c r="O14" s="2439"/>
      <c r="P14" s="2439"/>
      <c r="Q14" s="2439"/>
      <c r="AD14" s="1745"/>
    </row>
    <row r="15" spans="1:30">
      <c r="A15" s="320"/>
      <c r="B15" s="2409" t="s">
        <v>2191</v>
      </c>
      <c r="C15" s="2410">
        <f>IF(A13="出让",IF(C13="","",ROUNDDOWN(MIN((C13-$D$3)/365,C14),2)),C14)</f>
        <v>52</v>
      </c>
      <c r="D15" s="2410">
        <f>IF(A13="出让",IF(D13="","",ROUNDDOWN(MIN((D13-$D$3)/365,D14),2)),D14)</f>
        <v>22</v>
      </c>
      <c r="E15" s="2410">
        <f>IF(A13="出让",IF(E13="","",ROUNDDOWN(MIN((E13-$D$3)/365,E14),2)),E14)</f>
        <v>32</v>
      </c>
      <c r="F15" s="2410">
        <f>IF(A13="出让",IF(F13="","",ROUNDDOWN(MIN((F13-$D$3)/365,F14),2)),F14)</f>
        <v>32</v>
      </c>
      <c r="G15" s="2410">
        <f>IF(A13="出让",IF(G13="","",ROUNDDOWN(MIN((G13-$D$3)/365,G14),2)),G14)</f>
        <v>32</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6"/>
      <c r="C16" s="3537"/>
      <c r="D16" s="3538"/>
      <c r="E16" s="2413" t="s">
        <v>2193</v>
      </c>
      <c r="F16" s="3539"/>
      <c r="G16" s="3540"/>
      <c r="H16" s="3540"/>
      <c r="I16" s="3541"/>
      <c r="J16" s="2439"/>
      <c r="K16" s="2617"/>
      <c r="L16" s="2451"/>
      <c r="M16" s="2451"/>
      <c r="N16" s="2509"/>
      <c r="O16" s="2451"/>
      <c r="P16" s="2509"/>
      <c r="Q16" s="2439"/>
      <c r="R16" s="2439"/>
    </row>
    <row r="17" spans="1:28">
      <c r="A17" s="313" t="s">
        <v>2194</v>
      </c>
      <c r="B17" s="302" t="s">
        <v>2195</v>
      </c>
      <c r="C17" s="8">
        <f>'数据-汇总表'!E3</f>
        <v>2209.09</v>
      </c>
      <c r="D17" s="2322" t="s">
        <v>2196</v>
      </c>
      <c r="E17" s="3542" t="s">
        <v>2197</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5" t="s">
        <v>2201</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2" t="s">
        <v>2205</v>
      </c>
      <c r="C20" s="3533"/>
      <c r="D20" s="3534" t="s">
        <v>2206</v>
      </c>
      <c r="E20" s="3535"/>
      <c r="F20" s="2647" t="s">
        <v>1056</v>
      </c>
      <c r="G20" s="2664"/>
      <c r="H20" s="2664"/>
      <c r="I20" s="2664"/>
      <c r="J20" s="2439"/>
      <c r="K20" s="353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2217</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8" t="s">
        <v>2227</v>
      </c>
      <c r="T34" s="2428" t="str">
        <f>NUMBERSTRING(7-K34,1)&amp;"通"</f>
        <v>七通</v>
      </c>
      <c r="U34" s="2439"/>
      <c r="V34" s="2439"/>
    </row>
    <row r="35" spans="1:30">
      <c r="A35" s="2429"/>
      <c r="B35" s="3555" t="s">
        <v>2228</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184</v>
      </c>
      <c r="C37" s="2431" t="s">
        <v>184</v>
      </c>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3402</v>
      </c>
      <c r="C38" s="2432" t="s">
        <v>235</v>
      </c>
      <c r="D38" s="2432" t="s">
        <v>235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2209.09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2209.09</v>
      </c>
      <c r="H5" s="13">
        <f t="shared" ref="H5:AT5" si="0">SUM(H13:H656)</f>
        <v>2209.09</v>
      </c>
      <c r="I5" s="13">
        <f t="shared" si="0"/>
        <v>92.44</v>
      </c>
      <c r="J5" s="13">
        <f t="shared" si="0"/>
        <v>0</v>
      </c>
      <c r="K5" s="13">
        <f t="shared" si="0"/>
        <v>1981.63</v>
      </c>
      <c r="L5" s="13">
        <f t="shared" si="0"/>
        <v>0</v>
      </c>
      <c r="M5" s="13">
        <f t="shared" si="0"/>
        <v>62.870000000000005</v>
      </c>
      <c r="N5" s="13">
        <f t="shared" si="0"/>
        <v>0</v>
      </c>
      <c r="O5" s="13">
        <f t="shared" si="0"/>
        <v>72.150000000000006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2209.09</v>
      </c>
      <c r="BA5" s="15">
        <f t="shared" si="1"/>
        <v>2209.09</v>
      </c>
      <c r="BB5" s="15">
        <f t="shared" si="1"/>
        <v>92.44</v>
      </c>
      <c r="BC5" s="15">
        <f t="shared" si="1"/>
        <v>1981.63</v>
      </c>
      <c r="BD5" s="15">
        <f t="shared" si="1"/>
        <v>62.870000000000005</v>
      </c>
      <c r="BE5" s="15">
        <f t="shared" si="1"/>
        <v>72.150000000000006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3396</v>
      </c>
      <c r="L9" s="809"/>
      <c r="M9" s="1603" t="s">
        <v>3397</v>
      </c>
      <c r="N9" s="809"/>
      <c r="O9" s="1603" t="s">
        <v>3397</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3336</v>
      </c>
      <c r="N10" s="809"/>
      <c r="O10" s="1609" t="s">
        <v>3337</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车库</v>
      </c>
      <c r="BE11" s="1599" t="str">
        <f>O10</f>
        <v>仓储</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2209.09</v>
      </c>
      <c r="H13" s="17">
        <f>SUMIF(I$12:AB$12,"总值",I13:AB13)</f>
        <v>2209.09</v>
      </c>
      <c r="I13" s="1626">
        <f>面积表!C3</f>
        <v>92.44</v>
      </c>
      <c r="J13" s="1626"/>
      <c r="K13" s="1626">
        <f>面积表!C4+面积表!C5</f>
        <v>1981.63</v>
      </c>
      <c r="L13" s="1626"/>
      <c r="M13" s="1626">
        <f>面积表!C7+面积表!C8</f>
        <v>62.870000000000005</v>
      </c>
      <c r="N13" s="1626"/>
      <c r="O13" s="1626">
        <f>面积表!C6</f>
        <v>72.150000000000006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2209.09</v>
      </c>
      <c r="BA13" s="13">
        <f>SUM(BB13:BK13)</f>
        <v>2209.09</v>
      </c>
      <c r="BB13" s="13">
        <f>IF($D13="是",I13-J13,0)</f>
        <v>92.44</v>
      </c>
      <c r="BC13" s="13">
        <f>IF($D13="是",K13-L13,0)</f>
        <v>1981.63</v>
      </c>
      <c r="BD13" s="13">
        <f>IF($D13="是",M13-N13,0)</f>
        <v>62.870000000000005</v>
      </c>
      <c r="BE13" s="13">
        <f>IF($D13="是",O13-P13,0)</f>
        <v>72.150000000000006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9"/>
  <sheetViews>
    <sheetView workbookViewId="0">
      <selection activeCell="H13" sqref="H13"/>
    </sheetView>
  </sheetViews>
  <sheetFormatPr defaultRowHeight="13.5"/>
  <cols>
    <col min="6" max="6" width="13.125" customWidth="1"/>
    <col min="9" max="9" width="10.875" customWidth="1"/>
  </cols>
  <sheetData>
    <row r="2" spans="2:9">
      <c r="B2" s="3481" t="s">
        <v>3383</v>
      </c>
      <c r="C2" s="3481" t="s">
        <v>3385</v>
      </c>
      <c r="D2" s="3481" t="s">
        <v>3386</v>
      </c>
      <c r="F2" s="3481"/>
    </row>
    <row r="3" spans="2:9">
      <c r="B3" s="3481" t="s">
        <v>3384</v>
      </c>
      <c r="C3">
        <v>92.44</v>
      </c>
      <c r="D3" s="3481" t="s">
        <v>3387</v>
      </c>
      <c r="E3">
        <v>50000</v>
      </c>
      <c r="F3">
        <f>E3*C3</f>
        <v>4622000</v>
      </c>
      <c r="H3">
        <v>45000</v>
      </c>
      <c r="I3">
        <f>H3*C3</f>
        <v>4159800</v>
      </c>
    </row>
    <row r="4" spans="2:9">
      <c r="B4" s="3481" t="s">
        <v>3388</v>
      </c>
      <c r="C4">
        <v>1303.69</v>
      </c>
      <c r="D4" s="3481" t="s">
        <v>3390</v>
      </c>
      <c r="E4">
        <v>54000</v>
      </c>
      <c r="F4">
        <f t="shared" ref="F4:F6" si="0">E4*C4</f>
        <v>70399260</v>
      </c>
      <c r="H4">
        <v>50000</v>
      </c>
      <c r="I4">
        <f t="shared" ref="I4:I6" si="1">H4*C4</f>
        <v>65184500</v>
      </c>
    </row>
    <row r="5" spans="2:9">
      <c r="B5" s="3481" t="s">
        <v>3389</v>
      </c>
      <c r="C5">
        <v>677.94</v>
      </c>
      <c r="D5" s="3481" t="s">
        <v>3390</v>
      </c>
      <c r="E5">
        <f>E4</f>
        <v>54000</v>
      </c>
      <c r="F5">
        <f t="shared" si="0"/>
        <v>36608760</v>
      </c>
      <c r="H5">
        <v>50000</v>
      </c>
      <c r="I5">
        <f t="shared" si="1"/>
        <v>33897000</v>
      </c>
    </row>
    <row r="6" spans="2:9">
      <c r="B6">
        <v>-101</v>
      </c>
      <c r="C6">
        <v>72.150000000000006</v>
      </c>
      <c r="E6">
        <v>15000</v>
      </c>
      <c r="F6">
        <f t="shared" si="0"/>
        <v>1082250</v>
      </c>
      <c r="H6">
        <v>15000</v>
      </c>
      <c r="I6">
        <f t="shared" si="1"/>
        <v>1082250</v>
      </c>
    </row>
    <row r="7" spans="2:9">
      <c r="B7" s="3482" t="s">
        <v>3393</v>
      </c>
      <c r="C7">
        <v>33.43</v>
      </c>
      <c r="D7" s="3481" t="s">
        <v>3392</v>
      </c>
      <c r="E7" s="3481">
        <v>350000</v>
      </c>
      <c r="F7">
        <v>350000</v>
      </c>
      <c r="I7">
        <v>350000</v>
      </c>
    </row>
    <row r="8" spans="2:9">
      <c r="B8" s="3482" t="s">
        <v>3394</v>
      </c>
      <c r="C8">
        <v>29.44</v>
      </c>
      <c r="D8" s="3481" t="s">
        <v>3392</v>
      </c>
      <c r="E8" s="3481">
        <v>350000</v>
      </c>
      <c r="F8">
        <f>F7</f>
        <v>350000</v>
      </c>
      <c r="I8">
        <v>350000</v>
      </c>
    </row>
    <row r="9" spans="2:9">
      <c r="C9">
        <f>SUM(C3:C8)</f>
        <v>2209.09</v>
      </c>
      <c r="F9">
        <f>SUM(F3:F8)</f>
        <v>113412270</v>
      </c>
      <c r="I9">
        <f>SUM(I3:I8)</f>
        <v>105023550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0</v>
      </c>
      <c r="E3" s="43">
        <f>'数据-基础表'!AZ5</f>
        <v>2209.09</v>
      </c>
      <c r="F3" s="2659"/>
      <c r="G3" s="1145"/>
      <c r="H3" s="1026" t="s">
        <v>1106</v>
      </c>
      <c r="I3" s="855" t="e">
        <f>ROUND('数据-基础表'!B3/'数据-基础表'!A3,2)</f>
        <v>#DIV/0!</v>
      </c>
      <c r="J3" s="2659"/>
      <c r="K3" s="2659"/>
      <c r="L3" s="2659"/>
      <c r="M3" s="2659"/>
      <c r="N3" s="2661"/>
      <c r="O3" s="2659"/>
      <c r="P3" s="2659"/>
    </row>
    <row r="4" spans="1:16" ht="15">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2209.09</v>
      </c>
      <c r="F6" s="2659"/>
      <c r="G6" s="2653" t="s">
        <v>1112</v>
      </c>
      <c r="H6" s="1146" t="s">
        <v>1113</v>
      </c>
      <c r="I6" s="2654" t="e">
        <f>ROUND(F31/D31,2)</f>
        <v>#DIV/0!</v>
      </c>
      <c r="J6" s="2659"/>
      <c r="K6" s="2659"/>
      <c r="L6" s="2659"/>
      <c r="M6" s="2659"/>
      <c r="N6" s="2659"/>
      <c r="O6" s="2659"/>
      <c r="P6" s="2659"/>
    </row>
    <row r="7" spans="1:16" ht="15.75" thickBot="1">
      <c r="A7" s="3562"/>
      <c r="B7" s="3563"/>
      <c r="C7" s="3564"/>
      <c r="D7" s="1641" t="s">
        <v>1107</v>
      </c>
      <c r="E7" s="1645" t="s">
        <v>1114</v>
      </c>
      <c r="F7" s="2659"/>
      <c r="G7" s="2655" t="s">
        <v>1115</v>
      </c>
      <c r="H7" s="2656"/>
      <c r="I7" s="2657">
        <v>3.48</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2074.0700000000002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72.150000000000006</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62.870000000000005</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2209.09</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3398</v>
      </c>
      <c r="D19" s="45">
        <f>ROUND($D$3*E19/$E$3,2)</f>
        <v>0</v>
      </c>
      <c r="E19" s="53">
        <f t="shared" ref="E19:E26" si="1">SUM(F19:G19)</f>
        <v>1981.63</v>
      </c>
      <c r="F19" s="2795">
        <f>'数据-基础表'!K13</f>
        <v>1981.63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1981.63</v>
      </c>
    </row>
    <row r="20" spans="1:19">
      <c r="A20" s="1670"/>
      <c r="B20" s="47" t="s">
        <v>1153</v>
      </c>
      <c r="C20" s="3417" t="s">
        <v>3399</v>
      </c>
      <c r="D20" s="45">
        <f t="shared" ref="D20:D26" si="6">ROUND($D$3*E20/$E$3,2)</f>
        <v>0</v>
      </c>
      <c r="E20" s="53">
        <f t="shared" si="1"/>
        <v>92.44</v>
      </c>
      <c r="F20" s="2795">
        <f>'数据-基础表'!I13</f>
        <v>92.44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92.44</v>
      </c>
    </row>
    <row r="21" spans="1:19">
      <c r="A21" s="1670"/>
      <c r="B21" s="47" t="s">
        <v>1153</v>
      </c>
      <c r="C21" s="3417" t="s">
        <v>3400</v>
      </c>
      <c r="D21" s="45">
        <f t="shared" si="6"/>
        <v>0</v>
      </c>
      <c r="E21" s="53">
        <f t="shared" si="1"/>
        <v>62.870000000000005</v>
      </c>
      <c r="F21" s="2795"/>
      <c r="G21" s="2796">
        <f>'数据-基础表'!M13</f>
        <v>62.870000000000005</v>
      </c>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62.870000000000005</v>
      </c>
    </row>
    <row r="22" spans="1:19">
      <c r="A22" s="1670"/>
      <c r="B22" s="47" t="s">
        <v>1153</v>
      </c>
      <c r="C22" s="3418" t="s">
        <v>3401</v>
      </c>
      <c r="D22" s="45">
        <f t="shared" si="6"/>
        <v>0</v>
      </c>
      <c r="E22" s="53">
        <f t="shared" si="1"/>
        <v>72.150000000000006</v>
      </c>
      <c r="F22" s="2797"/>
      <c r="G22" s="2798">
        <f>'数据-基础表'!O13</f>
        <v>72.150000000000006</v>
      </c>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72.150000000000006</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2209.09</v>
      </c>
      <c r="F27" s="1140">
        <f>IF(SUM(F19:F26)=E8,SUM(F19:F26),"地上面积有误")</f>
        <v>2074.0700000000002</v>
      </c>
      <c r="G27" s="1142">
        <f>SUM(G19:G26)</f>
        <v>135.02000000000001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2209.09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2209.09</v>
      </c>
      <c r="F31" s="677">
        <f>F27+F30</f>
        <v>2074.0700000000002</v>
      </c>
      <c r="G31" s="678">
        <f>G27+G30</f>
        <v>135.02000000000001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1" priority="1" stopIfTrue="1" operator="containsText" text="面积有误">
      <formula>NOT(ISERROR(SEARCH("面积有误",E27)))</formula>
    </cfRule>
    <cfRule type="cellIs" dxfId="230" priority="3" stopIfTrue="1" operator="equal">
      <formula>"地下面积有误"</formula>
    </cfRule>
  </conditionalFormatting>
  <conditionalFormatting sqref="F27">
    <cfRule type="cellIs" dxfId="22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53409</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1981.63</v>
      </c>
      <c r="L6" s="733">
        <v>4500</v>
      </c>
      <c r="M6" s="67">
        <f t="shared" ref="M6:M14" si="0">ROUND(K6*L6/10000,0)</f>
        <v>892</v>
      </c>
      <c r="N6" s="731">
        <f>N21</f>
        <v>0.76500000000000001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v>
      </c>
      <c r="V6" s="70">
        <v>2.5000000000000001E-2</v>
      </c>
      <c r="W6" s="70">
        <v>0.1</v>
      </c>
      <c r="X6" s="1040"/>
      <c r="Y6" s="71">
        <f>N6</f>
        <v>0.76500000000000001</v>
      </c>
      <c r="Z6" s="72"/>
      <c r="AA6" s="66"/>
      <c r="AB6" s="66"/>
      <c r="AC6" s="1040"/>
      <c r="AD6" s="73"/>
      <c r="AE6" s="1041">
        <f ca="1">IF(AN6="",0,SUMIF(INDIRECT("'"&amp;AN6&amp;"'"&amp;"!E:E"),$AE$5,INDIRECT("'"&amp;AN6&amp;"'"&amp;"!F:F")))</f>
        <v>22</v>
      </c>
      <c r="AF6" s="1348"/>
      <c r="AG6" s="138">
        <f>IF(AF6="",0,AE6-AF6)</f>
        <v>0</v>
      </c>
      <c r="AH6" s="74"/>
      <c r="AI6" s="76">
        <v>365</v>
      </c>
      <c r="AJ6" s="77"/>
      <c r="AK6" s="78">
        <v>5.0000000000000001E-3</v>
      </c>
      <c r="AL6" s="79">
        <v>1E-3</v>
      </c>
      <c r="AM6" s="80">
        <v>5.0000000000000001E-3</v>
      </c>
      <c r="AN6" s="1715" t="s">
        <v>3426</v>
      </c>
      <c r="AO6" s="52">
        <f ca="1">SUMIF(INDIRECT("'"&amp;AN6&amp;"'"&amp;"!A:A"),"总价",INDIRECT("'"&amp;AN6&amp;"'"&amp;"!B:B"))</f>
        <v>8437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57062</v>
      </c>
      <c r="F7" s="64">
        <f>SUMIF(项目基本情况!C$12:I$12,C7,项目基本情况!C$15:I$15)</f>
        <v>32</v>
      </c>
      <c r="G7" s="65">
        <f t="shared" ref="G7:G11" si="2">IF(ISERROR(ROUND(POWER(1+H7,D7-F7)*(POWER(1+H7,F7)-1)/(POWER(1+H7,D7)-1),3)),0,ROUND(POWER(1+H7,D7-F7)*(POWER(1+H7,F7)-1)/(POWER(1+H7,D7)-1),3))</f>
        <v>0.86599999999999999</v>
      </c>
      <c r="H7" s="732">
        <f>H6</f>
        <v>0.05</v>
      </c>
      <c r="I7" s="732">
        <f>I6</f>
        <v>5.5E-2</v>
      </c>
      <c r="J7" s="66">
        <f>J6</f>
        <v>7.0000000000000007E-2</v>
      </c>
      <c r="K7" s="1030">
        <f>SUMIF('数据-汇总表'!C$19:C$33,A7,'数据-汇总表'!E$19:E$33)</f>
        <v>92.44</v>
      </c>
      <c r="L7" s="733">
        <f>L6</f>
        <v>4500</v>
      </c>
      <c r="M7" s="67">
        <f t="shared" si="0"/>
        <v>42</v>
      </c>
      <c r="N7" s="731">
        <f>N6</f>
        <v>0.76500000000000001</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4.5</v>
      </c>
      <c r="V7" s="70">
        <v>2.5000000000000001E-2</v>
      </c>
      <c r="W7" s="70">
        <v>0.1</v>
      </c>
      <c r="X7" s="1040"/>
      <c r="Y7" s="71">
        <f>N7</f>
        <v>0.76500000000000001</v>
      </c>
      <c r="Z7" s="72"/>
      <c r="AA7" s="66"/>
      <c r="AB7" s="66"/>
      <c r="AC7" s="1040"/>
      <c r="AD7" s="73"/>
      <c r="AE7" s="1041">
        <f t="shared" ref="AE7:AE13" ca="1" si="6">IF(AN7="",0,SUMIF(INDIRECT("'"&amp;AN7&amp;"'"&amp;"!E:E"),$AE$5,INDIRECT("'"&amp;AN7&amp;"'"&amp;"!F:F")))</f>
        <v>32</v>
      </c>
      <c r="AF7" s="1348"/>
      <c r="AG7" s="138">
        <f t="shared" ref="AG7:AG13" si="7">IF(AF7="",0,AE7-AF7)</f>
        <v>0</v>
      </c>
      <c r="AH7" s="74"/>
      <c r="AI7" s="76">
        <v>365</v>
      </c>
      <c r="AJ7" s="77"/>
      <c r="AK7" s="78">
        <f>AK6</f>
        <v>5.0000000000000001E-3</v>
      </c>
      <c r="AL7" s="79">
        <f>AL6</f>
        <v>1E-3</v>
      </c>
      <c r="AM7" s="80">
        <f>AM6</f>
        <v>5.0000000000000001E-3</v>
      </c>
      <c r="AN7" s="1715" t="s">
        <v>3431</v>
      </c>
      <c r="AO7" s="52">
        <f t="shared" ref="AO7:AO13" ca="1" si="8">SUMIF(INDIRECT("'"&amp;AN7&amp;"'"&amp;"!A:A"),"总价",INDIRECT("'"&amp;AN7&amp;"'"&amp;"!B:B"))</f>
        <v>222.94550000000001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车位</v>
      </c>
      <c r="B8" s="1713" t="str">
        <f t="shared" si="1"/>
        <v>经营性</v>
      </c>
      <c r="C8" s="1714" t="s">
        <v>3336</v>
      </c>
      <c r="D8" s="858">
        <f>SUMIF(项目基本情况!C$12:I$12,C8,项目基本情况!C$14:I$14)</f>
        <v>50</v>
      </c>
      <c r="E8" s="857">
        <f>IF(B8="","",SUMIF(项目基本情况!C$12:I$12,C8,项目基本情况!C$13:I$13))</f>
        <v>57062</v>
      </c>
      <c r="F8" s="64">
        <f>SUMIF(项目基本情况!C$12:I$12,C8,项目基本情况!C$15:I$15)</f>
        <v>32</v>
      </c>
      <c r="G8" s="65">
        <f t="shared" si="2"/>
        <v>0.85</v>
      </c>
      <c r="H8" s="732">
        <v>4.4999999999999998E-2</v>
      </c>
      <c r="I8" s="732">
        <v>0.05</v>
      </c>
      <c r="J8" s="66">
        <f>J6</f>
        <v>7.0000000000000007E-2</v>
      </c>
      <c r="K8" s="1030">
        <f>SUMIF('数据-汇总表'!C$19:C$33,A8,'数据-汇总表'!E$19:E$33)</f>
        <v>62.870000000000005</v>
      </c>
      <c r="L8" s="733">
        <f>L6</f>
        <v>4500</v>
      </c>
      <c r="M8" s="67">
        <f>ROUND(K8*L8/10000,0)</f>
        <v>28</v>
      </c>
      <c r="N8" s="731">
        <f>N6</f>
        <v>0.76500000000000001</v>
      </c>
      <c r="O8" s="67" t="str">
        <f t="shared" si="3"/>
        <v>——</v>
      </c>
      <c r="P8" s="68" t="str">
        <f t="shared" si="4"/>
        <v>——</v>
      </c>
      <c r="Q8" s="734">
        <v>0.1</v>
      </c>
      <c r="R8" s="69">
        <f ca="1">SUMIF('数据-汇总表'!C$19:C$33,A8,'数据-汇总表'!R$19:R$27)</f>
        <v>0</v>
      </c>
      <c r="S8" s="51">
        <f>IF('数据-汇总表'!$I$17="按面积比例",SUMIF('数据-汇总表'!C$19:C$33,A8,'数据-汇总表'!K$19:K$33),SUMIF('数据-汇总表'!C$19:C$33,A8,'数据-汇总表'!N$19:N$33))</f>
        <v>0</v>
      </c>
      <c r="T8" s="1172">
        <f t="shared" si="5"/>
        <v>0</v>
      </c>
      <c r="U8" s="3429">
        <v>1200</v>
      </c>
      <c r="V8" s="735">
        <v>2.5000000000000001E-2</v>
      </c>
      <c r="W8" s="735">
        <v>0.1</v>
      </c>
      <c r="X8" s="1040"/>
      <c r="Y8" s="71">
        <f>N8</f>
        <v>0.76500000000000001</v>
      </c>
      <c r="Z8" s="72"/>
      <c r="AA8" s="66"/>
      <c r="AB8" s="66"/>
      <c r="AC8" s="1040"/>
      <c r="AD8" s="73"/>
      <c r="AE8" s="1041">
        <f t="shared" ca="1" si="6"/>
        <v>32</v>
      </c>
      <c r="AF8" s="1348"/>
      <c r="AG8" s="138">
        <f t="shared" si="7"/>
        <v>0</v>
      </c>
      <c r="AH8" s="736">
        <v>2</v>
      </c>
      <c r="AI8" s="76">
        <v>12</v>
      </c>
      <c r="AJ8" s="77"/>
      <c r="AK8" s="737">
        <f>AK6</f>
        <v>5.0000000000000001E-3</v>
      </c>
      <c r="AL8" s="738">
        <f>AL6</f>
        <v>1E-3</v>
      </c>
      <c r="AM8" s="739">
        <f>AM6</f>
        <v>5.0000000000000001E-3</v>
      </c>
      <c r="AN8" s="1715" t="s">
        <v>3432</v>
      </c>
      <c r="AO8" s="52">
        <f t="shared" ca="1" si="8"/>
        <v>42.9039</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t="str">
        <f>'数据-汇总表'!C22</f>
        <v>仓储</v>
      </c>
      <c r="B9" s="1713" t="str">
        <f t="shared" si="1"/>
        <v>经营性</v>
      </c>
      <c r="C9" s="1714" t="s">
        <v>3337</v>
      </c>
      <c r="D9" s="858">
        <f>SUMIF(项目基本情况!C$12:I$12,C9,项目基本情况!C$14:I$14)</f>
        <v>50</v>
      </c>
      <c r="E9" s="857">
        <f>IF(B9="","",SUMIF(项目基本情况!C$12:I$12,C9,项目基本情况!C$13:I$13))</f>
        <v>57062</v>
      </c>
      <c r="F9" s="64">
        <f>SUMIF(项目基本情况!C$12:I$12,C9,项目基本情况!C$15:I$15)</f>
        <v>32</v>
      </c>
      <c r="G9" s="65">
        <f t="shared" si="2"/>
        <v>0.85</v>
      </c>
      <c r="H9" s="66">
        <v>4.4999999999999998E-2</v>
      </c>
      <c r="I9" s="66">
        <v>0.05</v>
      </c>
      <c r="J9" s="66">
        <f>J6</f>
        <v>7.0000000000000007E-2</v>
      </c>
      <c r="K9" s="1030">
        <f>SUMIF('数据-汇总表'!C$19:C$33,A9,'数据-汇总表'!E$19:E$33)</f>
        <v>72.150000000000006</v>
      </c>
      <c r="L9" s="733">
        <f>L6</f>
        <v>4500</v>
      </c>
      <c r="M9" s="67">
        <f t="shared" si="0"/>
        <v>32</v>
      </c>
      <c r="N9" s="731">
        <f>N6</f>
        <v>0.76500000000000001</v>
      </c>
      <c r="O9" s="67" t="str">
        <f t="shared" si="3"/>
        <v>——</v>
      </c>
      <c r="P9" s="68" t="str">
        <f t="shared" si="4"/>
        <v>——</v>
      </c>
      <c r="Q9" s="81">
        <v>0.1</v>
      </c>
      <c r="R9" s="69">
        <f ca="1">SUMIF('数据-汇总表'!C$19:C$33,A9,'数据-汇总表'!R$19:R$27)</f>
        <v>0</v>
      </c>
      <c r="S9" s="51">
        <f>IF('数据-汇总表'!$I$17="按面积比例",SUMIF('数据-汇总表'!C$19:C$33,A9,'数据-汇总表'!K$19:K$33),SUMIF('数据-汇总表'!C$19:C$33,A9,'数据-汇总表'!N$19:N$33))</f>
        <v>0</v>
      </c>
      <c r="T9" s="1172">
        <f t="shared" si="5"/>
        <v>0</v>
      </c>
      <c r="U9" s="3428">
        <v>2.5</v>
      </c>
      <c r="V9" s="70">
        <v>2.5000000000000001E-2</v>
      </c>
      <c r="W9" s="70">
        <v>0.1</v>
      </c>
      <c r="X9" s="1040"/>
      <c r="Y9" s="71">
        <f>N9</f>
        <v>0.76500000000000001</v>
      </c>
      <c r="Z9" s="72"/>
      <c r="AA9" s="66"/>
      <c r="AB9" s="66"/>
      <c r="AC9" s="1040"/>
      <c r="AD9" s="73"/>
      <c r="AE9" s="1041">
        <f t="shared" ca="1" si="6"/>
        <v>32</v>
      </c>
      <c r="AF9" s="1348"/>
      <c r="AG9" s="138">
        <f t="shared" si="7"/>
        <v>0</v>
      </c>
      <c r="AH9" s="74"/>
      <c r="AI9" s="76">
        <v>365</v>
      </c>
      <c r="AJ9" s="77"/>
      <c r="AK9" s="78">
        <f>AK6</f>
        <v>5.0000000000000001E-3</v>
      </c>
      <c r="AL9" s="79">
        <f>AL6</f>
        <v>1E-3</v>
      </c>
      <c r="AM9" s="80">
        <f>AM6</f>
        <v>5.0000000000000001E-3</v>
      </c>
      <c r="AN9" s="1715" t="s">
        <v>3434</v>
      </c>
      <c r="AO9" s="52">
        <f t="shared" ca="1" si="8"/>
        <v>101.8065</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t="s">
        <v>3411</v>
      </c>
      <c r="D10" s="858">
        <f>SUMIF(项目基本情况!C$12:I$12,C10,项目基本情况!C$14:I$14)</f>
        <v>70</v>
      </c>
      <c r="E10" s="857" t="str">
        <f>IF(B10="","",SUMIF(项目基本情况!C$12:I$12,C10,项目基本情况!C$13:I$13))</f>
        <v/>
      </c>
      <c r="F10" s="64">
        <f>SUMIF(项目基本情况!C$12:I$12,C10,项目基本情况!C$15:I$15)</f>
        <v>52</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0.77600000000000002</v>
      </c>
      <c r="H16" s="90">
        <f>ROUND(SUMPRODUCT(H6:H13,K6:K13)/SUMPRODUCT((H6:H13&gt;0)*(K6:K13)),3)</f>
        <v>0.05</v>
      </c>
      <c r="I16" s="91"/>
      <c r="J16" s="91"/>
      <c r="K16" s="92">
        <f>SUM(K6:K15)</f>
        <v>2209.09</v>
      </c>
      <c r="L16" s="93">
        <f>ROUND(M16*10000/SUM(K6:K14),0)</f>
        <v>4500</v>
      </c>
      <c r="M16" s="93">
        <f>SUM(M6:M14)</f>
        <v>994</v>
      </c>
      <c r="N16" s="94">
        <f>ROUND(SUMPRODUCT(M6:M14,N6:N14)/M16,3)</f>
        <v>0.76500000000000001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3483" t="s">
        <v>3424</v>
      </c>
      <c r="N19" s="2671">
        <f>ROUND(1-(2024-2008)/60,2)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3483" t="s">
        <v>3425</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0.76500000000000001</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753"/>
    <col min="3" max="3" width="12.625" style="1753" customWidth="1"/>
    <col min="4" max="4" width="14.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房地产</v>
      </c>
      <c r="B2" s="3579"/>
      <c r="C2" s="3579"/>
      <c r="D2" s="3579"/>
      <c r="E2" s="3579"/>
      <c r="F2" s="3579"/>
      <c r="G2" s="3579"/>
      <c r="H2" s="3579"/>
      <c r="I2" s="3580"/>
    </row>
    <row r="3" spans="1:12" ht="12.75">
      <c r="A3" s="3581" t="s">
        <v>1264</v>
      </c>
      <c r="B3" s="3582"/>
      <c r="C3" s="3582"/>
      <c r="D3" s="3582"/>
      <c r="E3" s="3582"/>
      <c r="F3" s="3582"/>
      <c r="G3" s="3582"/>
      <c r="H3" s="3582"/>
      <c r="I3" s="3582"/>
    </row>
    <row r="4" spans="1:12" ht="14.25">
      <c r="A4" s="1754" t="s">
        <v>1265</v>
      </c>
      <c r="B4" s="1755" t="s">
        <v>1266</v>
      </c>
      <c r="C4" s="1756" t="s">
        <v>3442</v>
      </c>
      <c r="D4" s="1756" t="s">
        <v>3426</v>
      </c>
      <c r="E4" s="3583" t="s">
        <v>1267</v>
      </c>
      <c r="F4" s="3584"/>
      <c r="G4" s="3584"/>
      <c r="H4" s="3584"/>
      <c r="I4" s="3585"/>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3" t="s">
        <v>1268</v>
      </c>
      <c r="B5" s="3574">
        <v>25</v>
      </c>
      <c r="C5" s="3575"/>
      <c r="D5" s="3577"/>
      <c r="E5" s="131" t="s">
        <v>1269</v>
      </c>
      <c r="F5" s="1757"/>
      <c r="G5" s="1757"/>
      <c r="H5" s="1757"/>
      <c r="I5" s="1373"/>
    </row>
    <row r="6" spans="1:12" ht="12.75">
      <c r="A6" s="3573"/>
      <c r="B6" s="3574"/>
      <c r="C6" s="3586"/>
      <c r="D6" s="3577"/>
      <c r="E6" s="131" t="s">
        <v>1270</v>
      </c>
      <c r="F6" s="1757"/>
      <c r="G6" s="1757"/>
      <c r="H6" s="1757"/>
      <c r="I6" s="1373"/>
    </row>
    <row r="7" spans="1:12" ht="12.75">
      <c r="A7" s="3573"/>
      <c r="B7" s="3574"/>
      <c r="C7" s="3576"/>
      <c r="D7" s="3577"/>
      <c r="E7" s="131" t="s">
        <v>1271</v>
      </c>
      <c r="F7" s="1757"/>
      <c r="G7" s="1757"/>
      <c r="H7" s="1757"/>
      <c r="I7" s="1373"/>
    </row>
    <row r="8" spans="1:12" ht="12.75">
      <c r="A8" s="3573" t="s">
        <v>1272</v>
      </c>
      <c r="B8" s="3574">
        <v>15</v>
      </c>
      <c r="C8" s="3575"/>
      <c r="D8" s="3577"/>
      <c r="E8" s="131" t="s">
        <v>1273</v>
      </c>
      <c r="F8" s="1757"/>
      <c r="G8" s="1757"/>
      <c r="H8" s="1757"/>
      <c r="I8" s="1373"/>
    </row>
    <row r="9" spans="1:12" ht="12.75">
      <c r="A9" s="3573"/>
      <c r="B9" s="3574"/>
      <c r="C9" s="3576"/>
      <c r="D9" s="3577"/>
      <c r="E9" s="131" t="s">
        <v>1274</v>
      </c>
      <c r="F9" s="1757"/>
      <c r="G9" s="1757"/>
      <c r="H9" s="1757"/>
      <c r="I9" s="1373"/>
    </row>
    <row r="10" spans="1:12" ht="12.75">
      <c r="A10" s="3573" t="s">
        <v>1275</v>
      </c>
      <c r="B10" s="3574">
        <v>15</v>
      </c>
      <c r="C10" s="3575"/>
      <c r="D10" s="3577"/>
      <c r="E10" s="131" t="s">
        <v>1276</v>
      </c>
      <c r="F10" s="1757"/>
      <c r="G10" s="1757"/>
      <c r="H10" s="1757"/>
      <c r="I10" s="1373"/>
    </row>
    <row r="11" spans="1:12" ht="12.75">
      <c r="A11" s="3573"/>
      <c r="B11" s="3574"/>
      <c r="C11" s="3576"/>
      <c r="D11" s="3577"/>
      <c r="E11" s="131" t="s">
        <v>1277</v>
      </c>
      <c r="F11" s="1757"/>
      <c r="G11" s="1757"/>
      <c r="H11" s="1757"/>
      <c r="I11" s="1373"/>
    </row>
    <row r="12" spans="1:12" ht="12.75">
      <c r="A12" s="3573" t="s">
        <v>1278</v>
      </c>
      <c r="B12" s="3574">
        <v>15</v>
      </c>
      <c r="C12" s="3575"/>
      <c r="D12" s="3577"/>
      <c r="E12" s="131" t="s">
        <v>1279</v>
      </c>
      <c r="F12" s="1757"/>
      <c r="G12" s="1757"/>
      <c r="H12" s="1757"/>
      <c r="I12" s="1373"/>
    </row>
    <row r="13" spans="1:12" ht="12.75">
      <c r="A13" s="3573"/>
      <c r="B13" s="3574"/>
      <c r="C13" s="3576"/>
      <c r="D13" s="3577"/>
      <c r="E13" s="131" t="s">
        <v>1280</v>
      </c>
      <c r="F13" s="1757"/>
      <c r="G13" s="1757"/>
      <c r="H13" s="1757"/>
      <c r="I13" s="1373"/>
    </row>
    <row r="14" spans="1:12" ht="12.75">
      <c r="A14" s="3573" t="s">
        <v>1281</v>
      </c>
      <c r="B14" s="3574">
        <v>30</v>
      </c>
      <c r="C14" s="3575">
        <v>6</v>
      </c>
      <c r="D14" s="3577">
        <v>4</v>
      </c>
      <c r="E14" s="131" t="s">
        <v>1282</v>
      </c>
      <c r="F14" s="1757"/>
      <c r="G14" s="1757"/>
      <c r="H14" s="1757"/>
      <c r="I14" s="1373"/>
    </row>
    <row r="15" spans="1:12" ht="12.75">
      <c r="A15" s="3573"/>
      <c r="B15" s="3574"/>
      <c r="C15" s="3586"/>
      <c r="D15" s="3577"/>
      <c r="E15" s="131" t="s">
        <v>1283</v>
      </c>
      <c r="F15" s="1757"/>
      <c r="G15" s="1757"/>
      <c r="H15" s="1757"/>
      <c r="I15" s="1373"/>
    </row>
    <row r="16" spans="1:12" ht="12.75">
      <c r="A16" s="3573"/>
      <c r="B16" s="3574"/>
      <c r="C16" s="3576"/>
      <c r="D16" s="357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7" t="s">
        <v>2130</v>
      </c>
      <c r="F18" s="3588"/>
      <c r="G18" s="3588"/>
      <c r="H18" s="3588"/>
      <c r="I18" s="3588"/>
      <c r="K18" s="302" t="s">
        <v>1289</v>
      </c>
      <c r="L18" s="302">
        <f>IF(C1="",'数据-汇总表'!E3,SUMIF(项目类型,C1,'数据-汇总表'!E17:E26)+SUMIF(项目类型,C1,'数据-汇总表'!I17:I26))</f>
        <v>2209.09</v>
      </c>
      <c r="M18" s="302">
        <f>IF(C1="",'数据-汇总表'!E3,SUMIF(项目类型,C1,'数据-汇总表'!E17:E26))</f>
        <v>2209.09</v>
      </c>
    </row>
    <row r="19" spans="1:36" ht="15">
      <c r="A19" s="1761" t="s">
        <v>1290</v>
      </c>
      <c r="B19" s="1762" t="s">
        <v>1291</v>
      </c>
      <c r="C19" s="134">
        <f ca="1">SUMIF(INDIRECT("'"&amp;C4&amp;"'"&amp;"!A:A"),'结果表(商业)'!B19,INDIRECT("'"&amp;C4&amp;"'"&amp;"!B:B"))</f>
        <v>13871.41</v>
      </c>
      <c r="D19" s="135">
        <f ca="1">SUMIF(INDIRECT("'"&amp;D4&amp;"'"&amp;"!A:A"),'结果表(商业)'!B19,INDIRECT("'"&amp;D4&amp;"'"&amp;"!B:B"))</f>
        <v>8437</v>
      </c>
      <c r="E19" s="1761" t="s">
        <v>1292</v>
      </c>
      <c r="F19" s="1762" t="s">
        <v>1291</v>
      </c>
      <c r="G19" s="136">
        <f ca="1">ROUND(C19*$C$18+D19*$D$18,0)</f>
        <v>11698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70000</v>
      </c>
      <c r="D20" s="138">
        <f ca="1">SUMIF(INDIRECT("'"&amp;D4&amp;"'"&amp;"!A:A"),'结果表(商业)'!B20,INDIRECT("'"&amp;D4&amp;"'"&amp;"!B:B"))</f>
        <v>42576</v>
      </c>
      <c r="E20" s="1764"/>
      <c r="F20" s="1026" t="s">
        <v>1295</v>
      </c>
      <c r="G20" s="139">
        <f ca="1">ROUND(C20*$C$18+D20*$D$18,0)</f>
        <v>59030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0.64411639208249372</v>
      </c>
      <c r="E22" s="129"/>
      <c r="F22" s="129"/>
      <c r="G22" s="129"/>
      <c r="H22" s="129"/>
      <c r="I22" s="129"/>
    </row>
    <row r="23" spans="1:36" ht="13.5" thickBot="1">
      <c r="A23" s="1747"/>
      <c r="B23" s="1747"/>
      <c r="C23" s="1747"/>
      <c r="D23" s="1747"/>
      <c r="E23" s="129"/>
      <c r="F23" s="129"/>
      <c r="G23" s="129"/>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59030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1" t="s">
        <v>1312</v>
      </c>
      <c r="B36" s="1787" t="s">
        <v>1313</v>
      </c>
      <c r="C36" s="145"/>
      <c r="D36" s="1788"/>
      <c r="E36" s="1789"/>
      <c r="F36" s="1790"/>
      <c r="G36" s="129"/>
      <c r="H36" s="129"/>
      <c r="I36" s="129"/>
    </row>
    <row r="37" spans="1:15" ht="15.75" thickBot="1">
      <c r="A37" s="3592"/>
      <c r="B37" s="1674" t="s">
        <v>1314</v>
      </c>
      <c r="C37" s="147"/>
      <c r="D37" s="1139"/>
      <c r="E37" s="1139"/>
      <c r="F37" s="1790"/>
      <c r="G37" s="129"/>
      <c r="H37" s="129"/>
      <c r="I37" s="129"/>
    </row>
    <row r="38" spans="1:15" ht="15.75" thickBot="1">
      <c r="A38" s="3593"/>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597" t="s">
        <v>1329</v>
      </c>
      <c r="K45" s="3597"/>
      <c r="L45" s="3597"/>
      <c r="M45" s="3597"/>
      <c r="N45" s="3597"/>
      <c r="O45" s="3597"/>
    </row>
    <row r="46" spans="1:15" ht="14.25" customHeight="1">
      <c r="A46" s="3598" t="s">
        <v>1330</v>
      </c>
      <c r="B46" s="3599"/>
      <c r="C46" s="3599"/>
      <c r="D46" s="3599"/>
      <c r="E46" s="3599"/>
      <c r="F46" s="3599"/>
      <c r="G46" s="3600"/>
      <c r="H46" s="1806"/>
      <c r="I46" s="159"/>
      <c r="J46" s="3466">
        <v>1</v>
      </c>
      <c r="K46" s="3601" t="s">
        <v>1331</v>
      </c>
      <c r="L46" s="3601"/>
      <c r="M46" s="3602"/>
      <c r="N46" s="3602"/>
      <c r="O46" s="3602"/>
    </row>
    <row r="47" spans="1:15" ht="12" customHeight="1">
      <c r="A47" s="160" t="s">
        <v>1332</v>
      </c>
      <c r="B47" s="161"/>
      <c r="C47" s="162"/>
      <c r="D47" s="1087" t="s">
        <v>1333</v>
      </c>
      <c r="E47" s="302" t="s">
        <v>1334</v>
      </c>
      <c r="F47" s="163" t="s">
        <v>1335</v>
      </c>
      <c r="G47" s="2546" t="s">
        <v>1336</v>
      </c>
      <c r="H47" s="2547"/>
      <c r="I47" s="159"/>
      <c r="J47" s="3466">
        <v>2</v>
      </c>
      <c r="K47" s="3601" t="s">
        <v>1337</v>
      </c>
      <c r="L47" s="3601"/>
      <c r="M47" s="3607">
        <f>'数据-取费表'!B2</f>
        <v>45379</v>
      </c>
      <c r="N47" s="3607"/>
      <c r="O47" s="3607"/>
    </row>
    <row r="48" spans="1:15" ht="25.5">
      <c r="A48" s="3608" t="s">
        <v>1338</v>
      </c>
      <c r="B48" s="3609"/>
      <c r="C48" s="3609"/>
      <c r="D48" s="3469"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601" t="s">
        <v>1340</v>
      </c>
      <c r="L48" s="3601"/>
      <c r="M48" s="3610" t="e">
        <f ca="1">H101</f>
        <v>#REF!</v>
      </c>
      <c r="N48" s="3610"/>
      <c r="O48" s="3610"/>
    </row>
    <row r="49" spans="1:35" ht="25.5" customHeight="1">
      <c r="A49" s="3461" t="s">
        <v>1341</v>
      </c>
      <c r="B49" s="3603" t="s">
        <v>1342</v>
      </c>
      <c r="C49" s="3603"/>
      <c r="D49" s="1590">
        <v>0</v>
      </c>
      <c r="E49" s="324" t="s">
        <v>1343</v>
      </c>
      <c r="F49" s="3451" t="s">
        <v>28</v>
      </c>
      <c r="G49" s="3611"/>
      <c r="H49" s="2310" t="s">
        <v>2133</v>
      </c>
      <c r="I49" s="2311"/>
      <c r="J49" s="3466">
        <v>4</v>
      </c>
      <c r="K49" s="3601" t="str">
        <f>IF(项目基本情况!E8="房地产抵押价值","房地产抵押价值","抵押担保权已注销时的房地产抵押价值")</f>
        <v>抵押担保权已注销时的房地产抵押价值</v>
      </c>
      <c r="L49" s="3601"/>
      <c r="M49" s="3610" t="str">
        <f>IF(项目基本情况!E8="房地产抵押价值",H107,H109)</f>
        <v>——</v>
      </c>
      <c r="N49" s="3610"/>
      <c r="O49" s="3610"/>
    </row>
    <row r="50" spans="1:35" ht="25.5" customHeight="1">
      <c r="A50" s="2551"/>
      <c r="B50" s="3603" t="s">
        <v>1344</v>
      </c>
      <c r="C50" s="3603"/>
      <c r="D50" s="2552"/>
      <c r="E50" s="332"/>
      <c r="F50" s="3451"/>
      <c r="G50" s="3612"/>
      <c r="H50" s="2312" t="s">
        <v>2134</v>
      </c>
      <c r="I50" s="2311"/>
      <c r="J50" s="3597" t="s">
        <v>1345</v>
      </c>
      <c r="K50" s="3597"/>
      <c r="L50" s="3597"/>
      <c r="M50" s="3597"/>
      <c r="N50" s="3597"/>
      <c r="O50" s="3597"/>
    </row>
    <row r="51" spans="1:35" ht="20.45" customHeight="1">
      <c r="A51" s="2553"/>
      <c r="B51" s="3603" t="s">
        <v>1346</v>
      </c>
      <c r="C51" s="3603"/>
      <c r="D51" s="1087"/>
      <c r="E51" s="327"/>
      <c r="F51" s="3451"/>
      <c r="G51" s="3613"/>
      <c r="H51" s="2312" t="s">
        <v>2135</v>
      </c>
      <c r="I51" s="2311"/>
      <c r="J51" s="3465" t="s">
        <v>1347</v>
      </c>
      <c r="K51" s="3601" t="s">
        <v>1348</v>
      </c>
      <c r="L51" s="3601"/>
      <c r="M51" s="3465" t="s">
        <v>1349</v>
      </c>
      <c r="N51" s="3465" t="s">
        <v>1350</v>
      </c>
      <c r="O51" s="3465" t="s">
        <v>1351</v>
      </c>
    </row>
    <row r="52" spans="1:35" ht="24" customHeight="1">
      <c r="A52" s="3456" t="s">
        <v>1352</v>
      </c>
      <c r="B52" s="3603" t="s">
        <v>1353</v>
      </c>
      <c r="C52" s="3603"/>
      <c r="D52" s="1087" t="e">
        <f ca="1">ROUND(D45*'数据-取费表'!B41/(1+'数据-取费表'!C42),0)</f>
        <v>#REF!</v>
      </c>
      <c r="E52" s="3457" t="s">
        <v>1354</v>
      </c>
      <c r="F52" s="2554">
        <f>'数据-取费表'!B41</f>
        <v>5.6000000000000001E-2</v>
      </c>
      <c r="G52" s="2555"/>
      <c r="H52" s="2544"/>
      <c r="I52" s="1807"/>
      <c r="J52" s="3466">
        <v>1</v>
      </c>
      <c r="K52" s="3604" t="s">
        <v>1355</v>
      </c>
      <c r="L52" s="3604"/>
      <c r="M52" s="2525" t="b">
        <f>D48</f>
        <v>0</v>
      </c>
      <c r="N52" s="3466" t="str">
        <f>E48</f>
        <v>销售额×税（费）率</v>
      </c>
      <c r="O52" s="2526">
        <f>F48</f>
        <v>5.6000000000000001E-2</v>
      </c>
    </row>
    <row r="53" spans="1:35" ht="12" customHeight="1">
      <c r="A53" s="3456" t="s">
        <v>1356</v>
      </c>
      <c r="B53" s="3605" t="s">
        <v>2290</v>
      </c>
      <c r="C53" s="3606"/>
      <c r="D53" s="1087" t="e">
        <f ca="1">ROUND(D45*'数据-取费表'!B41/(1+'数据-取费表'!C42),0)</f>
        <v>#REF!</v>
      </c>
      <c r="E53" s="3457" t="s">
        <v>1354</v>
      </c>
      <c r="F53" s="2554">
        <f>'数据-取费表'!B41</f>
        <v>5.6000000000000001E-2</v>
      </c>
      <c r="G53" s="2555"/>
      <c r="H53" s="2544"/>
      <c r="I53" s="1807"/>
      <c r="J53" s="3466">
        <v>2</v>
      </c>
      <c r="K53" s="3604" t="s">
        <v>1357</v>
      </c>
      <c r="L53" s="3604"/>
      <c r="M53" s="2525" t="e">
        <f t="shared" ref="M53:O54" ca="1" si="0">D55</f>
        <v>#REF!</v>
      </c>
      <c r="N53" s="3466" t="str">
        <f t="shared" si="0"/>
        <v>销售额×税（费）率</v>
      </c>
      <c r="O53" s="2526" t="str">
        <f t="shared" si="0"/>
        <v>免征</v>
      </c>
    </row>
    <row r="54" spans="1:35" ht="12" customHeight="1">
      <c r="A54" s="3456" t="s">
        <v>1358</v>
      </c>
      <c r="B54" s="3605" t="s">
        <v>2291</v>
      </c>
      <c r="C54" s="3606"/>
      <c r="D54" s="1087" t="e">
        <f ca="1">C68</f>
        <v>#REF!</v>
      </c>
      <c r="E54" s="327" t="s">
        <v>1359</v>
      </c>
      <c r="F54" s="2554">
        <f>'数据-取费表'!B41</f>
        <v>5.6000000000000001E-2</v>
      </c>
      <c r="G54" s="2555"/>
      <c r="H54" s="2556"/>
      <c r="I54" s="1807"/>
      <c r="J54" s="3466">
        <v>3</v>
      </c>
      <c r="K54" s="3604" t="s">
        <v>1360</v>
      </c>
      <c r="L54" s="3604"/>
      <c r="M54" s="2525" t="e">
        <f t="shared" ca="1" si="0"/>
        <v>#REF!</v>
      </c>
      <c r="N54" s="3466" t="str">
        <f t="shared" si="0"/>
        <v>增值额×税（费）率</v>
      </c>
      <c r="O54" s="2527" t="str">
        <f t="shared" si="0"/>
        <v>免征</v>
      </c>
    </row>
    <row r="55" spans="1:35" ht="24" customHeight="1">
      <c r="A55" s="3620" t="s">
        <v>1361</v>
      </c>
      <c r="B55" s="3609"/>
      <c r="C55" s="3609"/>
      <c r="D55" s="3469" t="e">
        <f ca="1">IF(H55="个人住宅",0,ROUND(D45*I55,0))</f>
        <v>#REF!</v>
      </c>
      <c r="E55" s="3457" t="s">
        <v>1362</v>
      </c>
      <c r="F55" s="2554" t="str">
        <f>IF(H55="正常",I55,"免征")</f>
        <v>免征</v>
      </c>
      <c r="G55" s="2555"/>
      <c r="H55" s="2550"/>
      <c r="I55" s="165">
        <f>'数据-取费表'!B49</f>
        <v>5.0000000000000001E-4</v>
      </c>
      <c r="J55" s="3466">
        <f>IF(H59="非个人房产","",4)</f>
        <v>4</v>
      </c>
      <c r="K55" s="3604" t="str">
        <f>IF(H59="非个人房产","——","个人所得税")</f>
        <v>个人所得税</v>
      </c>
      <c r="L55" s="3604"/>
      <c r="M55" s="2528" t="e">
        <f ca="1">D59</f>
        <v>#REF!</v>
      </c>
      <c r="N55" s="3467" t="str">
        <f>E59</f>
        <v>差额计税</v>
      </c>
      <c r="O55" s="2529">
        <f>F59</f>
        <v>0.01</v>
      </c>
    </row>
    <row r="56" spans="1:35" ht="24.75">
      <c r="A56" s="3620" t="s">
        <v>1363</v>
      </c>
      <c r="B56" s="3609"/>
      <c r="C56" s="3609"/>
      <c r="D56" s="3469" t="e">
        <f ca="1">IF(H56="个人住宅",D57,D58)</f>
        <v>#REF!</v>
      </c>
      <c r="E56" s="3457" t="s">
        <v>1364</v>
      </c>
      <c r="F56" s="2554" t="str">
        <f>IF(H56="正常",F58,"免征")</f>
        <v>免征</v>
      </c>
      <c r="G56" s="2557" t="s">
        <v>1365</v>
      </c>
      <c r="H56" s="2558"/>
      <c r="I56" s="1808"/>
      <c r="J56" s="3466" t="str">
        <f>IF(项目基本情况!K6="上海银行",IF(J55="",4,J55+1),"")</f>
        <v/>
      </c>
      <c r="K56" s="3614" t="str">
        <f>IF(项目基本情况!K6="上海银行","其他处置费用","")</f>
        <v/>
      </c>
      <c r="L56" s="3621"/>
      <c r="M56" s="2525" t="str">
        <f>IF(项目基本情况!K6="上海银行",M69,"")</f>
        <v/>
      </c>
      <c r="N56" s="3614" t="str">
        <f>IF(项目基本情况!K6="上海银行","包含处置中涉及的律师、诉讼、拍卖、评估等费用","")</f>
        <v/>
      </c>
      <c r="O56" s="3615"/>
    </row>
    <row r="57" spans="1:35" ht="12.75">
      <c r="A57" s="3456" t="s">
        <v>1341</v>
      </c>
      <c r="B57" s="3605" t="s">
        <v>1366</v>
      </c>
      <c r="C57" s="3606"/>
      <c r="D57" s="1590">
        <v>0</v>
      </c>
      <c r="E57" s="324" t="s">
        <v>1343</v>
      </c>
      <c r="F57" s="302"/>
      <c r="G57" s="2555"/>
      <c r="H57" s="2559"/>
      <c r="I57" s="1808"/>
      <c r="J57" s="3604">
        <f>IF(AND(J55="",J56=""),4,IF(项目基本情况!K6="上海银行",'结果表(商业)'!J56+1,'结果表(商业)'!J55+1))</f>
        <v>5</v>
      </c>
      <c r="K57" s="3604" t="s">
        <v>1367</v>
      </c>
      <c r="L57" s="2530" t="s">
        <v>1368</v>
      </c>
      <c r="M57" s="2531"/>
      <c r="N57" s="2532">
        <f ca="1">SUMIF(M52:M56,"&lt;9e307")</f>
        <v>0</v>
      </c>
      <c r="O57" s="2533"/>
      <c r="P57" s="2690" t="e">
        <f ca="1">N57/M49</f>
        <v>#VALUE!</v>
      </c>
    </row>
    <row r="58" spans="1:35" ht="24.75">
      <c r="A58" s="3456" t="s">
        <v>1352</v>
      </c>
      <c r="B58" s="3605" t="s">
        <v>1369</v>
      </c>
      <c r="C58" s="3603"/>
      <c r="D58" s="3469" t="e">
        <f ca="1">IF(H58="转让取得",C81,C97)</f>
        <v>#REF!</v>
      </c>
      <c r="E58" s="3457" t="s">
        <v>1364</v>
      </c>
      <c r="F58" s="302" t="s">
        <v>28</v>
      </c>
      <c r="G58" s="2555"/>
      <c r="H58" s="2558"/>
      <c r="I58" s="1808"/>
      <c r="J58" s="3604"/>
      <c r="K58" s="3604"/>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8">
        <f>J57+1</f>
        <v>6</v>
      </c>
      <c r="K59" s="3604" t="s">
        <v>1372</v>
      </c>
      <c r="L59" s="3466" t="s">
        <v>1368</v>
      </c>
      <c r="M59" s="2537"/>
      <c r="N59" s="2538" t="e">
        <f ca="1">M49-N57</f>
        <v>#VALUE!</v>
      </c>
      <c r="O59" s="2539"/>
    </row>
    <row r="60" spans="1:35" ht="12" customHeight="1">
      <c r="A60" s="1809"/>
      <c r="B60" s="1747"/>
      <c r="C60" s="1747"/>
      <c r="D60" s="1747"/>
      <c r="E60" s="1578"/>
      <c r="F60" s="1808"/>
      <c r="G60" s="1808"/>
      <c r="H60" s="1810"/>
      <c r="I60" s="129"/>
      <c r="J60" s="3619"/>
      <c r="K60" s="3604"/>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3466">
        <f>J59+1</f>
        <v>7</v>
      </c>
      <c r="K61" s="3604" t="s">
        <v>1374</v>
      </c>
      <c r="L61" s="3604"/>
      <c r="M61" s="2540"/>
      <c r="N61" s="2541" t="e">
        <f ca="1">ROUND(N59*10000/'数据-汇总表'!E3,0)</f>
        <v>#VALUE!</v>
      </c>
      <c r="O61" s="2542"/>
    </row>
    <row r="62" spans="1:35" ht="12.75">
      <c r="A62" s="3628" t="s">
        <v>1375</v>
      </c>
      <c r="B62" s="3629"/>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3470" t="s">
        <v>1380</v>
      </c>
      <c r="L63" s="3470"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3470" t="s">
        <v>1382</v>
      </c>
      <c r="L64" s="347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3470" t="s">
        <v>1385</v>
      </c>
      <c r="L65" s="3470"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3470" t="s">
        <v>1387</v>
      </c>
      <c r="L66" s="3470"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3470" t="s">
        <v>1390</v>
      </c>
      <c r="L67" s="347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3"/>
      <c r="K68" s="3470" t="s">
        <v>1392</v>
      </c>
      <c r="L68" s="3470"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3470" t="s">
        <v>1393</v>
      </c>
      <c r="L69" s="3470"/>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3"/>
      <c r="G76" s="3603"/>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9"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69"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69"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37"/>
      <c r="E100" s="3568" t="s">
        <v>1429</v>
      </c>
      <c r="F100" s="3568"/>
      <c r="G100" s="3568"/>
      <c r="H100" s="3637"/>
      <c r="I100" s="129"/>
    </row>
    <row r="101" spans="1:35" ht="18.75" customHeight="1">
      <c r="A101" s="3638" t="s">
        <v>1430</v>
      </c>
      <c r="B101" s="3639"/>
      <c r="C101" s="2585" t="str">
        <f>C4</f>
        <v>比较法-商业</v>
      </c>
      <c r="D101" s="2586" t="str">
        <f>D4</f>
        <v>收益法</v>
      </c>
      <c r="E101" s="3640" t="s">
        <v>1431</v>
      </c>
      <c r="F101" s="3641"/>
      <c r="G101" s="1827" t="s">
        <v>1432</v>
      </c>
      <c r="H101" s="2595" t="e">
        <f ca="1">H118</f>
        <v>#REF!</v>
      </c>
      <c r="I101" s="129"/>
    </row>
    <row r="102" spans="1:35" ht="18.75" customHeight="1">
      <c r="A102" s="3642" t="s">
        <v>1433</v>
      </c>
      <c r="B102" s="2584" t="s">
        <v>1432</v>
      </c>
      <c r="C102" s="2585">
        <f ca="1">IF(D32="楼面单价",ROUND(C19,0),C19)</f>
        <v>13871.41</v>
      </c>
      <c r="D102" s="2586">
        <f ca="1">IF(D32="楼面单价",ROUND(D19,0),D19)</f>
        <v>8437</v>
      </c>
      <c r="E102" s="3640"/>
      <c r="F102" s="3641"/>
      <c r="G102" s="1827" t="s">
        <v>1434</v>
      </c>
      <c r="H102" s="2555" t="e">
        <f ca="1">I118</f>
        <v>#REF!</v>
      </c>
      <c r="I102" s="129"/>
    </row>
    <row r="103" spans="1:35" ht="42.75" customHeight="1">
      <c r="A103" s="3642"/>
      <c r="B103" s="2584" t="s">
        <v>1434</v>
      </c>
      <c r="C103" s="2587">
        <f ca="1">C20</f>
        <v>70000</v>
      </c>
      <c r="D103" s="2588">
        <f ca="1">D20</f>
        <v>42576</v>
      </c>
      <c r="E103" s="3643" t="s">
        <v>1435</v>
      </c>
      <c r="F103" s="3644"/>
      <c r="G103" s="1828" t="s">
        <v>1436</v>
      </c>
      <c r="H103" s="2595">
        <f>IF(D36="正常操作",H104+H105+H106,H105+H106)</f>
        <v>0</v>
      </c>
      <c r="I103" s="129"/>
    </row>
    <row r="104" spans="1:35" ht="18.75" customHeight="1">
      <c r="A104" s="364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1" t="str">
        <f>IF(项目基本情况!E8="已注销","——","3.房地产抵押价值")</f>
        <v>3.房地产抵押价值</v>
      </c>
      <c r="F107" s="3641"/>
      <c r="G107" s="1827" t="s">
        <v>1432</v>
      </c>
      <c r="H107" s="2595" t="e">
        <f ca="1">IF(E107="——","——",H101-H103)</f>
        <v>#REF!</v>
      </c>
      <c r="I107" s="129"/>
    </row>
    <row r="108" spans="1:35" ht="18.75" customHeight="1">
      <c r="A108" s="129"/>
      <c r="B108" s="129"/>
      <c r="C108" s="129"/>
      <c r="D108" s="129"/>
      <c r="E108" s="3651"/>
      <c r="F108" s="3641"/>
      <c r="G108" s="1827" t="s">
        <v>1434</v>
      </c>
      <c r="H108" s="2555">
        <f ca="1">IF(H107=H101,H102,ROUND(H107*10000/'数据-汇总表'!E3,0))</f>
        <v>0</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41"/>
      <c r="G109" s="1827" t="s">
        <v>1432</v>
      </c>
      <c r="H109" s="2598" t="str">
        <f>IF(E109="——","——",H101-H105-H106)</f>
        <v>——</v>
      </c>
      <c r="I109" s="129"/>
    </row>
    <row r="110" spans="1:35" ht="18.75" customHeight="1">
      <c r="A110" s="129"/>
      <c r="B110" s="129"/>
      <c r="C110" s="129"/>
      <c r="D110" s="129"/>
      <c r="E110" s="3651"/>
      <c r="F110" s="364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53"/>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56" t="s">
        <v>1440</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573" t="s">
        <v>1443</v>
      </c>
      <c r="B116" s="3645" t="s">
        <v>1444</v>
      </c>
      <c r="C116" s="3645" t="s">
        <v>1445</v>
      </c>
      <c r="D116" s="3647" t="s">
        <v>1446</v>
      </c>
      <c r="E116" s="3648"/>
      <c r="F116" s="3649" t="s">
        <v>1447</v>
      </c>
      <c r="G116" s="3649"/>
      <c r="H116" s="3573" t="s">
        <v>1448</v>
      </c>
      <c r="I116" s="3573"/>
    </row>
    <row r="117" spans="1:27" ht="18.75" customHeight="1">
      <c r="A117" s="3573"/>
      <c r="B117" s="3646"/>
      <c r="C117" s="3646"/>
      <c r="D117" s="3455" t="s">
        <v>1449</v>
      </c>
      <c r="E117" s="3455" t="s">
        <v>1450</v>
      </c>
      <c r="F117" s="3455" t="s">
        <v>1449</v>
      </c>
      <c r="G117" s="3455" t="s">
        <v>1451</v>
      </c>
      <c r="H117" s="3455" t="s">
        <v>1449</v>
      </c>
      <c r="I117" s="3455" t="s">
        <v>1451</v>
      </c>
    </row>
    <row r="118" spans="1:27" ht="24.75" customHeight="1">
      <c r="A118" s="2600" t="str">
        <f>项目基本情况!S2</f>
        <v>房地产</v>
      </c>
      <c r="B118" s="3455">
        <f>M18</f>
        <v>2209.09</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73" t="s">
        <v>1452</v>
      </c>
      <c r="B119" s="3573"/>
      <c r="C119" s="3573"/>
      <c r="D119" s="3660" t="e">
        <f ca="1">NUMBERSTRING(INT(D118*10000),2)&amp;"元整"</f>
        <v>#REF!</v>
      </c>
      <c r="E119" s="3662"/>
      <c r="F119" s="3660" t="e">
        <f ca="1">NUMBERSTRING(INT(F118*10000),2)&amp;"元整"</f>
        <v>#REF!</v>
      </c>
      <c r="G119" s="3662"/>
      <c r="H119" s="3660" t="e">
        <f ca="1">NUMBERSTRING(INT(H118*10000),2)&amp;"元整"</f>
        <v>#REF!</v>
      </c>
      <c r="I119" s="3662"/>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0" t="s">
        <v>1452</v>
      </c>
      <c r="B121" s="3661"/>
      <c r="C121" s="3662"/>
      <c r="D121" s="3660" t="str">
        <f>IF(D120=0,"零元整",NUMBERSTRING(INT(D120*10000),2)&amp;"元整")</f>
        <v>零元整</v>
      </c>
      <c r="E121" s="3661"/>
      <c r="F121" s="3661"/>
      <c r="G121" s="3661"/>
      <c r="H121" s="3661"/>
      <c r="I121" s="3662"/>
      <c r="AA121" s="725"/>
    </row>
    <row r="122" spans="1:27" ht="18.75" customHeight="1">
      <c r="A122" s="3653" t="str">
        <f>IF(项目基本情况!B9="房地产市场价值","",MID(E107,3,LEN(E107)-2))</f>
        <v>房地产抵押价值</v>
      </c>
      <c r="B122" s="3653"/>
      <c r="C122" s="3653"/>
      <c r="D122" s="3663" t="e">
        <f ca="1">H107</f>
        <v>#REF!</v>
      </c>
      <c r="E122" s="3664"/>
      <c r="F122" s="3664"/>
      <c r="G122" s="3664"/>
      <c r="H122" s="3664"/>
      <c r="I122" s="3665"/>
      <c r="AA122" s="725"/>
    </row>
    <row r="123" spans="1:27" ht="18.75" customHeight="1">
      <c r="A123" s="3573" t="s">
        <v>1452</v>
      </c>
      <c r="B123" s="3573"/>
      <c r="C123" s="3573"/>
      <c r="D123" s="3660" t="e">
        <f ca="1">NUMBERSTRING(INT(D122*10000),2)&amp;"元整"</f>
        <v>#REF!</v>
      </c>
      <c r="E123" s="3661"/>
      <c r="F123" s="3661"/>
      <c r="G123" s="3661"/>
      <c r="H123" s="3661"/>
      <c r="I123" s="3662"/>
      <c r="AA123" s="725"/>
    </row>
    <row r="124" spans="1:27" ht="18.75" customHeight="1">
      <c r="A124" s="3653" t="str">
        <f>IF(项目基本情况!B9="房地产市场价值","",MID(E109,3,LEN(E109)-2))</f>
        <v/>
      </c>
      <c r="B124" s="3653"/>
      <c r="C124" s="3653"/>
      <c r="D124" s="3663" t="str">
        <f>H109</f>
        <v>——</v>
      </c>
      <c r="E124" s="3664"/>
      <c r="F124" s="3664"/>
      <c r="G124" s="3664"/>
      <c r="H124" s="3664"/>
      <c r="I124" s="3665"/>
      <c r="AA124" s="725"/>
    </row>
    <row r="125" spans="1:27" ht="18.75" customHeight="1">
      <c r="A125" s="3573" t="s">
        <v>1452</v>
      </c>
      <c r="B125" s="3573"/>
      <c r="C125" s="3573"/>
      <c r="D125" s="3660" t="e">
        <f>NUMBERSTRING(INT(D124*10000),2)&amp;"元整"</f>
        <v>#VALUE!</v>
      </c>
      <c r="E125" s="3661"/>
      <c r="F125" s="3661"/>
      <c r="G125" s="3661"/>
      <c r="H125" s="3661"/>
      <c r="I125" s="3662"/>
      <c r="AA125" s="725"/>
    </row>
    <row r="126" spans="1:27" ht="18.75" customHeight="1">
      <c r="A126" s="3653" t="str">
        <f>IF(项目基本情况!B9="房地产市场价值","",MID(E111,3,LEN(E111)-2))</f>
        <v/>
      </c>
      <c r="B126" s="3653"/>
      <c r="C126" s="3653"/>
      <c r="D126" s="3663" t="str">
        <f>H111</f>
        <v>——</v>
      </c>
      <c r="E126" s="3664"/>
      <c r="F126" s="3664"/>
      <c r="G126" s="3664"/>
      <c r="H126" s="3664"/>
      <c r="I126" s="3665"/>
      <c r="AA126" s="725"/>
    </row>
    <row r="127" spans="1:27" ht="18.75" customHeight="1">
      <c r="A127" s="3573" t="s">
        <v>1452</v>
      </c>
      <c r="B127" s="3573"/>
      <c r="C127" s="3573"/>
      <c r="D127" s="3660" t="e">
        <f>NUMBERSTRING(INT(D126*10000),2)&amp;"元整"</f>
        <v>#VALUE!</v>
      </c>
      <c r="E127" s="3661"/>
      <c r="F127" s="3661"/>
      <c r="G127" s="3661"/>
      <c r="H127" s="3661"/>
      <c r="I127" s="3662"/>
      <c r="AA127" s="725"/>
    </row>
    <row r="128" spans="1:27" ht="21.75" customHeight="1">
      <c r="A128" s="3666" t="s">
        <v>1453</v>
      </c>
      <c r="B128" s="3666"/>
      <c r="C128" s="3666"/>
      <c r="D128" s="3666"/>
      <c r="E128" s="3666"/>
      <c r="F128" s="3666"/>
      <c r="G128" s="3666"/>
      <c r="H128" s="3666"/>
      <c r="I128" s="36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28" priority="10" stopIfTrue="1" operator="equal">
      <formula>25</formula>
    </cfRule>
  </conditionalFormatting>
  <conditionalFormatting sqref="C8:C9">
    <cfRule type="cellIs" dxfId="227" priority="9" stopIfTrue="1" operator="equal">
      <formula>15</formula>
    </cfRule>
  </conditionalFormatting>
  <conditionalFormatting sqref="C14:C16">
    <cfRule type="cellIs" dxfId="226" priority="8" stopIfTrue="1" operator="equal">
      <formula>30</formula>
    </cfRule>
  </conditionalFormatting>
  <conditionalFormatting sqref="D5:D7">
    <cfRule type="cellIs" dxfId="225" priority="7" stopIfTrue="1" operator="equal">
      <formula>25</formula>
    </cfRule>
  </conditionalFormatting>
  <conditionalFormatting sqref="D8:D9">
    <cfRule type="cellIs" dxfId="224" priority="6" stopIfTrue="1" operator="equal">
      <formula>15</formula>
    </cfRule>
  </conditionalFormatting>
  <conditionalFormatting sqref="C10:D13">
    <cfRule type="cellIs" dxfId="223" priority="5" stopIfTrue="1" operator="equal">
      <formula>15</formula>
    </cfRule>
  </conditionalFormatting>
  <conditionalFormatting sqref="D14:D16">
    <cfRule type="cellIs" dxfId="222" priority="4" stopIfTrue="1" operator="equal">
      <formula>30</formula>
    </cfRule>
  </conditionalFormatting>
  <conditionalFormatting sqref="C90">
    <cfRule type="expression" dxfId="221" priority="3" stopIfTrue="1">
      <formula>$H$88&lt;&gt;"仅含出让金"</formula>
    </cfRule>
  </conditionalFormatting>
  <conditionalFormatting sqref="C91">
    <cfRule type="expression" dxfId="220" priority="2" stopIfTrue="1">
      <formula>$H$91="由企业提供"</formula>
    </cfRule>
  </conditionalFormatting>
  <conditionalFormatting sqref="E36">
    <cfRule type="expression" dxfId="21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753"/>
    <col min="3" max="3" width="12.625" style="1753" customWidth="1"/>
    <col min="4" max="4" width="14.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房地产</v>
      </c>
      <c r="B2" s="3579"/>
      <c r="C2" s="3579"/>
      <c r="D2" s="3579"/>
      <c r="E2" s="3579"/>
      <c r="F2" s="3579"/>
      <c r="G2" s="3579"/>
      <c r="H2" s="3579"/>
      <c r="I2" s="3580"/>
    </row>
    <row r="3" spans="1:12" ht="12.75">
      <c r="A3" s="3581" t="s">
        <v>1264</v>
      </c>
      <c r="B3" s="3582"/>
      <c r="C3" s="3582"/>
      <c r="D3" s="3582"/>
      <c r="E3" s="3582"/>
      <c r="F3" s="3582"/>
      <c r="G3" s="3582"/>
      <c r="H3" s="3582"/>
      <c r="I3" s="3582"/>
    </row>
    <row r="4" spans="1:12" ht="14.25">
      <c r="A4" s="1754" t="s">
        <v>1265</v>
      </c>
      <c r="B4" s="1755" t="s">
        <v>1266</v>
      </c>
      <c r="C4" s="1756" t="s">
        <v>3443</v>
      </c>
      <c r="D4" s="1756" t="s">
        <v>3434</v>
      </c>
      <c r="E4" s="3583" t="s">
        <v>1267</v>
      </c>
      <c r="F4" s="3584"/>
      <c r="G4" s="3584"/>
      <c r="H4" s="3584"/>
      <c r="I4" s="3585"/>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73" t="s">
        <v>1268</v>
      </c>
      <c r="B5" s="3574">
        <v>25</v>
      </c>
      <c r="C5" s="3575"/>
      <c r="D5" s="3577"/>
      <c r="E5" s="131" t="s">
        <v>1269</v>
      </c>
      <c r="F5" s="1757"/>
      <c r="G5" s="1757"/>
      <c r="H5" s="1757"/>
      <c r="I5" s="1373"/>
    </row>
    <row r="6" spans="1:12" ht="12.75">
      <c r="A6" s="3573"/>
      <c r="B6" s="3574"/>
      <c r="C6" s="3586"/>
      <c r="D6" s="3577"/>
      <c r="E6" s="131" t="s">
        <v>1270</v>
      </c>
      <c r="F6" s="1757"/>
      <c r="G6" s="1757"/>
      <c r="H6" s="1757"/>
      <c r="I6" s="1373"/>
    </row>
    <row r="7" spans="1:12" ht="12.75">
      <c r="A7" s="3573"/>
      <c r="B7" s="3574"/>
      <c r="C7" s="3576"/>
      <c r="D7" s="3577"/>
      <c r="E7" s="131" t="s">
        <v>1271</v>
      </c>
      <c r="F7" s="1757"/>
      <c r="G7" s="1757"/>
      <c r="H7" s="1757"/>
      <c r="I7" s="1373"/>
    </row>
    <row r="8" spans="1:12" ht="12.75">
      <c r="A8" s="3573" t="s">
        <v>1272</v>
      </c>
      <c r="B8" s="3574">
        <v>15</v>
      </c>
      <c r="C8" s="3575"/>
      <c r="D8" s="3577"/>
      <c r="E8" s="131" t="s">
        <v>1273</v>
      </c>
      <c r="F8" s="1757"/>
      <c r="G8" s="1757"/>
      <c r="H8" s="1757"/>
      <c r="I8" s="1373"/>
    </row>
    <row r="9" spans="1:12" ht="12.75">
      <c r="A9" s="3573"/>
      <c r="B9" s="3574"/>
      <c r="C9" s="3576"/>
      <c r="D9" s="3577"/>
      <c r="E9" s="131" t="s">
        <v>1274</v>
      </c>
      <c r="F9" s="1757"/>
      <c r="G9" s="1757"/>
      <c r="H9" s="1757"/>
      <c r="I9" s="1373"/>
    </row>
    <row r="10" spans="1:12" ht="12.75">
      <c r="A10" s="3573" t="s">
        <v>1275</v>
      </c>
      <c r="B10" s="3574">
        <v>15</v>
      </c>
      <c r="C10" s="3575"/>
      <c r="D10" s="3577"/>
      <c r="E10" s="131" t="s">
        <v>1276</v>
      </c>
      <c r="F10" s="1757"/>
      <c r="G10" s="1757"/>
      <c r="H10" s="1757"/>
      <c r="I10" s="1373"/>
    </row>
    <row r="11" spans="1:12" ht="12.75">
      <c r="A11" s="3573"/>
      <c r="B11" s="3574"/>
      <c r="C11" s="3576"/>
      <c r="D11" s="3577"/>
      <c r="E11" s="131" t="s">
        <v>1277</v>
      </c>
      <c r="F11" s="1757"/>
      <c r="G11" s="1757"/>
      <c r="H11" s="1757"/>
      <c r="I11" s="1373"/>
    </row>
    <row r="12" spans="1:12" ht="12.75">
      <c r="A12" s="3573" t="s">
        <v>1278</v>
      </c>
      <c r="B12" s="3574">
        <v>15</v>
      </c>
      <c r="C12" s="3575"/>
      <c r="D12" s="3577"/>
      <c r="E12" s="131" t="s">
        <v>1279</v>
      </c>
      <c r="F12" s="1757"/>
      <c r="G12" s="1757"/>
      <c r="H12" s="1757"/>
      <c r="I12" s="1373"/>
    </row>
    <row r="13" spans="1:12" ht="12.75">
      <c r="A13" s="3573"/>
      <c r="B13" s="3574"/>
      <c r="C13" s="3576"/>
      <c r="D13" s="3577"/>
      <c r="E13" s="131" t="s">
        <v>1280</v>
      </c>
      <c r="F13" s="1757"/>
      <c r="G13" s="1757"/>
      <c r="H13" s="1757"/>
      <c r="I13" s="1373"/>
    </row>
    <row r="14" spans="1:12" ht="12.75">
      <c r="A14" s="3573" t="s">
        <v>1281</v>
      </c>
      <c r="B14" s="3574">
        <v>30</v>
      </c>
      <c r="C14" s="3575">
        <v>5</v>
      </c>
      <c r="D14" s="3577">
        <v>5</v>
      </c>
      <c r="E14" s="131" t="s">
        <v>1282</v>
      </c>
      <c r="F14" s="1757"/>
      <c r="G14" s="1757"/>
      <c r="H14" s="1757"/>
      <c r="I14" s="1373"/>
    </row>
    <row r="15" spans="1:12" ht="12.75">
      <c r="A15" s="3573"/>
      <c r="B15" s="3574"/>
      <c r="C15" s="3586"/>
      <c r="D15" s="3577"/>
      <c r="E15" s="131" t="s">
        <v>1283</v>
      </c>
      <c r="F15" s="1757"/>
      <c r="G15" s="1757"/>
      <c r="H15" s="1757"/>
      <c r="I15" s="1373"/>
    </row>
    <row r="16" spans="1:12" ht="12.75">
      <c r="A16" s="3573"/>
      <c r="B16" s="3574"/>
      <c r="C16" s="3576"/>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7" t="s">
        <v>2130</v>
      </c>
      <c r="F18" s="3588"/>
      <c r="G18" s="3588"/>
      <c r="H18" s="3588"/>
      <c r="I18" s="3588"/>
      <c r="K18" s="302" t="s">
        <v>1289</v>
      </c>
      <c r="L18" s="302">
        <f>IF(C1="",'数据-汇总表'!E3,SUMIF(项目类型,C1,'数据-汇总表'!E17:E26)+SUMIF(项目类型,C1,'数据-汇总表'!I17:I26))</f>
        <v>2209.09</v>
      </c>
      <c r="M18" s="302">
        <f>IF(C1="",'数据-汇总表'!E3,SUMIF(项目类型,C1,'数据-汇总表'!E17:E26))</f>
        <v>2209.09</v>
      </c>
    </row>
    <row r="19" spans="1:36" ht="15">
      <c r="A19" s="1761" t="s">
        <v>1290</v>
      </c>
      <c r="B19" s="1762" t="s">
        <v>1291</v>
      </c>
      <c r="C19" s="134">
        <f ca="1">SUMIF(INDIRECT("'"&amp;C4&amp;"'"&amp;"!A:A"),'结果表(仓储)'!B19,INDIRECT("'"&amp;C4&amp;"'"&amp;"!B:B"))</f>
        <v>114</v>
      </c>
      <c r="D19" s="135">
        <f ca="1">SUMIF(INDIRECT("'"&amp;D4&amp;"'"&amp;"!A:A"),'结果表(仓储)'!B19,INDIRECT("'"&amp;D4&amp;"'"&amp;"!B:B"))</f>
        <v>101.8065</v>
      </c>
      <c r="E19" s="1761" t="s">
        <v>1292</v>
      </c>
      <c r="F19" s="1762" t="s">
        <v>1291</v>
      </c>
      <c r="G19" s="136">
        <f ca="1">ROUND(C19*$C$18+D19*$D$18,0)</f>
        <v>108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SUMIF(INDIRECT("'"&amp;C4&amp;"'"&amp;"!A:A"),'结果表(仓储)'!B20,INDIRECT("'"&amp;C4&amp;"'"&amp;"!B:B"))</f>
        <v>15800</v>
      </c>
      <c r="D20" s="138">
        <f ca="1">SUMIF(INDIRECT("'"&amp;D4&amp;"'"&amp;"!A:A"),'结果表(仓储)'!B20,INDIRECT("'"&amp;D4&amp;"'"&amp;"!B:B"))</f>
        <v>14110</v>
      </c>
      <c r="E20" s="1764"/>
      <c r="F20" s="1026" t="s">
        <v>1295</v>
      </c>
      <c r="G20" s="139">
        <f ca="1">ROUND(C20*$C$18+D20*$D$18,0)</f>
        <v>14955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0.11977133090716219</v>
      </c>
      <c r="E22" s="129"/>
      <c r="F22" s="129"/>
      <c r="G22" s="129"/>
      <c r="H22" s="129"/>
      <c r="I22" s="129"/>
    </row>
    <row r="23" spans="1:36" ht="13.5" thickBot="1">
      <c r="A23" s="1747"/>
      <c r="B23" s="1747"/>
      <c r="C23" s="1747"/>
      <c r="D23" s="1747"/>
      <c r="E23" s="129"/>
      <c r="F23" s="129"/>
      <c r="G23" s="129"/>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14955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1" t="s">
        <v>1312</v>
      </c>
      <c r="B36" s="1787" t="s">
        <v>1313</v>
      </c>
      <c r="C36" s="145"/>
      <c r="D36" s="1788"/>
      <c r="E36" s="1789"/>
      <c r="F36" s="1790"/>
      <c r="G36" s="129"/>
      <c r="H36" s="129"/>
      <c r="I36" s="129"/>
    </row>
    <row r="37" spans="1:15" ht="15.75" thickBot="1">
      <c r="A37" s="3592"/>
      <c r="B37" s="1674" t="s">
        <v>1314</v>
      </c>
      <c r="C37" s="147"/>
      <c r="D37" s="1139"/>
      <c r="E37" s="1139"/>
      <c r="F37" s="1790"/>
      <c r="G37" s="129"/>
      <c r="H37" s="129"/>
      <c r="I37" s="129"/>
    </row>
    <row r="38" spans="1:15" ht="15.75" thickBot="1">
      <c r="A38" s="3593"/>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597" t="s">
        <v>1329</v>
      </c>
      <c r="K45" s="3597"/>
      <c r="L45" s="3597"/>
      <c r="M45" s="3597"/>
      <c r="N45" s="3597"/>
      <c r="O45" s="3597"/>
    </row>
    <row r="46" spans="1:15" ht="14.25" customHeight="1">
      <c r="A46" s="3598" t="s">
        <v>1330</v>
      </c>
      <c r="B46" s="3599"/>
      <c r="C46" s="3599"/>
      <c r="D46" s="3599"/>
      <c r="E46" s="3599"/>
      <c r="F46" s="3599"/>
      <c r="G46" s="3600"/>
      <c r="H46" s="1806"/>
      <c r="I46" s="159"/>
      <c r="J46" s="3466">
        <v>1</v>
      </c>
      <c r="K46" s="3601" t="s">
        <v>1331</v>
      </c>
      <c r="L46" s="3601"/>
      <c r="M46" s="3602"/>
      <c r="N46" s="3602"/>
      <c r="O46" s="3602"/>
    </row>
    <row r="47" spans="1:15" ht="12" customHeight="1">
      <c r="A47" s="160" t="s">
        <v>1332</v>
      </c>
      <c r="B47" s="161"/>
      <c r="C47" s="162"/>
      <c r="D47" s="1087" t="s">
        <v>1333</v>
      </c>
      <c r="E47" s="302" t="s">
        <v>1334</v>
      </c>
      <c r="F47" s="163" t="s">
        <v>1335</v>
      </c>
      <c r="G47" s="2546" t="s">
        <v>1336</v>
      </c>
      <c r="H47" s="2547"/>
      <c r="I47" s="159"/>
      <c r="J47" s="3466">
        <v>2</v>
      </c>
      <c r="K47" s="3601" t="s">
        <v>1337</v>
      </c>
      <c r="L47" s="3601"/>
      <c r="M47" s="3607">
        <f>'数据-取费表'!B2</f>
        <v>45379</v>
      </c>
      <c r="N47" s="3607"/>
      <c r="O47" s="3607"/>
    </row>
    <row r="48" spans="1:15" ht="25.5">
      <c r="A48" s="3608" t="s">
        <v>1338</v>
      </c>
      <c r="B48" s="3609"/>
      <c r="C48" s="3609"/>
      <c r="D48" s="3469"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601" t="s">
        <v>1340</v>
      </c>
      <c r="L48" s="3601"/>
      <c r="M48" s="3610" t="e">
        <f ca="1">H101</f>
        <v>#REF!</v>
      </c>
      <c r="N48" s="3610"/>
      <c r="O48" s="3610"/>
    </row>
    <row r="49" spans="1:35" ht="25.5" customHeight="1">
      <c r="A49" s="3461" t="s">
        <v>1341</v>
      </c>
      <c r="B49" s="3603" t="s">
        <v>1342</v>
      </c>
      <c r="C49" s="3603"/>
      <c r="D49" s="1590">
        <v>0</v>
      </c>
      <c r="E49" s="324" t="s">
        <v>1343</v>
      </c>
      <c r="F49" s="3451" t="s">
        <v>28</v>
      </c>
      <c r="G49" s="3611"/>
      <c r="H49" s="2310" t="s">
        <v>2133</v>
      </c>
      <c r="I49" s="2311"/>
      <c r="J49" s="3466">
        <v>4</v>
      </c>
      <c r="K49" s="3601" t="str">
        <f>IF(项目基本情况!E8="房地产抵押价值","房地产抵押价值","抵押担保权已注销时的房地产抵押价值")</f>
        <v>抵押担保权已注销时的房地产抵押价值</v>
      </c>
      <c r="L49" s="3601"/>
      <c r="M49" s="3610" t="str">
        <f>IF(项目基本情况!E8="房地产抵押价值",H107,H109)</f>
        <v>——</v>
      </c>
      <c r="N49" s="3610"/>
      <c r="O49" s="3610"/>
    </row>
    <row r="50" spans="1:35" ht="25.5" customHeight="1">
      <c r="A50" s="2551"/>
      <c r="B50" s="3603" t="s">
        <v>1344</v>
      </c>
      <c r="C50" s="3603"/>
      <c r="D50" s="2552"/>
      <c r="E50" s="332"/>
      <c r="F50" s="3451"/>
      <c r="G50" s="3612"/>
      <c r="H50" s="2312" t="s">
        <v>2134</v>
      </c>
      <c r="I50" s="2311"/>
      <c r="J50" s="3597" t="s">
        <v>1345</v>
      </c>
      <c r="K50" s="3597"/>
      <c r="L50" s="3597"/>
      <c r="M50" s="3597"/>
      <c r="N50" s="3597"/>
      <c r="O50" s="3597"/>
    </row>
    <row r="51" spans="1:35" ht="20.45" customHeight="1">
      <c r="A51" s="2553"/>
      <c r="B51" s="3603" t="s">
        <v>1346</v>
      </c>
      <c r="C51" s="3603"/>
      <c r="D51" s="1087"/>
      <c r="E51" s="327"/>
      <c r="F51" s="3451"/>
      <c r="G51" s="3613"/>
      <c r="H51" s="2312" t="s">
        <v>2135</v>
      </c>
      <c r="I51" s="2311"/>
      <c r="J51" s="3465" t="s">
        <v>1347</v>
      </c>
      <c r="K51" s="3601" t="s">
        <v>1348</v>
      </c>
      <c r="L51" s="3601"/>
      <c r="M51" s="3465" t="s">
        <v>1349</v>
      </c>
      <c r="N51" s="3465" t="s">
        <v>1350</v>
      </c>
      <c r="O51" s="3465" t="s">
        <v>1351</v>
      </c>
    </row>
    <row r="52" spans="1:35" ht="24" customHeight="1">
      <c r="A52" s="3456" t="s">
        <v>1352</v>
      </c>
      <c r="B52" s="3603" t="s">
        <v>1353</v>
      </c>
      <c r="C52" s="3603"/>
      <c r="D52" s="1087" t="e">
        <f ca="1">ROUND(D45*'数据-取费表'!B41/(1+'数据-取费表'!C42),0)</f>
        <v>#REF!</v>
      </c>
      <c r="E52" s="3457" t="s">
        <v>1354</v>
      </c>
      <c r="F52" s="2554">
        <f>'数据-取费表'!B41</f>
        <v>5.6000000000000001E-2</v>
      </c>
      <c r="G52" s="2555"/>
      <c r="H52" s="2544"/>
      <c r="I52" s="1807"/>
      <c r="J52" s="3466">
        <v>1</v>
      </c>
      <c r="K52" s="3604" t="s">
        <v>1355</v>
      </c>
      <c r="L52" s="3604"/>
      <c r="M52" s="2525" t="b">
        <f>D48</f>
        <v>0</v>
      </c>
      <c r="N52" s="3466" t="str">
        <f>E48</f>
        <v>销售额×税（费）率</v>
      </c>
      <c r="O52" s="2526">
        <f>F48</f>
        <v>5.6000000000000001E-2</v>
      </c>
    </row>
    <row r="53" spans="1:35" ht="12" customHeight="1">
      <c r="A53" s="3456" t="s">
        <v>1356</v>
      </c>
      <c r="B53" s="3605" t="s">
        <v>2290</v>
      </c>
      <c r="C53" s="3606"/>
      <c r="D53" s="1087" t="e">
        <f ca="1">ROUND(D45*'数据-取费表'!B41/(1+'数据-取费表'!C42),0)</f>
        <v>#REF!</v>
      </c>
      <c r="E53" s="3457" t="s">
        <v>1354</v>
      </c>
      <c r="F53" s="2554">
        <f>'数据-取费表'!B41</f>
        <v>5.6000000000000001E-2</v>
      </c>
      <c r="G53" s="2555"/>
      <c r="H53" s="2544"/>
      <c r="I53" s="1807"/>
      <c r="J53" s="3466">
        <v>2</v>
      </c>
      <c r="K53" s="3604" t="s">
        <v>1357</v>
      </c>
      <c r="L53" s="3604"/>
      <c r="M53" s="2525" t="e">
        <f t="shared" ref="M53:O54" ca="1" si="0">D55</f>
        <v>#REF!</v>
      </c>
      <c r="N53" s="3466" t="str">
        <f t="shared" si="0"/>
        <v>销售额×税（费）率</v>
      </c>
      <c r="O53" s="2526" t="str">
        <f t="shared" si="0"/>
        <v>免征</v>
      </c>
    </row>
    <row r="54" spans="1:35" ht="12" customHeight="1">
      <c r="A54" s="3456" t="s">
        <v>1358</v>
      </c>
      <c r="B54" s="3605" t="s">
        <v>2291</v>
      </c>
      <c r="C54" s="3606"/>
      <c r="D54" s="1087" t="e">
        <f ca="1">C68</f>
        <v>#REF!</v>
      </c>
      <c r="E54" s="327" t="s">
        <v>1359</v>
      </c>
      <c r="F54" s="2554">
        <f>'数据-取费表'!B41</f>
        <v>5.6000000000000001E-2</v>
      </c>
      <c r="G54" s="2555"/>
      <c r="H54" s="2556"/>
      <c r="I54" s="1807"/>
      <c r="J54" s="3466">
        <v>3</v>
      </c>
      <c r="K54" s="3604" t="s">
        <v>1360</v>
      </c>
      <c r="L54" s="3604"/>
      <c r="M54" s="2525" t="e">
        <f t="shared" ca="1" si="0"/>
        <v>#REF!</v>
      </c>
      <c r="N54" s="3466" t="str">
        <f t="shared" si="0"/>
        <v>增值额×税（费）率</v>
      </c>
      <c r="O54" s="2527" t="str">
        <f t="shared" si="0"/>
        <v>免征</v>
      </c>
    </row>
    <row r="55" spans="1:35" ht="24" customHeight="1">
      <c r="A55" s="3620" t="s">
        <v>1361</v>
      </c>
      <c r="B55" s="3609"/>
      <c r="C55" s="3609"/>
      <c r="D55" s="3469" t="e">
        <f ca="1">IF(H55="个人住宅",0,ROUND(D45*I55,0))</f>
        <v>#REF!</v>
      </c>
      <c r="E55" s="3457" t="s">
        <v>1362</v>
      </c>
      <c r="F55" s="2554" t="str">
        <f>IF(H55="正常",I55,"免征")</f>
        <v>免征</v>
      </c>
      <c r="G55" s="2555"/>
      <c r="H55" s="2550"/>
      <c r="I55" s="165">
        <f>'数据-取费表'!B49</f>
        <v>5.0000000000000001E-4</v>
      </c>
      <c r="J55" s="3466">
        <f>IF(H59="非个人房产","",4)</f>
        <v>4</v>
      </c>
      <c r="K55" s="3604" t="str">
        <f>IF(H59="非个人房产","——","个人所得税")</f>
        <v>个人所得税</v>
      </c>
      <c r="L55" s="3604"/>
      <c r="M55" s="2528" t="e">
        <f ca="1">D59</f>
        <v>#REF!</v>
      </c>
      <c r="N55" s="3467" t="str">
        <f>E59</f>
        <v>差额计税</v>
      </c>
      <c r="O55" s="2529">
        <f>F59</f>
        <v>0.01</v>
      </c>
    </row>
    <row r="56" spans="1:35" ht="24.75">
      <c r="A56" s="3620" t="s">
        <v>1363</v>
      </c>
      <c r="B56" s="3609"/>
      <c r="C56" s="3609"/>
      <c r="D56" s="3469" t="e">
        <f ca="1">IF(H56="个人住宅",D57,D58)</f>
        <v>#REF!</v>
      </c>
      <c r="E56" s="3457" t="s">
        <v>1364</v>
      </c>
      <c r="F56" s="2554" t="str">
        <f>IF(H56="正常",F58,"免征")</f>
        <v>免征</v>
      </c>
      <c r="G56" s="2557" t="s">
        <v>1365</v>
      </c>
      <c r="H56" s="2558"/>
      <c r="I56" s="1808"/>
      <c r="J56" s="3466" t="str">
        <f>IF(项目基本情况!K6="上海银行",IF(J55="",4,J55+1),"")</f>
        <v/>
      </c>
      <c r="K56" s="3614" t="str">
        <f>IF(项目基本情况!K6="上海银行","其他处置费用","")</f>
        <v/>
      </c>
      <c r="L56" s="3621"/>
      <c r="M56" s="2525" t="str">
        <f>IF(项目基本情况!K6="上海银行",M69,"")</f>
        <v/>
      </c>
      <c r="N56" s="3614" t="str">
        <f>IF(项目基本情况!K6="上海银行","包含处置中涉及的律师、诉讼、拍卖、评估等费用","")</f>
        <v/>
      </c>
      <c r="O56" s="3615"/>
    </row>
    <row r="57" spans="1:35" ht="12.75">
      <c r="A57" s="3456" t="s">
        <v>1341</v>
      </c>
      <c r="B57" s="3605" t="s">
        <v>1366</v>
      </c>
      <c r="C57" s="3606"/>
      <c r="D57" s="1590">
        <v>0</v>
      </c>
      <c r="E57" s="324" t="s">
        <v>1343</v>
      </c>
      <c r="F57" s="302"/>
      <c r="G57" s="2555"/>
      <c r="H57" s="2559"/>
      <c r="I57" s="1808"/>
      <c r="J57" s="3604">
        <f>IF(AND(J55="",J56=""),4,IF(项目基本情况!K6="上海银行",'结果表(仓储)'!J56+1,'结果表(仓储)'!J55+1))</f>
        <v>5</v>
      </c>
      <c r="K57" s="3604" t="s">
        <v>1367</v>
      </c>
      <c r="L57" s="2530" t="s">
        <v>1368</v>
      </c>
      <c r="M57" s="2531"/>
      <c r="N57" s="2532">
        <f ca="1">SUMIF(M52:M56,"&lt;9e307")</f>
        <v>0</v>
      </c>
      <c r="O57" s="2533"/>
      <c r="P57" s="2690" t="e">
        <f ca="1">N57/M49</f>
        <v>#VALUE!</v>
      </c>
    </row>
    <row r="58" spans="1:35" ht="24.75">
      <c r="A58" s="3456" t="s">
        <v>1352</v>
      </c>
      <c r="B58" s="3605" t="s">
        <v>1369</v>
      </c>
      <c r="C58" s="3603"/>
      <c r="D58" s="3469" t="e">
        <f ca="1">IF(H58="转让取得",C81,C97)</f>
        <v>#REF!</v>
      </c>
      <c r="E58" s="3457" t="s">
        <v>1364</v>
      </c>
      <c r="F58" s="302" t="s">
        <v>28</v>
      </c>
      <c r="G58" s="2555"/>
      <c r="H58" s="2558"/>
      <c r="I58" s="1808"/>
      <c r="J58" s="3604"/>
      <c r="K58" s="3604"/>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8">
        <f>J57+1</f>
        <v>6</v>
      </c>
      <c r="K59" s="3604" t="s">
        <v>1372</v>
      </c>
      <c r="L59" s="3466" t="s">
        <v>1368</v>
      </c>
      <c r="M59" s="2537"/>
      <c r="N59" s="2538" t="e">
        <f ca="1">M49-N57</f>
        <v>#VALUE!</v>
      </c>
      <c r="O59" s="2539"/>
    </row>
    <row r="60" spans="1:35" ht="12" customHeight="1">
      <c r="A60" s="1809"/>
      <c r="B60" s="1747"/>
      <c r="C60" s="1747"/>
      <c r="D60" s="1747"/>
      <c r="E60" s="1578"/>
      <c r="F60" s="1808"/>
      <c r="G60" s="1808"/>
      <c r="H60" s="1810"/>
      <c r="I60" s="129"/>
      <c r="J60" s="3619"/>
      <c r="K60" s="3604"/>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3466">
        <f>J59+1</f>
        <v>7</v>
      </c>
      <c r="K61" s="3604" t="s">
        <v>1374</v>
      </c>
      <c r="L61" s="3604"/>
      <c r="M61" s="2540"/>
      <c r="N61" s="2541" t="e">
        <f ca="1">ROUND(N59*10000/'数据-汇总表'!E3,0)</f>
        <v>#VALUE!</v>
      </c>
      <c r="O61" s="2542"/>
    </row>
    <row r="62" spans="1:35" ht="12.75">
      <c r="A62" s="3628" t="s">
        <v>1375</v>
      </c>
      <c r="B62" s="3629"/>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3470" t="s">
        <v>1380</v>
      </c>
      <c r="L63" s="3470"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3470" t="s">
        <v>1382</v>
      </c>
      <c r="L64" s="347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3470" t="s">
        <v>1385</v>
      </c>
      <c r="L65" s="3470"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3470" t="s">
        <v>1387</v>
      </c>
      <c r="L66" s="3470"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3470" t="s">
        <v>1390</v>
      </c>
      <c r="L67" s="347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3"/>
      <c r="K68" s="3470" t="s">
        <v>1392</v>
      </c>
      <c r="L68" s="3470"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3470" t="s">
        <v>1393</v>
      </c>
      <c r="L69" s="3470"/>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3"/>
      <c r="G76" s="3603"/>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9"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69"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69"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37"/>
      <c r="E100" s="3568" t="s">
        <v>1429</v>
      </c>
      <c r="F100" s="3568"/>
      <c r="G100" s="3568"/>
      <c r="H100" s="3637"/>
      <c r="I100" s="129"/>
    </row>
    <row r="101" spans="1:35" ht="18.75" customHeight="1">
      <c r="A101" s="3638" t="s">
        <v>1430</v>
      </c>
      <c r="B101" s="3639"/>
      <c r="C101" s="2585" t="str">
        <f>C4</f>
        <v>成本法(仓储)</v>
      </c>
      <c r="D101" s="2586" t="str">
        <f>D4</f>
        <v>收益法 (元)仓储</v>
      </c>
      <c r="E101" s="3640" t="s">
        <v>1431</v>
      </c>
      <c r="F101" s="3641"/>
      <c r="G101" s="1827" t="s">
        <v>1432</v>
      </c>
      <c r="H101" s="2595" t="e">
        <f ca="1">H118</f>
        <v>#REF!</v>
      </c>
      <c r="I101" s="129"/>
    </row>
    <row r="102" spans="1:35" ht="18.75" customHeight="1">
      <c r="A102" s="3642" t="s">
        <v>1433</v>
      </c>
      <c r="B102" s="2584" t="s">
        <v>1432</v>
      </c>
      <c r="C102" s="2585">
        <f ca="1">IF(D32="楼面单价",ROUND(C19,0),C19)</f>
        <v>114</v>
      </c>
      <c r="D102" s="2586">
        <f ca="1">IF(D32="楼面单价",ROUND(D19,0),D19)</f>
        <v>101.8065</v>
      </c>
      <c r="E102" s="3640"/>
      <c r="F102" s="3641"/>
      <c r="G102" s="1827" t="s">
        <v>1434</v>
      </c>
      <c r="H102" s="2555" t="e">
        <f ca="1">I118</f>
        <v>#REF!</v>
      </c>
      <c r="I102" s="129"/>
    </row>
    <row r="103" spans="1:35" ht="42.75" customHeight="1">
      <c r="A103" s="3642"/>
      <c r="B103" s="2584" t="s">
        <v>1434</v>
      </c>
      <c r="C103" s="2587">
        <f ca="1">C20</f>
        <v>15800</v>
      </c>
      <c r="D103" s="2588">
        <f ca="1">D20</f>
        <v>14110</v>
      </c>
      <c r="E103" s="3643" t="s">
        <v>1435</v>
      </c>
      <c r="F103" s="3644"/>
      <c r="G103" s="1828" t="s">
        <v>1436</v>
      </c>
      <c r="H103" s="2595">
        <f>IF(D36="正常操作",H104+H105+H106,H105+H106)</f>
        <v>0</v>
      </c>
      <c r="I103" s="129"/>
    </row>
    <row r="104" spans="1:35" ht="18.75" customHeight="1">
      <c r="A104" s="364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1" t="str">
        <f>IF(项目基本情况!E8="已注销","——","3.房地产抵押价值")</f>
        <v>3.房地产抵押价值</v>
      </c>
      <c r="F107" s="3641"/>
      <c r="G107" s="1827" t="s">
        <v>1432</v>
      </c>
      <c r="H107" s="2595" t="e">
        <f ca="1">IF(E107="——","——",H101-H103)</f>
        <v>#REF!</v>
      </c>
      <c r="I107" s="129"/>
    </row>
    <row r="108" spans="1:35" ht="18.75" customHeight="1">
      <c r="A108" s="129"/>
      <c r="B108" s="129"/>
      <c r="C108" s="129"/>
      <c r="D108" s="129"/>
      <c r="E108" s="3651"/>
      <c r="F108" s="3641"/>
      <c r="G108" s="1827" t="s">
        <v>1434</v>
      </c>
      <c r="H108" s="2555">
        <f ca="1">IF(H107=H101,H102,ROUND(H107*10000/'数据-汇总表'!E3,0))</f>
        <v>0</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41"/>
      <c r="G109" s="1827" t="s">
        <v>1432</v>
      </c>
      <c r="H109" s="2598" t="str">
        <f>IF(E109="——","——",H101-H105-H106)</f>
        <v>——</v>
      </c>
      <c r="I109" s="129"/>
    </row>
    <row r="110" spans="1:35" ht="18.75" customHeight="1">
      <c r="A110" s="129"/>
      <c r="B110" s="129"/>
      <c r="C110" s="129"/>
      <c r="D110" s="129"/>
      <c r="E110" s="3651"/>
      <c r="F110" s="364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53"/>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56" t="s">
        <v>1440</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573" t="s">
        <v>1443</v>
      </c>
      <c r="B116" s="3645" t="s">
        <v>1444</v>
      </c>
      <c r="C116" s="3645" t="s">
        <v>1445</v>
      </c>
      <c r="D116" s="3647" t="s">
        <v>1446</v>
      </c>
      <c r="E116" s="3648"/>
      <c r="F116" s="3649" t="s">
        <v>1447</v>
      </c>
      <c r="G116" s="3649"/>
      <c r="H116" s="3573" t="s">
        <v>1448</v>
      </c>
      <c r="I116" s="3573"/>
    </row>
    <row r="117" spans="1:27" ht="18.75" customHeight="1">
      <c r="A117" s="3573"/>
      <c r="B117" s="3646"/>
      <c r="C117" s="3646"/>
      <c r="D117" s="3455" t="s">
        <v>1449</v>
      </c>
      <c r="E117" s="3455" t="s">
        <v>1450</v>
      </c>
      <c r="F117" s="3455" t="s">
        <v>1449</v>
      </c>
      <c r="G117" s="3455" t="s">
        <v>1451</v>
      </c>
      <c r="H117" s="3455" t="s">
        <v>1449</v>
      </c>
      <c r="I117" s="3455" t="s">
        <v>1451</v>
      </c>
    </row>
    <row r="118" spans="1:27" ht="24.75" customHeight="1">
      <c r="A118" s="2600" t="str">
        <f>项目基本情况!S2</f>
        <v>房地产</v>
      </c>
      <c r="B118" s="3455">
        <f>M18</f>
        <v>2209.09</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73" t="s">
        <v>1452</v>
      </c>
      <c r="B119" s="3573"/>
      <c r="C119" s="3573"/>
      <c r="D119" s="3660" t="e">
        <f ca="1">NUMBERSTRING(INT(D118*10000),2)&amp;"元整"</f>
        <v>#REF!</v>
      </c>
      <c r="E119" s="3662"/>
      <c r="F119" s="3660" t="e">
        <f ca="1">NUMBERSTRING(INT(F118*10000),2)&amp;"元整"</f>
        <v>#REF!</v>
      </c>
      <c r="G119" s="3662"/>
      <c r="H119" s="3660" t="e">
        <f ca="1">NUMBERSTRING(INT(H118*10000),2)&amp;"元整"</f>
        <v>#REF!</v>
      </c>
      <c r="I119" s="3662"/>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0" t="s">
        <v>1452</v>
      </c>
      <c r="B121" s="3661"/>
      <c r="C121" s="3662"/>
      <c r="D121" s="3660" t="str">
        <f>IF(D120=0,"零元整",NUMBERSTRING(INT(D120*10000),2)&amp;"元整")</f>
        <v>零元整</v>
      </c>
      <c r="E121" s="3661"/>
      <c r="F121" s="3661"/>
      <c r="G121" s="3661"/>
      <c r="H121" s="3661"/>
      <c r="I121" s="3662"/>
      <c r="AA121" s="725"/>
    </row>
    <row r="122" spans="1:27" ht="18.75" customHeight="1">
      <c r="A122" s="3653" t="str">
        <f>IF(项目基本情况!B9="房地产市场价值","",MID(E107,3,LEN(E107)-2))</f>
        <v>房地产抵押价值</v>
      </c>
      <c r="B122" s="3653"/>
      <c r="C122" s="3653"/>
      <c r="D122" s="3663" t="e">
        <f ca="1">H107</f>
        <v>#REF!</v>
      </c>
      <c r="E122" s="3664"/>
      <c r="F122" s="3664"/>
      <c r="G122" s="3664"/>
      <c r="H122" s="3664"/>
      <c r="I122" s="3665"/>
      <c r="AA122" s="725"/>
    </row>
    <row r="123" spans="1:27" ht="18.75" customHeight="1">
      <c r="A123" s="3573" t="s">
        <v>1452</v>
      </c>
      <c r="B123" s="3573"/>
      <c r="C123" s="3573"/>
      <c r="D123" s="3660" t="e">
        <f ca="1">NUMBERSTRING(INT(D122*10000),2)&amp;"元整"</f>
        <v>#REF!</v>
      </c>
      <c r="E123" s="3661"/>
      <c r="F123" s="3661"/>
      <c r="G123" s="3661"/>
      <c r="H123" s="3661"/>
      <c r="I123" s="3662"/>
      <c r="AA123" s="725"/>
    </row>
    <row r="124" spans="1:27" ht="18.75" customHeight="1">
      <c r="A124" s="3653" t="str">
        <f>IF(项目基本情况!B9="房地产市场价值","",MID(E109,3,LEN(E109)-2))</f>
        <v/>
      </c>
      <c r="B124" s="3653"/>
      <c r="C124" s="3653"/>
      <c r="D124" s="3663" t="str">
        <f>H109</f>
        <v>——</v>
      </c>
      <c r="E124" s="3664"/>
      <c r="F124" s="3664"/>
      <c r="G124" s="3664"/>
      <c r="H124" s="3664"/>
      <c r="I124" s="3665"/>
      <c r="AA124" s="725"/>
    </row>
    <row r="125" spans="1:27" ht="18.75" customHeight="1">
      <c r="A125" s="3573" t="s">
        <v>1452</v>
      </c>
      <c r="B125" s="3573"/>
      <c r="C125" s="3573"/>
      <c r="D125" s="3660" t="e">
        <f>NUMBERSTRING(INT(D124*10000),2)&amp;"元整"</f>
        <v>#VALUE!</v>
      </c>
      <c r="E125" s="3661"/>
      <c r="F125" s="3661"/>
      <c r="G125" s="3661"/>
      <c r="H125" s="3661"/>
      <c r="I125" s="3662"/>
      <c r="AA125" s="725"/>
    </row>
    <row r="126" spans="1:27" ht="18.75" customHeight="1">
      <c r="A126" s="3653" t="str">
        <f>IF(项目基本情况!B9="房地产市场价值","",MID(E111,3,LEN(E111)-2))</f>
        <v/>
      </c>
      <c r="B126" s="3653"/>
      <c r="C126" s="3653"/>
      <c r="D126" s="3663" t="str">
        <f>H111</f>
        <v>——</v>
      </c>
      <c r="E126" s="3664"/>
      <c r="F126" s="3664"/>
      <c r="G126" s="3664"/>
      <c r="H126" s="3664"/>
      <c r="I126" s="3665"/>
      <c r="AA126" s="725"/>
    </row>
    <row r="127" spans="1:27" ht="18.75" customHeight="1">
      <c r="A127" s="3573" t="s">
        <v>1452</v>
      </c>
      <c r="B127" s="3573"/>
      <c r="C127" s="3573"/>
      <c r="D127" s="3660" t="e">
        <f>NUMBERSTRING(INT(D126*10000),2)&amp;"元整"</f>
        <v>#VALUE!</v>
      </c>
      <c r="E127" s="3661"/>
      <c r="F127" s="3661"/>
      <c r="G127" s="3661"/>
      <c r="H127" s="3661"/>
      <c r="I127" s="3662"/>
      <c r="AA127" s="725"/>
    </row>
    <row r="128" spans="1:27" ht="21.75" customHeight="1">
      <c r="A128" s="3666" t="s">
        <v>1453</v>
      </c>
      <c r="B128" s="3666"/>
      <c r="C128" s="3666"/>
      <c r="D128" s="3666"/>
      <c r="E128" s="3666"/>
      <c r="F128" s="3666"/>
      <c r="G128" s="3666"/>
      <c r="H128" s="3666"/>
      <c r="I128" s="36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18" priority="10" stopIfTrue="1" operator="equal">
      <formula>25</formula>
    </cfRule>
  </conditionalFormatting>
  <conditionalFormatting sqref="C8:C9">
    <cfRule type="cellIs" dxfId="217" priority="9" stopIfTrue="1" operator="equal">
      <formula>15</formula>
    </cfRule>
  </conditionalFormatting>
  <conditionalFormatting sqref="C14:C16">
    <cfRule type="cellIs" dxfId="216" priority="8" stopIfTrue="1" operator="equal">
      <formula>30</formula>
    </cfRule>
  </conditionalFormatting>
  <conditionalFormatting sqref="D5:D7">
    <cfRule type="cellIs" dxfId="215" priority="7" stopIfTrue="1" operator="equal">
      <formula>25</formula>
    </cfRule>
  </conditionalFormatting>
  <conditionalFormatting sqref="D8:D9">
    <cfRule type="cellIs" dxfId="214" priority="6" stopIfTrue="1" operator="equal">
      <formula>15</formula>
    </cfRule>
  </conditionalFormatting>
  <conditionalFormatting sqref="C10:D13">
    <cfRule type="cellIs" dxfId="213" priority="5" stopIfTrue="1" operator="equal">
      <formula>15</formula>
    </cfRule>
  </conditionalFormatting>
  <conditionalFormatting sqref="D14:D16">
    <cfRule type="cellIs" dxfId="212" priority="4" stopIfTrue="1" operator="equal">
      <formula>30</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E36">
    <cfRule type="expression" dxfId="20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8" sqref="C8:C9"/>
    </sheetView>
  </sheetViews>
  <sheetFormatPr defaultColWidth="12.625" defaultRowHeight="21.75" customHeight="1"/>
  <cols>
    <col min="1" max="2" width="12.625" style="1753"/>
    <col min="3" max="3" width="12.625" style="1753" customWidth="1"/>
    <col min="4" max="4" width="14.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房地产</v>
      </c>
      <c r="B2" s="3579"/>
      <c r="C2" s="3579"/>
      <c r="D2" s="3579"/>
      <c r="E2" s="3579"/>
      <c r="F2" s="3579"/>
      <c r="G2" s="3579"/>
      <c r="H2" s="3579"/>
      <c r="I2" s="3580"/>
    </row>
    <row r="3" spans="1:12" ht="12.75">
      <c r="A3" s="3581" t="s">
        <v>1264</v>
      </c>
      <c r="B3" s="3582"/>
      <c r="C3" s="3582"/>
      <c r="D3" s="3582"/>
      <c r="E3" s="3582"/>
      <c r="F3" s="3582"/>
      <c r="G3" s="3582"/>
      <c r="H3" s="3582"/>
      <c r="I3" s="3582"/>
    </row>
    <row r="4" spans="1:12" ht="14.25">
      <c r="A4" s="1754" t="s">
        <v>1265</v>
      </c>
      <c r="B4" s="1755" t="s">
        <v>1266</v>
      </c>
      <c r="C4" s="1756" t="s">
        <v>3440</v>
      </c>
      <c r="D4" s="1756" t="s">
        <v>3431</v>
      </c>
      <c r="E4" s="3583" t="s">
        <v>1267</v>
      </c>
      <c r="F4" s="3584"/>
      <c r="G4" s="3584"/>
      <c r="H4" s="3584"/>
      <c r="I4" s="3585"/>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73" t="s">
        <v>1268</v>
      </c>
      <c r="B5" s="3574">
        <v>25</v>
      </c>
      <c r="C5" s="3575"/>
      <c r="D5" s="3577"/>
      <c r="E5" s="131" t="s">
        <v>1269</v>
      </c>
      <c r="F5" s="1757"/>
      <c r="G5" s="1757"/>
      <c r="H5" s="1757"/>
      <c r="I5" s="1373"/>
    </row>
    <row r="6" spans="1:12" ht="12.75">
      <c r="A6" s="3573"/>
      <c r="B6" s="3574"/>
      <c r="C6" s="3586"/>
      <c r="D6" s="3577"/>
      <c r="E6" s="131" t="s">
        <v>1270</v>
      </c>
      <c r="F6" s="1757"/>
      <c r="G6" s="1757"/>
      <c r="H6" s="1757"/>
      <c r="I6" s="1373"/>
    </row>
    <row r="7" spans="1:12" ht="12.75">
      <c r="A7" s="3573"/>
      <c r="B7" s="3574"/>
      <c r="C7" s="3576"/>
      <c r="D7" s="3577"/>
      <c r="E7" s="131" t="s">
        <v>1271</v>
      </c>
      <c r="F7" s="1757"/>
      <c r="G7" s="1757"/>
      <c r="H7" s="1757"/>
      <c r="I7" s="1373"/>
    </row>
    <row r="8" spans="1:12" ht="12.75">
      <c r="A8" s="3573" t="s">
        <v>1272</v>
      </c>
      <c r="B8" s="3574">
        <v>15</v>
      </c>
      <c r="C8" s="3575"/>
      <c r="D8" s="3577"/>
      <c r="E8" s="131" t="s">
        <v>1273</v>
      </c>
      <c r="F8" s="1757"/>
      <c r="G8" s="1757"/>
      <c r="H8" s="1757"/>
      <c r="I8" s="1373"/>
    </row>
    <row r="9" spans="1:12" ht="12.75">
      <c r="A9" s="3573"/>
      <c r="B9" s="3574"/>
      <c r="C9" s="3576"/>
      <c r="D9" s="3577"/>
      <c r="E9" s="131" t="s">
        <v>1274</v>
      </c>
      <c r="F9" s="1757"/>
      <c r="G9" s="1757"/>
      <c r="H9" s="1757"/>
      <c r="I9" s="1373"/>
    </row>
    <row r="10" spans="1:12" ht="12.75">
      <c r="A10" s="3573" t="s">
        <v>1275</v>
      </c>
      <c r="B10" s="3574">
        <v>15</v>
      </c>
      <c r="C10" s="3575"/>
      <c r="D10" s="3577"/>
      <c r="E10" s="131" t="s">
        <v>1276</v>
      </c>
      <c r="F10" s="1757"/>
      <c r="G10" s="1757"/>
      <c r="H10" s="1757"/>
      <c r="I10" s="1373"/>
    </row>
    <row r="11" spans="1:12" ht="12.75">
      <c r="A11" s="3573"/>
      <c r="B11" s="3574"/>
      <c r="C11" s="3576"/>
      <c r="D11" s="3577"/>
      <c r="E11" s="131" t="s">
        <v>1277</v>
      </c>
      <c r="F11" s="1757"/>
      <c r="G11" s="1757"/>
      <c r="H11" s="1757"/>
      <c r="I11" s="1373"/>
    </row>
    <row r="12" spans="1:12" ht="12.75">
      <c r="A12" s="3573" t="s">
        <v>1278</v>
      </c>
      <c r="B12" s="3574">
        <v>15</v>
      </c>
      <c r="C12" s="3575"/>
      <c r="D12" s="3577"/>
      <c r="E12" s="131" t="s">
        <v>1279</v>
      </c>
      <c r="F12" s="1757"/>
      <c r="G12" s="1757"/>
      <c r="H12" s="1757"/>
      <c r="I12" s="1373"/>
    </row>
    <row r="13" spans="1:12" ht="12.75">
      <c r="A13" s="3573"/>
      <c r="B13" s="3574"/>
      <c r="C13" s="3576"/>
      <c r="D13" s="3577"/>
      <c r="E13" s="131" t="s">
        <v>1280</v>
      </c>
      <c r="F13" s="1757"/>
      <c r="G13" s="1757"/>
      <c r="H13" s="1757"/>
      <c r="I13" s="1373"/>
    </row>
    <row r="14" spans="1:12" ht="12.75">
      <c r="A14" s="3573" t="s">
        <v>1281</v>
      </c>
      <c r="B14" s="3574">
        <v>30</v>
      </c>
      <c r="C14" s="3575">
        <v>7</v>
      </c>
      <c r="D14" s="3577">
        <v>3</v>
      </c>
      <c r="E14" s="131" t="s">
        <v>1282</v>
      </c>
      <c r="F14" s="1757"/>
      <c r="G14" s="1757"/>
      <c r="H14" s="1757"/>
      <c r="I14" s="1373"/>
    </row>
    <row r="15" spans="1:12" ht="12.75">
      <c r="A15" s="3573"/>
      <c r="B15" s="3574"/>
      <c r="C15" s="3586"/>
      <c r="D15" s="3577"/>
      <c r="E15" s="131" t="s">
        <v>1283</v>
      </c>
      <c r="F15" s="1757"/>
      <c r="G15" s="1757"/>
      <c r="H15" s="1757"/>
      <c r="I15" s="1373"/>
    </row>
    <row r="16" spans="1:12" ht="12.75">
      <c r="A16" s="3573"/>
      <c r="B16" s="3574"/>
      <c r="C16" s="3576"/>
      <c r="D16" s="357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7" t="s">
        <v>2130</v>
      </c>
      <c r="F18" s="3588"/>
      <c r="G18" s="3588"/>
      <c r="H18" s="3588"/>
      <c r="I18" s="3588"/>
      <c r="K18" s="302" t="s">
        <v>1289</v>
      </c>
      <c r="L18" s="302">
        <f>IF(C1="",'数据-汇总表'!E3,SUMIF(项目类型,C1,'数据-汇总表'!E17:E26)+SUMIF(项目类型,C1,'数据-汇总表'!I17:I26))</f>
        <v>2209.09</v>
      </c>
      <c r="M18" s="302">
        <f>IF(C1="",'数据-汇总表'!E3,SUMIF(项目类型,C1,'数据-汇总表'!E17:E26))</f>
        <v>2209.09</v>
      </c>
    </row>
    <row r="19" spans="1:36" ht="15">
      <c r="A19" s="1761" t="s">
        <v>1290</v>
      </c>
      <c r="B19" s="1762" t="s">
        <v>1291</v>
      </c>
      <c r="C19" s="134">
        <f ca="1">SUMIF(INDIRECT("'"&amp;C4&amp;"'"&amp;"!A:A"),'结果表(办公)'!B19,INDIRECT("'"&amp;C4&amp;"'"&amp;"!B:B"))</f>
        <v>554.64</v>
      </c>
      <c r="D19" s="135">
        <f ca="1">SUMIF(INDIRECT("'"&amp;D4&amp;"'"&amp;"!A:A"),'结果表(办公)'!B19,INDIRECT("'"&amp;D4&amp;"'"&amp;"!B:B"))</f>
        <v>222.94550000000001</v>
      </c>
      <c r="E19" s="1761" t="s">
        <v>1292</v>
      </c>
      <c r="F19" s="1762" t="s">
        <v>1291</v>
      </c>
      <c r="G19" s="136">
        <f ca="1">ROUND(C19*$C$18+D19*$D$18,0)</f>
        <v>455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SUMIF(INDIRECT("'"&amp;C4&amp;"'"&amp;"!A:A"),'结果表(办公)'!B20,INDIRECT("'"&amp;C4&amp;"'"&amp;"!B:B"))</f>
        <v>60000</v>
      </c>
      <c r="D20" s="138">
        <f ca="1">SUMIF(INDIRECT("'"&amp;D4&amp;"'"&amp;"!A:A"),'结果表(办公)'!B20,INDIRECT("'"&amp;D4&amp;"'"&amp;"!B:B"))</f>
        <v>24118</v>
      </c>
      <c r="E20" s="1764"/>
      <c r="F20" s="1026" t="s">
        <v>1295</v>
      </c>
      <c r="G20" s="139">
        <f ca="1">ROUND(C20*$C$18+D20*$D$18,0)</f>
        <v>49235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1.4877828886431885</v>
      </c>
      <c r="E22" s="129"/>
      <c r="F22" s="129"/>
      <c r="G22" s="129"/>
      <c r="H22" s="129"/>
      <c r="I22" s="129"/>
    </row>
    <row r="23" spans="1:36" ht="13.5" thickBot="1">
      <c r="A23" s="1747"/>
      <c r="B23" s="1747"/>
      <c r="C23" s="1747"/>
      <c r="D23" s="1747"/>
      <c r="E23" s="129"/>
      <c r="F23" s="129"/>
      <c r="G23" s="129"/>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49235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1" t="s">
        <v>1312</v>
      </c>
      <c r="B36" s="1787" t="s">
        <v>1313</v>
      </c>
      <c r="C36" s="145"/>
      <c r="D36" s="1788"/>
      <c r="E36" s="1789"/>
      <c r="F36" s="1790"/>
      <c r="G36" s="129"/>
      <c r="H36" s="129"/>
      <c r="I36" s="129"/>
    </row>
    <row r="37" spans="1:15" ht="15.75" thickBot="1">
      <c r="A37" s="3592"/>
      <c r="B37" s="1674" t="s">
        <v>1314</v>
      </c>
      <c r="C37" s="147"/>
      <c r="D37" s="1139"/>
      <c r="E37" s="1139"/>
      <c r="F37" s="1790"/>
      <c r="G37" s="129"/>
      <c r="H37" s="129"/>
      <c r="I37" s="129"/>
    </row>
    <row r="38" spans="1:15" ht="15.75" thickBot="1">
      <c r="A38" s="3593"/>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597" t="s">
        <v>1329</v>
      </c>
      <c r="K45" s="3597"/>
      <c r="L45" s="3597"/>
      <c r="M45" s="3597"/>
      <c r="N45" s="3597"/>
      <c r="O45" s="3597"/>
    </row>
    <row r="46" spans="1:15" ht="14.25" customHeight="1">
      <c r="A46" s="3598" t="s">
        <v>1330</v>
      </c>
      <c r="B46" s="3599"/>
      <c r="C46" s="3599"/>
      <c r="D46" s="3599"/>
      <c r="E46" s="3599"/>
      <c r="F46" s="3599"/>
      <c r="G46" s="3600"/>
      <c r="H46" s="1806"/>
      <c r="I46" s="159"/>
      <c r="J46" s="3466">
        <v>1</v>
      </c>
      <c r="K46" s="3601" t="s">
        <v>1331</v>
      </c>
      <c r="L46" s="3601"/>
      <c r="M46" s="3602"/>
      <c r="N46" s="3602"/>
      <c r="O46" s="3602"/>
    </row>
    <row r="47" spans="1:15" ht="12" customHeight="1">
      <c r="A47" s="160" t="s">
        <v>1332</v>
      </c>
      <c r="B47" s="161"/>
      <c r="C47" s="162"/>
      <c r="D47" s="1087" t="s">
        <v>1333</v>
      </c>
      <c r="E47" s="302" t="s">
        <v>1334</v>
      </c>
      <c r="F47" s="163" t="s">
        <v>1335</v>
      </c>
      <c r="G47" s="2546" t="s">
        <v>1336</v>
      </c>
      <c r="H47" s="2547"/>
      <c r="I47" s="159"/>
      <c r="J47" s="3466">
        <v>2</v>
      </c>
      <c r="K47" s="3601" t="s">
        <v>1337</v>
      </c>
      <c r="L47" s="3601"/>
      <c r="M47" s="3607">
        <f>'数据-取费表'!B2</f>
        <v>45379</v>
      </c>
      <c r="N47" s="3607"/>
      <c r="O47" s="3607"/>
    </row>
    <row r="48" spans="1:15" ht="25.5">
      <c r="A48" s="3608" t="s">
        <v>1338</v>
      </c>
      <c r="B48" s="3609"/>
      <c r="C48" s="3609"/>
      <c r="D48" s="3469"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601" t="s">
        <v>1340</v>
      </c>
      <c r="L48" s="3601"/>
      <c r="M48" s="3610" t="e">
        <f ca="1">H101</f>
        <v>#REF!</v>
      </c>
      <c r="N48" s="3610"/>
      <c r="O48" s="3610"/>
    </row>
    <row r="49" spans="1:35" ht="25.5" customHeight="1">
      <c r="A49" s="3461" t="s">
        <v>1341</v>
      </c>
      <c r="B49" s="3603" t="s">
        <v>1342</v>
      </c>
      <c r="C49" s="3603"/>
      <c r="D49" s="1590">
        <v>0</v>
      </c>
      <c r="E49" s="324" t="s">
        <v>1343</v>
      </c>
      <c r="F49" s="3451" t="s">
        <v>28</v>
      </c>
      <c r="G49" s="3611"/>
      <c r="H49" s="2310" t="s">
        <v>2133</v>
      </c>
      <c r="I49" s="2311"/>
      <c r="J49" s="3466">
        <v>4</v>
      </c>
      <c r="K49" s="3601" t="str">
        <f>IF(项目基本情况!E8="房地产抵押价值","房地产抵押价值","抵押担保权已注销时的房地产抵押价值")</f>
        <v>抵押担保权已注销时的房地产抵押价值</v>
      </c>
      <c r="L49" s="3601"/>
      <c r="M49" s="3610" t="str">
        <f>IF(项目基本情况!E8="房地产抵押价值",H107,H109)</f>
        <v>——</v>
      </c>
      <c r="N49" s="3610"/>
      <c r="O49" s="3610"/>
    </row>
    <row r="50" spans="1:35" ht="25.5" customHeight="1">
      <c r="A50" s="2551"/>
      <c r="B50" s="3603" t="s">
        <v>1344</v>
      </c>
      <c r="C50" s="3603"/>
      <c r="D50" s="2552"/>
      <c r="E50" s="332"/>
      <c r="F50" s="3451"/>
      <c r="G50" s="3612"/>
      <c r="H50" s="2312" t="s">
        <v>2134</v>
      </c>
      <c r="I50" s="2311"/>
      <c r="J50" s="3597" t="s">
        <v>1345</v>
      </c>
      <c r="K50" s="3597"/>
      <c r="L50" s="3597"/>
      <c r="M50" s="3597"/>
      <c r="N50" s="3597"/>
      <c r="O50" s="3597"/>
    </row>
    <row r="51" spans="1:35" ht="20.45" customHeight="1">
      <c r="A51" s="2553"/>
      <c r="B51" s="3603" t="s">
        <v>1346</v>
      </c>
      <c r="C51" s="3603"/>
      <c r="D51" s="1087"/>
      <c r="E51" s="327"/>
      <c r="F51" s="3451"/>
      <c r="G51" s="3613"/>
      <c r="H51" s="2312" t="s">
        <v>2135</v>
      </c>
      <c r="I51" s="2311"/>
      <c r="J51" s="3465" t="s">
        <v>1347</v>
      </c>
      <c r="K51" s="3601" t="s">
        <v>1348</v>
      </c>
      <c r="L51" s="3601"/>
      <c r="M51" s="3465" t="s">
        <v>1349</v>
      </c>
      <c r="N51" s="3465" t="s">
        <v>1350</v>
      </c>
      <c r="O51" s="3465" t="s">
        <v>1351</v>
      </c>
    </row>
    <row r="52" spans="1:35" ht="24" customHeight="1">
      <c r="A52" s="3456" t="s">
        <v>1352</v>
      </c>
      <c r="B52" s="3603" t="s">
        <v>1353</v>
      </c>
      <c r="C52" s="3603"/>
      <c r="D52" s="1087" t="e">
        <f ca="1">ROUND(D45*'数据-取费表'!B41/(1+'数据-取费表'!C42),0)</f>
        <v>#REF!</v>
      </c>
      <c r="E52" s="3457" t="s">
        <v>1354</v>
      </c>
      <c r="F52" s="2554">
        <f>'数据-取费表'!B41</f>
        <v>5.6000000000000001E-2</v>
      </c>
      <c r="G52" s="2555"/>
      <c r="H52" s="2544"/>
      <c r="I52" s="1807"/>
      <c r="J52" s="3466">
        <v>1</v>
      </c>
      <c r="K52" s="3604" t="s">
        <v>1355</v>
      </c>
      <c r="L52" s="3604"/>
      <c r="M52" s="2525" t="b">
        <f>D48</f>
        <v>0</v>
      </c>
      <c r="N52" s="3466" t="str">
        <f>E48</f>
        <v>销售额×税（费）率</v>
      </c>
      <c r="O52" s="2526">
        <f>F48</f>
        <v>5.6000000000000001E-2</v>
      </c>
    </row>
    <row r="53" spans="1:35" ht="12" customHeight="1">
      <c r="A53" s="3456" t="s">
        <v>1356</v>
      </c>
      <c r="B53" s="3605" t="s">
        <v>2290</v>
      </c>
      <c r="C53" s="3606"/>
      <c r="D53" s="1087" t="e">
        <f ca="1">ROUND(D45*'数据-取费表'!B41/(1+'数据-取费表'!C42),0)</f>
        <v>#REF!</v>
      </c>
      <c r="E53" s="3457" t="s">
        <v>1354</v>
      </c>
      <c r="F53" s="2554">
        <f>'数据-取费表'!B41</f>
        <v>5.6000000000000001E-2</v>
      </c>
      <c r="G53" s="2555"/>
      <c r="H53" s="2544"/>
      <c r="I53" s="1807"/>
      <c r="J53" s="3466">
        <v>2</v>
      </c>
      <c r="K53" s="3604" t="s">
        <v>1357</v>
      </c>
      <c r="L53" s="3604"/>
      <c r="M53" s="2525" t="e">
        <f t="shared" ref="M53:O54" ca="1" si="0">D55</f>
        <v>#REF!</v>
      </c>
      <c r="N53" s="3466" t="str">
        <f t="shared" si="0"/>
        <v>销售额×税（费）率</v>
      </c>
      <c r="O53" s="2526" t="str">
        <f t="shared" si="0"/>
        <v>免征</v>
      </c>
    </row>
    <row r="54" spans="1:35" ht="12" customHeight="1">
      <c r="A54" s="3456" t="s">
        <v>1358</v>
      </c>
      <c r="B54" s="3605" t="s">
        <v>2291</v>
      </c>
      <c r="C54" s="3606"/>
      <c r="D54" s="1087" t="e">
        <f ca="1">C68</f>
        <v>#REF!</v>
      </c>
      <c r="E54" s="327" t="s">
        <v>1359</v>
      </c>
      <c r="F54" s="2554">
        <f>'数据-取费表'!B41</f>
        <v>5.6000000000000001E-2</v>
      </c>
      <c r="G54" s="2555"/>
      <c r="H54" s="2556"/>
      <c r="I54" s="1807"/>
      <c r="J54" s="3466">
        <v>3</v>
      </c>
      <c r="K54" s="3604" t="s">
        <v>1360</v>
      </c>
      <c r="L54" s="3604"/>
      <c r="M54" s="2525" t="e">
        <f t="shared" ca="1" si="0"/>
        <v>#REF!</v>
      </c>
      <c r="N54" s="3466" t="str">
        <f t="shared" si="0"/>
        <v>增值额×税（费）率</v>
      </c>
      <c r="O54" s="2527" t="str">
        <f t="shared" si="0"/>
        <v>免征</v>
      </c>
    </row>
    <row r="55" spans="1:35" ht="24" customHeight="1">
      <c r="A55" s="3620" t="s">
        <v>1361</v>
      </c>
      <c r="B55" s="3609"/>
      <c r="C55" s="3609"/>
      <c r="D55" s="3469" t="e">
        <f ca="1">IF(H55="个人住宅",0,ROUND(D45*I55,0))</f>
        <v>#REF!</v>
      </c>
      <c r="E55" s="3457" t="s">
        <v>1362</v>
      </c>
      <c r="F55" s="2554" t="str">
        <f>IF(H55="正常",I55,"免征")</f>
        <v>免征</v>
      </c>
      <c r="G55" s="2555"/>
      <c r="H55" s="2550"/>
      <c r="I55" s="165">
        <f>'数据-取费表'!B49</f>
        <v>5.0000000000000001E-4</v>
      </c>
      <c r="J55" s="3466">
        <f>IF(H59="非个人房产","",4)</f>
        <v>4</v>
      </c>
      <c r="K55" s="3604" t="str">
        <f>IF(H59="非个人房产","——","个人所得税")</f>
        <v>个人所得税</v>
      </c>
      <c r="L55" s="3604"/>
      <c r="M55" s="2528" t="e">
        <f ca="1">D59</f>
        <v>#REF!</v>
      </c>
      <c r="N55" s="3467" t="str">
        <f>E59</f>
        <v>差额计税</v>
      </c>
      <c r="O55" s="2529">
        <f>F59</f>
        <v>0.01</v>
      </c>
    </row>
    <row r="56" spans="1:35" ht="24.75">
      <c r="A56" s="3620" t="s">
        <v>1363</v>
      </c>
      <c r="B56" s="3609"/>
      <c r="C56" s="3609"/>
      <c r="D56" s="3469" t="e">
        <f ca="1">IF(H56="个人住宅",D57,D58)</f>
        <v>#REF!</v>
      </c>
      <c r="E56" s="3457" t="s">
        <v>1364</v>
      </c>
      <c r="F56" s="2554" t="str">
        <f>IF(H56="正常",F58,"免征")</f>
        <v>免征</v>
      </c>
      <c r="G56" s="2557" t="s">
        <v>1365</v>
      </c>
      <c r="H56" s="2558"/>
      <c r="I56" s="1808"/>
      <c r="J56" s="3466" t="str">
        <f>IF(项目基本情况!K6="上海银行",IF(J55="",4,J55+1),"")</f>
        <v/>
      </c>
      <c r="K56" s="3614" t="str">
        <f>IF(项目基本情况!K6="上海银行","其他处置费用","")</f>
        <v/>
      </c>
      <c r="L56" s="3621"/>
      <c r="M56" s="2525" t="str">
        <f>IF(项目基本情况!K6="上海银行",M69,"")</f>
        <v/>
      </c>
      <c r="N56" s="3614" t="str">
        <f>IF(项目基本情况!K6="上海银行","包含处置中涉及的律师、诉讼、拍卖、评估等费用","")</f>
        <v/>
      </c>
      <c r="O56" s="3615"/>
    </row>
    <row r="57" spans="1:35" ht="12.75">
      <c r="A57" s="3456" t="s">
        <v>1341</v>
      </c>
      <c r="B57" s="3605" t="s">
        <v>1366</v>
      </c>
      <c r="C57" s="3606"/>
      <c r="D57" s="1590">
        <v>0</v>
      </c>
      <c r="E57" s="324" t="s">
        <v>1343</v>
      </c>
      <c r="F57" s="302"/>
      <c r="G57" s="2555"/>
      <c r="H57" s="2559"/>
      <c r="I57" s="1808"/>
      <c r="J57" s="3604">
        <f>IF(AND(J55="",J56=""),4,IF(项目基本情况!K6="上海银行",'结果表(办公)'!J56+1,'结果表(办公)'!J55+1))</f>
        <v>5</v>
      </c>
      <c r="K57" s="3604" t="s">
        <v>1367</v>
      </c>
      <c r="L57" s="2530" t="s">
        <v>1368</v>
      </c>
      <c r="M57" s="2531"/>
      <c r="N57" s="2532">
        <f ca="1">SUMIF(M52:M56,"&lt;9e307")</f>
        <v>0</v>
      </c>
      <c r="O57" s="2533"/>
      <c r="P57" s="2690" t="e">
        <f ca="1">N57/M49</f>
        <v>#VALUE!</v>
      </c>
    </row>
    <row r="58" spans="1:35" ht="24.75">
      <c r="A58" s="3456" t="s">
        <v>1352</v>
      </c>
      <c r="B58" s="3605" t="s">
        <v>1369</v>
      </c>
      <c r="C58" s="3603"/>
      <c r="D58" s="3469" t="e">
        <f ca="1">IF(H58="转让取得",C81,C97)</f>
        <v>#REF!</v>
      </c>
      <c r="E58" s="3457" t="s">
        <v>1364</v>
      </c>
      <c r="F58" s="302" t="s">
        <v>28</v>
      </c>
      <c r="G58" s="2555"/>
      <c r="H58" s="2558"/>
      <c r="I58" s="1808"/>
      <c r="J58" s="3604"/>
      <c r="K58" s="3604"/>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8">
        <f>J57+1</f>
        <v>6</v>
      </c>
      <c r="K59" s="3604" t="s">
        <v>1372</v>
      </c>
      <c r="L59" s="3466" t="s">
        <v>1368</v>
      </c>
      <c r="M59" s="2537"/>
      <c r="N59" s="2538" t="e">
        <f ca="1">M49-N57</f>
        <v>#VALUE!</v>
      </c>
      <c r="O59" s="2539"/>
    </row>
    <row r="60" spans="1:35" ht="12" customHeight="1">
      <c r="A60" s="1809"/>
      <c r="B60" s="1747"/>
      <c r="C60" s="1747"/>
      <c r="D60" s="1747"/>
      <c r="E60" s="1578"/>
      <c r="F60" s="1808"/>
      <c r="G60" s="1808"/>
      <c r="H60" s="1810"/>
      <c r="I60" s="129"/>
      <c r="J60" s="3619"/>
      <c r="K60" s="3604"/>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3466">
        <f>J59+1</f>
        <v>7</v>
      </c>
      <c r="K61" s="3604" t="s">
        <v>1374</v>
      </c>
      <c r="L61" s="3604"/>
      <c r="M61" s="2540"/>
      <c r="N61" s="2541" t="e">
        <f ca="1">ROUND(N59*10000/'数据-汇总表'!E3,0)</f>
        <v>#VALUE!</v>
      </c>
      <c r="O61" s="2542"/>
    </row>
    <row r="62" spans="1:35" ht="12.75">
      <c r="A62" s="3628" t="s">
        <v>1375</v>
      </c>
      <c r="B62" s="3629"/>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3470" t="s">
        <v>1380</v>
      </c>
      <c r="L63" s="3470"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3470" t="s">
        <v>1382</v>
      </c>
      <c r="L64" s="347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3470" t="s">
        <v>1385</v>
      </c>
      <c r="L65" s="3470"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3470" t="s">
        <v>1387</v>
      </c>
      <c r="L66" s="3470"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3470" t="s">
        <v>1390</v>
      </c>
      <c r="L67" s="347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3"/>
      <c r="K68" s="3470" t="s">
        <v>1392</v>
      </c>
      <c r="L68" s="3470"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3470" t="s">
        <v>1393</v>
      </c>
      <c r="L69" s="3470"/>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3"/>
      <c r="G76" s="3603"/>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9"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69"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69"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37"/>
      <c r="E100" s="3568" t="s">
        <v>1429</v>
      </c>
      <c r="F100" s="3568"/>
      <c r="G100" s="3568"/>
      <c r="H100" s="3637"/>
      <c r="I100" s="129"/>
    </row>
    <row r="101" spans="1:35" ht="18.75" customHeight="1">
      <c r="A101" s="3638" t="s">
        <v>1430</v>
      </c>
      <c r="B101" s="3639"/>
      <c r="C101" s="2585" t="str">
        <f>C4</f>
        <v>比较法-办公</v>
      </c>
      <c r="D101" s="2586" t="str">
        <f>D4</f>
        <v>收益法 (元)</v>
      </c>
      <c r="E101" s="3640" t="s">
        <v>1431</v>
      </c>
      <c r="F101" s="3641"/>
      <c r="G101" s="1827" t="s">
        <v>1432</v>
      </c>
      <c r="H101" s="2595" t="e">
        <f ca="1">H118</f>
        <v>#REF!</v>
      </c>
      <c r="I101" s="129"/>
    </row>
    <row r="102" spans="1:35" ht="18.75" customHeight="1">
      <c r="A102" s="3642" t="s">
        <v>1433</v>
      </c>
      <c r="B102" s="2584" t="s">
        <v>1432</v>
      </c>
      <c r="C102" s="2585">
        <f ca="1">IF(D32="楼面单价",ROUND(C19,0),C19)</f>
        <v>554.64</v>
      </c>
      <c r="D102" s="2586">
        <f ca="1">IF(D32="楼面单价",ROUND(D19,0),D19)</f>
        <v>222.94550000000001</v>
      </c>
      <c r="E102" s="3640"/>
      <c r="F102" s="3641"/>
      <c r="G102" s="1827" t="s">
        <v>1434</v>
      </c>
      <c r="H102" s="2555" t="e">
        <f ca="1">I118</f>
        <v>#REF!</v>
      </c>
      <c r="I102" s="129"/>
    </row>
    <row r="103" spans="1:35" ht="42.75" customHeight="1">
      <c r="A103" s="3642"/>
      <c r="B103" s="2584" t="s">
        <v>1434</v>
      </c>
      <c r="C103" s="2587">
        <f ca="1">C20</f>
        <v>60000</v>
      </c>
      <c r="D103" s="2588">
        <f ca="1">D20</f>
        <v>24118</v>
      </c>
      <c r="E103" s="3643" t="s">
        <v>1435</v>
      </c>
      <c r="F103" s="3644"/>
      <c r="G103" s="1828" t="s">
        <v>1436</v>
      </c>
      <c r="H103" s="2595">
        <f>IF(D36="正常操作",H104+H105+H106,H105+H106)</f>
        <v>0</v>
      </c>
      <c r="I103" s="129"/>
    </row>
    <row r="104" spans="1:35" ht="18.75" customHeight="1">
      <c r="A104" s="364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1" t="str">
        <f>IF(项目基本情况!E8="已注销","——","3.房地产抵押价值")</f>
        <v>3.房地产抵押价值</v>
      </c>
      <c r="F107" s="3641"/>
      <c r="G107" s="1827" t="s">
        <v>1432</v>
      </c>
      <c r="H107" s="2595" t="e">
        <f ca="1">IF(E107="——","——",H101-H103)</f>
        <v>#REF!</v>
      </c>
      <c r="I107" s="129"/>
    </row>
    <row r="108" spans="1:35" ht="18.75" customHeight="1">
      <c r="A108" s="129"/>
      <c r="B108" s="129"/>
      <c r="C108" s="129"/>
      <c r="D108" s="129"/>
      <c r="E108" s="3651"/>
      <c r="F108" s="3641"/>
      <c r="G108" s="1827" t="s">
        <v>1434</v>
      </c>
      <c r="H108" s="2555">
        <f ca="1">IF(H107=H101,H102,ROUND(H107*10000/'数据-汇总表'!E3,0))</f>
        <v>0</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41"/>
      <c r="G109" s="1827" t="s">
        <v>1432</v>
      </c>
      <c r="H109" s="2598" t="str">
        <f>IF(E109="——","——",H101-H105-H106)</f>
        <v>——</v>
      </c>
      <c r="I109" s="129"/>
    </row>
    <row r="110" spans="1:35" ht="18.75" customHeight="1">
      <c r="A110" s="129"/>
      <c r="B110" s="129"/>
      <c r="C110" s="129"/>
      <c r="D110" s="129"/>
      <c r="E110" s="3651"/>
      <c r="F110" s="364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53"/>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56" t="s">
        <v>1440</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573" t="s">
        <v>1443</v>
      </c>
      <c r="B116" s="3645" t="s">
        <v>1444</v>
      </c>
      <c r="C116" s="3645" t="s">
        <v>1445</v>
      </c>
      <c r="D116" s="3647" t="s">
        <v>1446</v>
      </c>
      <c r="E116" s="3648"/>
      <c r="F116" s="3649" t="s">
        <v>1447</v>
      </c>
      <c r="G116" s="3649"/>
      <c r="H116" s="3573" t="s">
        <v>1448</v>
      </c>
      <c r="I116" s="3573"/>
    </row>
    <row r="117" spans="1:27" ht="18.75" customHeight="1">
      <c r="A117" s="3573"/>
      <c r="B117" s="3646"/>
      <c r="C117" s="3646"/>
      <c r="D117" s="3455" t="s">
        <v>1449</v>
      </c>
      <c r="E117" s="3455" t="s">
        <v>1450</v>
      </c>
      <c r="F117" s="3455" t="s">
        <v>1449</v>
      </c>
      <c r="G117" s="3455" t="s">
        <v>1451</v>
      </c>
      <c r="H117" s="3455" t="s">
        <v>1449</v>
      </c>
      <c r="I117" s="3455" t="s">
        <v>1451</v>
      </c>
    </row>
    <row r="118" spans="1:27" ht="24.75" customHeight="1">
      <c r="A118" s="2600" t="str">
        <f>项目基本情况!S2</f>
        <v>房地产</v>
      </c>
      <c r="B118" s="3455">
        <f>M18</f>
        <v>2209.09</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73" t="s">
        <v>1452</v>
      </c>
      <c r="B119" s="3573"/>
      <c r="C119" s="3573"/>
      <c r="D119" s="3660" t="e">
        <f ca="1">NUMBERSTRING(INT(D118*10000),2)&amp;"元整"</f>
        <v>#REF!</v>
      </c>
      <c r="E119" s="3662"/>
      <c r="F119" s="3660" t="e">
        <f ca="1">NUMBERSTRING(INT(F118*10000),2)&amp;"元整"</f>
        <v>#REF!</v>
      </c>
      <c r="G119" s="3662"/>
      <c r="H119" s="3660" t="e">
        <f ca="1">NUMBERSTRING(INT(H118*10000),2)&amp;"元整"</f>
        <v>#REF!</v>
      </c>
      <c r="I119" s="3662"/>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0" t="s">
        <v>1452</v>
      </c>
      <c r="B121" s="3661"/>
      <c r="C121" s="3662"/>
      <c r="D121" s="3660" t="str">
        <f>IF(D120=0,"零元整",NUMBERSTRING(INT(D120*10000),2)&amp;"元整")</f>
        <v>零元整</v>
      </c>
      <c r="E121" s="3661"/>
      <c r="F121" s="3661"/>
      <c r="G121" s="3661"/>
      <c r="H121" s="3661"/>
      <c r="I121" s="3662"/>
      <c r="AA121" s="725"/>
    </row>
    <row r="122" spans="1:27" ht="18.75" customHeight="1">
      <c r="A122" s="3653" t="str">
        <f>IF(项目基本情况!B9="房地产市场价值","",MID(E107,3,LEN(E107)-2))</f>
        <v>房地产抵押价值</v>
      </c>
      <c r="B122" s="3653"/>
      <c r="C122" s="3653"/>
      <c r="D122" s="3663" t="e">
        <f ca="1">H107</f>
        <v>#REF!</v>
      </c>
      <c r="E122" s="3664"/>
      <c r="F122" s="3664"/>
      <c r="G122" s="3664"/>
      <c r="H122" s="3664"/>
      <c r="I122" s="3665"/>
      <c r="AA122" s="725"/>
    </row>
    <row r="123" spans="1:27" ht="18.75" customHeight="1">
      <c r="A123" s="3573" t="s">
        <v>1452</v>
      </c>
      <c r="B123" s="3573"/>
      <c r="C123" s="3573"/>
      <c r="D123" s="3660" t="e">
        <f ca="1">NUMBERSTRING(INT(D122*10000),2)&amp;"元整"</f>
        <v>#REF!</v>
      </c>
      <c r="E123" s="3661"/>
      <c r="F123" s="3661"/>
      <c r="G123" s="3661"/>
      <c r="H123" s="3661"/>
      <c r="I123" s="3662"/>
      <c r="AA123" s="725"/>
    </row>
    <row r="124" spans="1:27" ht="18.75" customHeight="1">
      <c r="A124" s="3653" t="str">
        <f>IF(项目基本情况!B9="房地产市场价值","",MID(E109,3,LEN(E109)-2))</f>
        <v/>
      </c>
      <c r="B124" s="3653"/>
      <c r="C124" s="3653"/>
      <c r="D124" s="3663" t="str">
        <f>H109</f>
        <v>——</v>
      </c>
      <c r="E124" s="3664"/>
      <c r="F124" s="3664"/>
      <c r="G124" s="3664"/>
      <c r="H124" s="3664"/>
      <c r="I124" s="3665"/>
      <c r="AA124" s="725"/>
    </row>
    <row r="125" spans="1:27" ht="18.75" customHeight="1">
      <c r="A125" s="3573" t="s">
        <v>1452</v>
      </c>
      <c r="B125" s="3573"/>
      <c r="C125" s="3573"/>
      <c r="D125" s="3660" t="e">
        <f>NUMBERSTRING(INT(D124*10000),2)&amp;"元整"</f>
        <v>#VALUE!</v>
      </c>
      <c r="E125" s="3661"/>
      <c r="F125" s="3661"/>
      <c r="G125" s="3661"/>
      <c r="H125" s="3661"/>
      <c r="I125" s="3662"/>
      <c r="AA125" s="725"/>
    </row>
    <row r="126" spans="1:27" ht="18.75" customHeight="1">
      <c r="A126" s="3653" t="str">
        <f>IF(项目基本情况!B9="房地产市场价值","",MID(E111,3,LEN(E111)-2))</f>
        <v/>
      </c>
      <c r="B126" s="3653"/>
      <c r="C126" s="3653"/>
      <c r="D126" s="3663" t="str">
        <f>H111</f>
        <v>——</v>
      </c>
      <c r="E126" s="3664"/>
      <c r="F126" s="3664"/>
      <c r="G126" s="3664"/>
      <c r="H126" s="3664"/>
      <c r="I126" s="3665"/>
      <c r="AA126" s="725"/>
    </row>
    <row r="127" spans="1:27" ht="18.75" customHeight="1">
      <c r="A127" s="3573" t="s">
        <v>1452</v>
      </c>
      <c r="B127" s="3573"/>
      <c r="C127" s="3573"/>
      <c r="D127" s="3660" t="e">
        <f>NUMBERSTRING(INT(D126*10000),2)&amp;"元整"</f>
        <v>#VALUE!</v>
      </c>
      <c r="E127" s="3661"/>
      <c r="F127" s="3661"/>
      <c r="G127" s="3661"/>
      <c r="H127" s="3661"/>
      <c r="I127" s="3662"/>
      <c r="AA127" s="725"/>
    </row>
    <row r="128" spans="1:27" ht="21.75" customHeight="1">
      <c r="A128" s="3666" t="s">
        <v>1453</v>
      </c>
      <c r="B128" s="3666"/>
      <c r="C128" s="3666"/>
      <c r="D128" s="3666"/>
      <c r="E128" s="3666"/>
      <c r="F128" s="3666"/>
      <c r="G128" s="3666"/>
      <c r="H128" s="3666"/>
      <c r="I128" s="36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8" priority="10" stopIfTrue="1" operator="equal">
      <formula>25</formula>
    </cfRule>
  </conditionalFormatting>
  <conditionalFormatting sqref="C8:C9">
    <cfRule type="cellIs" dxfId="207" priority="9" stopIfTrue="1" operator="equal">
      <formula>15</formula>
    </cfRule>
  </conditionalFormatting>
  <conditionalFormatting sqref="C14:C16">
    <cfRule type="cellIs" dxfId="206" priority="8" stopIfTrue="1" operator="equal">
      <formula>30</formula>
    </cfRule>
  </conditionalFormatting>
  <conditionalFormatting sqref="D5:D7">
    <cfRule type="cellIs" dxfId="205" priority="7" stopIfTrue="1" operator="equal">
      <formula>25</formula>
    </cfRule>
  </conditionalFormatting>
  <conditionalFormatting sqref="D8:D9">
    <cfRule type="cellIs" dxfId="204" priority="6" stopIfTrue="1" operator="equal">
      <formula>15</formula>
    </cfRule>
  </conditionalFormatting>
  <conditionalFormatting sqref="C10:D13">
    <cfRule type="cellIs" dxfId="203" priority="5" stopIfTrue="1" operator="equal">
      <formula>15</formula>
    </cfRule>
  </conditionalFormatting>
  <conditionalFormatting sqref="D14:D16">
    <cfRule type="cellIs" dxfId="202" priority="4"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3" sqref="G23"/>
    </sheetView>
  </sheetViews>
  <sheetFormatPr defaultColWidth="12.625" defaultRowHeight="21.75" customHeight="1"/>
  <cols>
    <col min="1" max="2" width="12.625" style="1753"/>
    <col min="3" max="3" width="12.625" style="1753" customWidth="1"/>
    <col min="4" max="4" width="14.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房地产</v>
      </c>
      <c r="B2" s="3579"/>
      <c r="C2" s="3579"/>
      <c r="D2" s="3579"/>
      <c r="E2" s="3579"/>
      <c r="F2" s="3579"/>
      <c r="G2" s="3579"/>
      <c r="H2" s="3579"/>
      <c r="I2" s="3580"/>
    </row>
    <row r="3" spans="1:12" ht="12.75">
      <c r="A3" s="3581" t="s">
        <v>1264</v>
      </c>
      <c r="B3" s="3582"/>
      <c r="C3" s="3582"/>
      <c r="D3" s="3582"/>
      <c r="E3" s="3582"/>
      <c r="F3" s="3582"/>
      <c r="G3" s="3582"/>
      <c r="H3" s="3582"/>
      <c r="I3" s="3582"/>
    </row>
    <row r="4" spans="1:12" ht="14.25">
      <c r="A4" s="1754" t="s">
        <v>1265</v>
      </c>
      <c r="B4" s="1755" t="s">
        <v>1266</v>
      </c>
      <c r="C4" s="1756" t="s">
        <v>3436</v>
      </c>
      <c r="D4" s="1756" t="s">
        <v>3437</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74">
        <v>25</v>
      </c>
      <c r="C5" s="3575"/>
      <c r="D5" s="3577"/>
      <c r="E5" s="131" t="s">
        <v>1269</v>
      </c>
      <c r="F5" s="1757"/>
      <c r="G5" s="1757"/>
      <c r="H5" s="1757"/>
      <c r="I5" s="1373"/>
    </row>
    <row r="6" spans="1:12" ht="12.75">
      <c r="A6" s="3573"/>
      <c r="B6" s="3574"/>
      <c r="C6" s="3586"/>
      <c r="D6" s="3577"/>
      <c r="E6" s="131" t="s">
        <v>1270</v>
      </c>
      <c r="F6" s="1757"/>
      <c r="G6" s="1757"/>
      <c r="H6" s="1757"/>
      <c r="I6" s="1373"/>
    </row>
    <row r="7" spans="1:12" ht="12.75">
      <c r="A7" s="3573"/>
      <c r="B7" s="3574"/>
      <c r="C7" s="3576"/>
      <c r="D7" s="3577"/>
      <c r="E7" s="131" t="s">
        <v>1271</v>
      </c>
      <c r="F7" s="1757"/>
      <c r="G7" s="1757"/>
      <c r="H7" s="1757"/>
      <c r="I7" s="1373"/>
    </row>
    <row r="8" spans="1:12" ht="12.75">
      <c r="A8" s="3573" t="s">
        <v>1272</v>
      </c>
      <c r="B8" s="3574">
        <v>15</v>
      </c>
      <c r="C8" s="3575"/>
      <c r="D8" s="3577"/>
      <c r="E8" s="131" t="s">
        <v>1273</v>
      </c>
      <c r="F8" s="1757"/>
      <c r="G8" s="1757"/>
      <c r="H8" s="1757"/>
      <c r="I8" s="1373"/>
    </row>
    <row r="9" spans="1:12" ht="12.75">
      <c r="A9" s="3573"/>
      <c r="B9" s="3574"/>
      <c r="C9" s="3576"/>
      <c r="D9" s="3577"/>
      <c r="E9" s="131" t="s">
        <v>1274</v>
      </c>
      <c r="F9" s="1757"/>
      <c r="G9" s="1757"/>
      <c r="H9" s="1757"/>
      <c r="I9" s="1373"/>
    </row>
    <row r="10" spans="1:12" ht="12.75">
      <c r="A10" s="3573" t="s">
        <v>1275</v>
      </c>
      <c r="B10" s="3574">
        <v>15</v>
      </c>
      <c r="C10" s="3575"/>
      <c r="D10" s="3577"/>
      <c r="E10" s="131" t="s">
        <v>1276</v>
      </c>
      <c r="F10" s="1757"/>
      <c r="G10" s="1757"/>
      <c r="H10" s="1757"/>
      <c r="I10" s="1373"/>
    </row>
    <row r="11" spans="1:12" ht="12.75">
      <c r="A11" s="3573"/>
      <c r="B11" s="3574"/>
      <c r="C11" s="3576"/>
      <c r="D11" s="3577"/>
      <c r="E11" s="131" t="s">
        <v>1277</v>
      </c>
      <c r="F11" s="1757"/>
      <c r="G11" s="1757"/>
      <c r="H11" s="1757"/>
      <c r="I11" s="1373"/>
    </row>
    <row r="12" spans="1:12" ht="12.75">
      <c r="A12" s="3573" t="s">
        <v>1278</v>
      </c>
      <c r="B12" s="3574">
        <v>15</v>
      </c>
      <c r="C12" s="3575"/>
      <c r="D12" s="3577"/>
      <c r="E12" s="131" t="s">
        <v>1279</v>
      </c>
      <c r="F12" s="1757"/>
      <c r="G12" s="1757"/>
      <c r="H12" s="1757"/>
      <c r="I12" s="1373"/>
    </row>
    <row r="13" spans="1:12" ht="12.75">
      <c r="A13" s="3573"/>
      <c r="B13" s="3574"/>
      <c r="C13" s="3576"/>
      <c r="D13" s="3577"/>
      <c r="E13" s="131" t="s">
        <v>1280</v>
      </c>
      <c r="F13" s="1757"/>
      <c r="G13" s="1757"/>
      <c r="H13" s="1757"/>
      <c r="I13" s="1373"/>
    </row>
    <row r="14" spans="1:12" ht="12.75">
      <c r="A14" s="3573" t="s">
        <v>1281</v>
      </c>
      <c r="B14" s="3574">
        <v>30</v>
      </c>
      <c r="C14" s="3575">
        <v>4</v>
      </c>
      <c r="D14" s="3577">
        <v>6</v>
      </c>
      <c r="E14" s="131" t="s">
        <v>1282</v>
      </c>
      <c r="F14" s="1757"/>
      <c r="G14" s="1757"/>
      <c r="H14" s="1757"/>
      <c r="I14" s="1373"/>
    </row>
    <row r="15" spans="1:12" ht="12.75">
      <c r="A15" s="3573"/>
      <c r="B15" s="3574"/>
      <c r="C15" s="3586"/>
      <c r="D15" s="3577"/>
      <c r="E15" s="131" t="s">
        <v>1283</v>
      </c>
      <c r="F15" s="1757"/>
      <c r="G15" s="1757"/>
      <c r="H15" s="1757"/>
      <c r="I15" s="1373"/>
    </row>
    <row r="16" spans="1:12" ht="12.75">
      <c r="A16" s="3573"/>
      <c r="B16" s="3574"/>
      <c r="C16" s="3576"/>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7" t="s">
        <v>2130</v>
      </c>
      <c r="F18" s="3588"/>
      <c r="G18" s="3588"/>
      <c r="H18" s="3588"/>
      <c r="I18" s="3588"/>
      <c r="K18" s="302" t="s">
        <v>1289</v>
      </c>
      <c r="L18" s="302">
        <f>IF(C1="",'数据-汇总表'!E3,SUMIF(项目类型,C1,'数据-汇总表'!E17:E26)+SUMIF(项目类型,C1,'数据-汇总表'!I17:I26))</f>
        <v>2209.09</v>
      </c>
      <c r="M18" s="302">
        <f>IF(C1="",'数据-汇总表'!E3,SUMIF(项目类型,C1,'数据-汇总表'!E17:E26))</f>
        <v>2209.09</v>
      </c>
    </row>
    <row r="19" spans="1:36" ht="15">
      <c r="A19" s="1761" t="s">
        <v>1290</v>
      </c>
      <c r="B19" s="1762" t="s">
        <v>1291</v>
      </c>
      <c r="C19" s="134">
        <f ca="1">SUMIF(INDIRECT("'"&amp;C4&amp;"'"&amp;"!A:A"),结果表!B19,INDIRECT("'"&amp;C4&amp;"'"&amp;"!B:B"))</f>
        <v>12378</v>
      </c>
      <c r="D19" s="135">
        <f ca="1">SUMIF(INDIRECT("'"&amp;D4&amp;"'"&amp;"!A:A"),结果表!B19,INDIRECT("'"&amp;D4&amp;"'"&amp;"!B:B"))</f>
        <v>8804.6558999999997</v>
      </c>
      <c r="E19" s="1761" t="s">
        <v>1292</v>
      </c>
      <c r="F19" s="1762" t="s">
        <v>1291</v>
      </c>
      <c r="G19" s="136">
        <f ca="1">ROUND(C19*$C$18+D19*$D$18,0)</f>
        <v>10234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56032</v>
      </c>
      <c r="D20" s="138">
        <f ca="1">SUMIF(INDIRECT("'"&amp;D4&amp;"'"&amp;"!A:A"),结果表!B20,INDIRECT("'"&amp;D4&amp;"'"&amp;"!B:B"))</f>
        <v>39856</v>
      </c>
      <c r="E20" s="1764"/>
      <c r="F20" s="1026" t="s">
        <v>1295</v>
      </c>
      <c r="G20" s="139">
        <f ca="1">ROUND(C20*$C$18+D20*$D$18,0)</f>
        <v>46326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0.4058471041440701</v>
      </c>
      <c r="E22" s="129"/>
      <c r="F22" s="129"/>
      <c r="G22" s="129"/>
      <c r="H22" s="129"/>
      <c r="I22" s="129"/>
    </row>
    <row r="23" spans="1:36" ht="13.5" thickBot="1">
      <c r="A23" s="1747"/>
      <c r="B23" s="1747"/>
      <c r="C23" s="1747"/>
      <c r="D23" s="1747"/>
      <c r="E23" s="129"/>
      <c r="F23" s="129"/>
      <c r="G23" s="129"/>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46326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1" t="s">
        <v>1312</v>
      </c>
      <c r="B36" s="1787" t="s">
        <v>1313</v>
      </c>
      <c r="C36" s="145"/>
      <c r="D36" s="1788"/>
      <c r="E36" s="1789"/>
      <c r="F36" s="1790"/>
      <c r="G36" s="129"/>
      <c r="H36" s="129"/>
      <c r="I36" s="129"/>
    </row>
    <row r="37" spans="1:15" ht="15.75" thickBot="1">
      <c r="A37" s="3592"/>
      <c r="B37" s="1674" t="s">
        <v>1314</v>
      </c>
      <c r="C37" s="147"/>
      <c r="D37" s="1139"/>
      <c r="E37" s="1139"/>
      <c r="F37" s="1790"/>
      <c r="G37" s="129"/>
      <c r="H37" s="129"/>
      <c r="I37" s="129"/>
    </row>
    <row r="38" spans="1:15" ht="15.75" thickBot="1">
      <c r="A38" s="359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597" t="s">
        <v>1329</v>
      </c>
      <c r="K45" s="3597"/>
      <c r="L45" s="3597"/>
      <c r="M45" s="3597"/>
      <c r="N45" s="3597"/>
      <c r="O45" s="3597"/>
    </row>
    <row r="46" spans="1:15" ht="14.25" customHeight="1">
      <c r="A46" s="3598" t="s">
        <v>1330</v>
      </c>
      <c r="B46" s="3599"/>
      <c r="C46" s="3599"/>
      <c r="D46" s="3599"/>
      <c r="E46" s="3599"/>
      <c r="F46" s="3599"/>
      <c r="G46" s="3600"/>
      <c r="H46" s="1806"/>
      <c r="I46" s="159"/>
      <c r="J46" s="2523">
        <v>1</v>
      </c>
      <c r="K46" s="3601" t="s">
        <v>1331</v>
      </c>
      <c r="L46" s="3601"/>
      <c r="M46" s="3602"/>
      <c r="N46" s="3602"/>
      <c r="O46" s="3602"/>
    </row>
    <row r="47" spans="1:15" ht="12" customHeight="1">
      <c r="A47" s="160" t="s">
        <v>1332</v>
      </c>
      <c r="B47" s="161"/>
      <c r="C47" s="162"/>
      <c r="D47" s="1087" t="s">
        <v>1333</v>
      </c>
      <c r="E47" s="302" t="s">
        <v>1334</v>
      </c>
      <c r="F47" s="163" t="s">
        <v>1335</v>
      </c>
      <c r="G47" s="2546" t="s">
        <v>1336</v>
      </c>
      <c r="H47" s="2547"/>
      <c r="I47" s="159"/>
      <c r="J47" s="2523">
        <v>2</v>
      </c>
      <c r="K47" s="3601" t="s">
        <v>1337</v>
      </c>
      <c r="L47" s="3601"/>
      <c r="M47" s="3607">
        <f>'数据-取费表'!B2</f>
        <v>45379</v>
      </c>
      <c r="N47" s="3607"/>
      <c r="O47" s="3607"/>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1" t="s">
        <v>1340</v>
      </c>
      <c r="L48" s="3601"/>
      <c r="M48" s="3610" t="e">
        <f ca="1">H101</f>
        <v>#REF!</v>
      </c>
      <c r="N48" s="3610"/>
      <c r="O48" s="3610"/>
    </row>
    <row r="49" spans="1:35" ht="25.5" customHeight="1">
      <c r="A49" s="2333" t="s">
        <v>1341</v>
      </c>
      <c r="B49" s="3603" t="s">
        <v>1342</v>
      </c>
      <c r="C49" s="3603"/>
      <c r="D49" s="1590">
        <v>0</v>
      </c>
      <c r="E49" s="324" t="s">
        <v>1343</v>
      </c>
      <c r="F49" s="2424" t="s">
        <v>28</v>
      </c>
      <c r="G49" s="3611"/>
      <c r="H49" s="2310" t="s">
        <v>2133</v>
      </c>
      <c r="I49" s="2311"/>
      <c r="J49" s="2523">
        <v>4</v>
      </c>
      <c r="K49" s="3601" t="str">
        <f>IF(项目基本情况!E8="房地产抵押价值","房地产抵押价值","抵押担保权已注销时的房地产抵押价值")</f>
        <v>抵押担保权已注销时的房地产抵押价值</v>
      </c>
      <c r="L49" s="3601"/>
      <c r="M49" s="3610" t="str">
        <f>IF(项目基本情况!E8="房地产抵押价值",H107,H109)</f>
        <v>——</v>
      </c>
      <c r="N49" s="3610"/>
      <c r="O49" s="3610"/>
    </row>
    <row r="50" spans="1:35" ht="25.5" customHeight="1">
      <c r="A50" s="2551"/>
      <c r="B50" s="3603" t="s">
        <v>1344</v>
      </c>
      <c r="C50" s="3603"/>
      <c r="D50" s="2552"/>
      <c r="E50" s="332"/>
      <c r="F50" s="2424"/>
      <c r="G50" s="3612"/>
      <c r="H50" s="2312" t="s">
        <v>2134</v>
      </c>
      <c r="I50" s="2311"/>
      <c r="J50" s="3597" t="s">
        <v>1345</v>
      </c>
      <c r="K50" s="3597"/>
      <c r="L50" s="3597"/>
      <c r="M50" s="3597"/>
      <c r="N50" s="3597"/>
      <c r="O50" s="3597"/>
    </row>
    <row r="51" spans="1:35" ht="20.45" customHeight="1">
      <c r="A51" s="2553"/>
      <c r="B51" s="3603" t="s">
        <v>1346</v>
      </c>
      <c r="C51" s="3603"/>
      <c r="D51" s="1087"/>
      <c r="E51" s="327"/>
      <c r="F51" s="2424"/>
      <c r="G51" s="3613"/>
      <c r="H51" s="2312" t="s">
        <v>2135</v>
      </c>
      <c r="I51" s="2311"/>
      <c r="J51" s="2524" t="s">
        <v>1347</v>
      </c>
      <c r="K51" s="3601" t="s">
        <v>1348</v>
      </c>
      <c r="L51" s="3601"/>
      <c r="M51" s="2524" t="s">
        <v>1349</v>
      </c>
      <c r="N51" s="2524" t="s">
        <v>1350</v>
      </c>
      <c r="O51" s="2524" t="s">
        <v>1351</v>
      </c>
    </row>
    <row r="52" spans="1:35" ht="24" customHeight="1">
      <c r="A52" s="2335" t="s">
        <v>1352</v>
      </c>
      <c r="B52" s="3603" t="s">
        <v>1353</v>
      </c>
      <c r="C52" s="3603"/>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605" t="s">
        <v>2290</v>
      </c>
      <c r="C53" s="3606"/>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605" t="s">
        <v>2291</v>
      </c>
      <c r="C54" s="3606"/>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620" t="s">
        <v>1361</v>
      </c>
      <c r="B55" s="3609"/>
      <c r="C55" s="3609"/>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620" t="s">
        <v>1363</v>
      </c>
      <c r="B56" s="3609"/>
      <c r="C56" s="3609"/>
      <c r="D56" s="2324" t="e">
        <f ca="1">IF(H56="个人住宅",D57,D58)</f>
        <v>#REF!</v>
      </c>
      <c r="E56" s="2334" t="s">
        <v>1364</v>
      </c>
      <c r="F56" s="2554" t="str">
        <f>IF(H56="正常",F58,"免征")</f>
        <v>免征</v>
      </c>
      <c r="G56" s="2557" t="s">
        <v>1365</v>
      </c>
      <c r="H56" s="2558"/>
      <c r="I56" s="1808"/>
      <c r="J56" s="2523" t="str">
        <f>IF(项目基本情况!K6="上海银行",IF(J55="",4,J55+1),"")</f>
        <v/>
      </c>
      <c r="K56" s="3614" t="str">
        <f>IF(项目基本情况!K6="上海银行","其他处置费用","")</f>
        <v/>
      </c>
      <c r="L56" s="3621"/>
      <c r="M56" s="2525" t="str">
        <f>IF(项目基本情况!K6="上海银行",M69,"")</f>
        <v/>
      </c>
      <c r="N56" s="3614" t="str">
        <f>IF(项目基本情况!K6="上海银行","包含处置中涉及的律师、诉讼、拍卖、评估等费用","")</f>
        <v/>
      </c>
      <c r="O56" s="3615"/>
    </row>
    <row r="57" spans="1:35" ht="12.75">
      <c r="A57" s="2335" t="s">
        <v>1341</v>
      </c>
      <c r="B57" s="3605" t="s">
        <v>1366</v>
      </c>
      <c r="C57" s="360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605" t="s">
        <v>1369</v>
      </c>
      <c r="C58" s="3603"/>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8">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19"/>
      <c r="K60" s="3604"/>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2523">
        <f>J59+1</f>
        <v>7</v>
      </c>
      <c r="K61" s="3604" t="s">
        <v>1374</v>
      </c>
      <c r="L61" s="3604"/>
      <c r="M61" s="2540"/>
      <c r="N61" s="2541" t="e">
        <f ca="1">ROUND(N59*10000/'数据-汇总表'!E3,0)</f>
        <v>#VALUE!</v>
      </c>
      <c r="O61" s="2542"/>
    </row>
    <row r="62" spans="1:35" ht="12.75">
      <c r="A62" s="3628" t="s">
        <v>1375</v>
      </c>
      <c r="B62" s="362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3"/>
      <c r="G76" s="3603"/>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37"/>
      <c r="E100" s="3568" t="s">
        <v>1429</v>
      </c>
      <c r="F100" s="3568"/>
      <c r="G100" s="3568"/>
      <c r="H100" s="3637"/>
      <c r="I100" s="129"/>
    </row>
    <row r="101" spans="1:35" ht="18.75" customHeight="1">
      <c r="A101" s="3638" t="s">
        <v>1430</v>
      </c>
      <c r="B101" s="3639"/>
      <c r="C101" s="2585" t="str">
        <f>C4</f>
        <v>成本法</v>
      </c>
      <c r="D101" s="2586" t="str">
        <f>D4</f>
        <v>收益法（汇总）</v>
      </c>
      <c r="E101" s="3640" t="s">
        <v>1431</v>
      </c>
      <c r="F101" s="3641"/>
      <c r="G101" s="1827" t="s">
        <v>1432</v>
      </c>
      <c r="H101" s="2595" t="e">
        <f ca="1">H118</f>
        <v>#REF!</v>
      </c>
      <c r="I101" s="129"/>
    </row>
    <row r="102" spans="1:35" ht="18.75" customHeight="1">
      <c r="A102" s="3642" t="s">
        <v>1433</v>
      </c>
      <c r="B102" s="2584" t="s">
        <v>1432</v>
      </c>
      <c r="C102" s="2585">
        <f ca="1">IF(D32="楼面单价",ROUND(C19,0),C19)</f>
        <v>12378</v>
      </c>
      <c r="D102" s="2586">
        <f ca="1">IF(D32="楼面单价",ROUND(D19,0),D19)</f>
        <v>8804.6558999999997</v>
      </c>
      <c r="E102" s="3640"/>
      <c r="F102" s="3641"/>
      <c r="G102" s="1827" t="s">
        <v>1434</v>
      </c>
      <c r="H102" s="2555" t="e">
        <f ca="1">I118</f>
        <v>#REF!</v>
      </c>
      <c r="I102" s="129"/>
    </row>
    <row r="103" spans="1:35" ht="42.75" customHeight="1">
      <c r="A103" s="3642"/>
      <c r="B103" s="2584" t="s">
        <v>1434</v>
      </c>
      <c r="C103" s="2587">
        <f ca="1">C20</f>
        <v>56032</v>
      </c>
      <c r="D103" s="2588">
        <f ca="1">D20</f>
        <v>39856</v>
      </c>
      <c r="E103" s="3643" t="s">
        <v>1435</v>
      </c>
      <c r="F103" s="3644"/>
      <c r="G103" s="1828" t="s">
        <v>1436</v>
      </c>
      <c r="H103" s="2595">
        <f>IF(D36="正常操作",H104+H105+H106,H105+H106)</f>
        <v>0</v>
      </c>
      <c r="I103" s="129"/>
    </row>
    <row r="104" spans="1:35" ht="18.75" customHeight="1">
      <c r="A104" s="364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5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1" t="str">
        <f>IF(项目基本情况!E8="已注销","——","3.房地产抵押价值")</f>
        <v>3.房地产抵押价值</v>
      </c>
      <c r="F107" s="3641"/>
      <c r="G107" s="1827" t="s">
        <v>1432</v>
      </c>
      <c r="H107" s="2595" t="e">
        <f ca="1">IF(E107="——","——",H101-H103)</f>
        <v>#REF!</v>
      </c>
      <c r="I107" s="129"/>
    </row>
    <row r="108" spans="1:35" ht="18.75" customHeight="1">
      <c r="A108" s="129"/>
      <c r="B108" s="129"/>
      <c r="C108" s="129"/>
      <c r="D108" s="129"/>
      <c r="E108" s="3651"/>
      <c r="F108" s="3641"/>
      <c r="G108" s="1827" t="s">
        <v>1434</v>
      </c>
      <c r="H108" s="2555">
        <f ca="1">IF(H107=H101,H102,ROUND(H107*10000/'数据-汇总表'!E3,0))</f>
        <v>0</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41"/>
      <c r="G109" s="1827" t="s">
        <v>1432</v>
      </c>
      <c r="H109" s="2598" t="str">
        <f>IF(E109="——","——",H101-H105-H106)</f>
        <v>——</v>
      </c>
      <c r="I109" s="129"/>
    </row>
    <row r="110" spans="1:35" ht="18.75" customHeight="1">
      <c r="A110" s="129"/>
      <c r="B110" s="129"/>
      <c r="C110" s="129"/>
      <c r="D110" s="129"/>
      <c r="E110" s="3651"/>
      <c r="F110" s="364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53"/>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56" t="s">
        <v>1440</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573" t="s">
        <v>1443</v>
      </c>
      <c r="B116" s="3645" t="s">
        <v>1444</v>
      </c>
      <c r="C116" s="3645" t="s">
        <v>1445</v>
      </c>
      <c r="D116" s="3647" t="s">
        <v>1446</v>
      </c>
      <c r="E116" s="3648"/>
      <c r="F116" s="3649" t="s">
        <v>1447</v>
      </c>
      <c r="G116" s="3649"/>
      <c r="H116" s="3573" t="s">
        <v>1448</v>
      </c>
      <c r="I116" s="3573"/>
    </row>
    <row r="117" spans="1:27" ht="18.75" customHeight="1">
      <c r="A117" s="3573"/>
      <c r="B117" s="3646"/>
      <c r="C117" s="3646"/>
      <c r="D117" s="2329" t="s">
        <v>1449</v>
      </c>
      <c r="E117" s="2329" t="s">
        <v>1450</v>
      </c>
      <c r="F117" s="2329" t="s">
        <v>1449</v>
      </c>
      <c r="G117" s="2329" t="s">
        <v>1451</v>
      </c>
      <c r="H117" s="2329" t="s">
        <v>1449</v>
      </c>
      <c r="I117" s="2329" t="s">
        <v>1451</v>
      </c>
    </row>
    <row r="118" spans="1:27" ht="24.75" customHeight="1">
      <c r="A118" s="2600" t="str">
        <f>项目基本情况!S2</f>
        <v>房地产</v>
      </c>
      <c r="B118" s="2329">
        <f>M18</f>
        <v>2209.09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660" t="e">
        <f ca="1">NUMBERSTRING(INT(D118*10000),2)&amp;"元整"</f>
        <v>#REF!</v>
      </c>
      <c r="E119" s="3662"/>
      <c r="F119" s="3660" t="e">
        <f ca="1">NUMBERSTRING(INT(F118*10000),2)&amp;"元整"</f>
        <v>#REF!</v>
      </c>
      <c r="G119" s="3662"/>
      <c r="H119" s="3660" t="e">
        <f ca="1">NUMBERSTRING(INT(H118*10000),2)&amp;"元整"</f>
        <v>#REF!</v>
      </c>
      <c r="I119" s="3662"/>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0" t="s">
        <v>1452</v>
      </c>
      <c r="B121" s="3661"/>
      <c r="C121" s="3662"/>
      <c r="D121" s="3660" t="str">
        <f>IF(D120=0,"零元整",NUMBERSTRING(INT(D120*10000),2)&amp;"元整")</f>
        <v>零元整</v>
      </c>
      <c r="E121" s="3661"/>
      <c r="F121" s="3661"/>
      <c r="G121" s="3661"/>
      <c r="H121" s="3661"/>
      <c r="I121" s="3662"/>
      <c r="AA121" s="725"/>
    </row>
    <row r="122" spans="1:27" ht="18.75" customHeight="1">
      <c r="A122" s="3653" t="str">
        <f>IF(项目基本情况!B9="房地产市场价值","",MID(E107,3,LEN(E107)-2))</f>
        <v>房地产抵押价值</v>
      </c>
      <c r="B122" s="3653"/>
      <c r="C122" s="3653"/>
      <c r="D122" s="3663" t="e">
        <f ca="1">H107</f>
        <v>#REF!</v>
      </c>
      <c r="E122" s="3664"/>
      <c r="F122" s="3664"/>
      <c r="G122" s="3664"/>
      <c r="H122" s="3664"/>
      <c r="I122" s="3665"/>
      <c r="AA122" s="725"/>
    </row>
    <row r="123" spans="1:27" ht="18.75" customHeight="1">
      <c r="A123" s="3573" t="s">
        <v>1452</v>
      </c>
      <c r="B123" s="3573"/>
      <c r="C123" s="3573"/>
      <c r="D123" s="3660" t="e">
        <f ca="1">NUMBERSTRING(INT(D122*10000),2)&amp;"元整"</f>
        <v>#REF!</v>
      </c>
      <c r="E123" s="3661"/>
      <c r="F123" s="3661"/>
      <c r="G123" s="3661"/>
      <c r="H123" s="3661"/>
      <c r="I123" s="3662"/>
      <c r="AA123" s="725"/>
    </row>
    <row r="124" spans="1:27" ht="18.75" customHeight="1">
      <c r="A124" s="3653" t="str">
        <f>IF(项目基本情况!B9="房地产市场价值","",MID(E109,3,LEN(E109)-2))</f>
        <v/>
      </c>
      <c r="B124" s="3653"/>
      <c r="C124" s="3653"/>
      <c r="D124" s="3663" t="str">
        <f>H109</f>
        <v>——</v>
      </c>
      <c r="E124" s="3664"/>
      <c r="F124" s="3664"/>
      <c r="G124" s="3664"/>
      <c r="H124" s="3664"/>
      <c r="I124" s="3665"/>
      <c r="AA124" s="725"/>
    </row>
    <row r="125" spans="1:27" ht="18.75" customHeight="1">
      <c r="A125" s="3573" t="s">
        <v>1452</v>
      </c>
      <c r="B125" s="3573"/>
      <c r="C125" s="3573"/>
      <c r="D125" s="3660" t="e">
        <f>NUMBERSTRING(INT(D124*10000),2)&amp;"元整"</f>
        <v>#VALUE!</v>
      </c>
      <c r="E125" s="3661"/>
      <c r="F125" s="3661"/>
      <c r="G125" s="3661"/>
      <c r="H125" s="3661"/>
      <c r="I125" s="3662"/>
      <c r="AA125" s="725"/>
    </row>
    <row r="126" spans="1:27" ht="18.75" customHeight="1">
      <c r="A126" s="3653" t="str">
        <f>IF(项目基本情况!B9="房地产市场价值","",MID(E111,3,LEN(E111)-2))</f>
        <v/>
      </c>
      <c r="B126" s="3653"/>
      <c r="C126" s="3653"/>
      <c r="D126" s="3663" t="str">
        <f>H111</f>
        <v>——</v>
      </c>
      <c r="E126" s="3664"/>
      <c r="F126" s="3664"/>
      <c r="G126" s="3664"/>
      <c r="H126" s="3664"/>
      <c r="I126" s="3665"/>
      <c r="AA126" s="725"/>
    </row>
    <row r="127" spans="1:27" ht="18.75" customHeight="1">
      <c r="A127" s="3573" t="s">
        <v>1452</v>
      </c>
      <c r="B127" s="3573"/>
      <c r="C127" s="3573"/>
      <c r="D127" s="3660" t="e">
        <f>NUMBERSTRING(INT(D126*10000),2)&amp;"元整"</f>
        <v>#VALUE!</v>
      </c>
      <c r="E127" s="3661"/>
      <c r="F127" s="3661"/>
      <c r="G127" s="3661"/>
      <c r="H127" s="3661"/>
      <c r="I127" s="3662"/>
      <c r="AA127" s="725"/>
    </row>
    <row r="128" spans="1:27" ht="21.75" customHeight="1">
      <c r="A128" s="3666" t="s">
        <v>1453</v>
      </c>
      <c r="B128" s="3666"/>
      <c r="C128" s="3666"/>
      <c r="D128" s="3666"/>
      <c r="E128" s="3666"/>
      <c r="F128" s="3666"/>
      <c r="G128" s="3666"/>
      <c r="H128" s="3666"/>
      <c r="I128" s="36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3337</v>
      </c>
      <c r="C1" s="198"/>
      <c r="D1" s="198"/>
      <c r="E1" s="198"/>
      <c r="F1" s="198"/>
      <c r="G1" s="1126">
        <f>MATCH(B1,'数据-取费表'!A6:A16,0)+5</f>
        <v>9</v>
      </c>
    </row>
    <row r="2" spans="1:9" s="200" customFormat="1" ht="18" customHeight="1">
      <c r="A2" s="201" t="s">
        <v>685</v>
      </c>
      <c r="B2" s="202">
        <f ca="1">IF(D2="——",C52,C52-E2)</f>
        <v>114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15800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63</v>
      </c>
      <c r="D5" s="211" t="s">
        <v>1469</v>
      </c>
      <c r="E5" s="212" t="s">
        <v>1470</v>
      </c>
      <c r="F5" s="212" t="s">
        <v>1471</v>
      </c>
      <c r="G5" s="213"/>
    </row>
    <row r="6" spans="1:9" s="214" customFormat="1" ht="13.5" customHeight="1">
      <c r="A6" s="778" t="s">
        <v>1472</v>
      </c>
      <c r="B6" s="215" t="s">
        <v>1473</v>
      </c>
      <c r="C6" s="216">
        <f>'基准地价修正(车库仓储)'!E41</f>
        <v>60</v>
      </c>
      <c r="D6" s="217"/>
      <c r="E6" s="218"/>
      <c r="F6" s="218"/>
      <c r="G6" s="219"/>
    </row>
    <row r="7" spans="1:9" s="214" customFormat="1" ht="13.5" customHeight="1">
      <c r="A7" s="778" t="s">
        <v>1474</v>
      </c>
      <c r="B7" s="215" t="s">
        <v>1475</v>
      </c>
      <c r="C7" s="220">
        <f>ROUND(C6*F7,0)</f>
        <v>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72.150000000000006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72.150000000000006</v>
      </c>
      <c r="E19" s="211">
        <f>'数据-取费表'!B31</f>
        <v>200</v>
      </c>
      <c r="F19" s="231"/>
      <c r="G19" s="1856" t="s">
        <v>3422</v>
      </c>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1472</v>
      </c>
      <c r="B23" s="215" t="s">
        <v>1503</v>
      </c>
      <c r="C23" s="1105">
        <f ca="1">ROUND(IF('数据-取费表'!B22&lt;=1,C5*F22*'数据-取费表'!B23,C5*(POWER((1+F22),'数据-取费表'!B23)-1)),0)</f>
        <v>4</v>
      </c>
      <c r="D23" s="238"/>
      <c r="E23" s="238"/>
      <c r="F23" s="239"/>
      <c r="G23" s="240" t="s">
        <v>1504</v>
      </c>
    </row>
    <row r="24" spans="1:7" s="214" customFormat="1" ht="13.5" customHeight="1">
      <c r="A24" s="780" t="s">
        <v>1474</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72.150000000000006</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1491</v>
      </c>
      <c r="B39" s="210" t="s">
        <v>1494</v>
      </c>
      <c r="C39" s="232">
        <f ca="1">ROUND(C33*F20,0)</f>
        <v>1</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v>
      </c>
      <c r="D42" s="238"/>
      <c r="E42" s="238"/>
      <c r="F42" s="239"/>
      <c r="G42" s="3667" t="s">
        <v>1544</v>
      </c>
    </row>
    <row r="43" spans="1:7" ht="13.5" customHeight="1">
      <c r="A43" s="780" t="s">
        <v>347</v>
      </c>
      <c r="B43" s="215" t="s">
        <v>1506</v>
      </c>
      <c r="C43" s="238">
        <f ca="1">ROUND(IF('数据-取费表'!B22&lt;=1,C39*F22*'数据-取费表'!B21/2,C39*(POWER((1+F22),'数据-取费表'!B21/2)-1)),0)</f>
        <v>0</v>
      </c>
      <c r="D43" s="238"/>
      <c r="E43" s="238"/>
      <c r="F43" s="239"/>
      <c r="G43" s="3668"/>
    </row>
    <row r="44" spans="1:7" ht="13.5" customHeight="1">
      <c r="A44" s="780" t="s">
        <v>348</v>
      </c>
      <c r="B44" s="215" t="s">
        <v>1509</v>
      </c>
      <c r="C44" s="238">
        <f ca="1">ROUND(IF('数据-取费表'!B22&lt;=1,C40*F22*'数据-取费表'!B21/2,C40*(POWER((1+F22),'数据-取费表'!B21/2)-1)),4)</f>
        <v>6.9999999999999999E-4</v>
      </c>
      <c r="D44" s="238"/>
      <c r="E44" s="238"/>
      <c r="F44" s="239"/>
      <c r="G44" s="3669"/>
    </row>
    <row r="45" spans="1:7" s="214" customFormat="1" ht="13.5" customHeight="1">
      <c r="A45" s="255" t="s">
        <v>1500</v>
      </c>
      <c r="B45" s="244" t="s">
        <v>1513</v>
      </c>
      <c r="C45" s="245">
        <f ca="1">C46</f>
        <v>4</v>
      </c>
      <c r="D45" s="235">
        <f ca="1">C47</f>
        <v>2E-3</v>
      </c>
      <c r="E45" s="236" t="s">
        <v>1539</v>
      </c>
      <c r="F45" s="246">
        <f ca="1">F27</f>
        <v>0.1</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114</v>
      </c>
      <c r="D52" s="266"/>
      <c r="E52" s="266"/>
      <c r="F52" s="266"/>
      <c r="G52" s="268"/>
    </row>
    <row r="55" spans="1:7" ht="15">
      <c r="B55" s="270" t="s">
        <v>1562</v>
      </c>
      <c r="C55" s="271"/>
    </row>
    <row r="56" spans="1:7">
      <c r="B56" s="273" t="s">
        <v>802</v>
      </c>
      <c r="C56" s="275">
        <f ca="1">1-C57</f>
        <v>0.70199999999999996</v>
      </c>
    </row>
    <row r="57" spans="1:7">
      <c r="B57" s="273" t="s">
        <v>803</v>
      </c>
      <c r="C57" s="274">
        <f ca="1">ROUND(C51/C52,3)</f>
        <v>0.29799999999999999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10</v>
      </c>
    </row>
    <row r="2" spans="1:9" s="200" customFormat="1" ht="18" customHeight="1">
      <c r="A2" s="201" t="s">
        <v>1462</v>
      </c>
      <c r="B2" s="202">
        <f ca="1">IF(D2="——",C52,C52-E2)</f>
        <v>12378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56032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8375</v>
      </c>
      <c r="D5" s="211" t="s">
        <v>1469</v>
      </c>
      <c r="E5" s="212" t="s">
        <v>1470</v>
      </c>
      <c r="F5" s="212" t="s">
        <v>1471</v>
      </c>
      <c r="G5" s="213"/>
    </row>
    <row r="6" spans="1:9" s="214" customFormat="1" ht="13.5" customHeight="1">
      <c r="A6" s="778" t="s">
        <v>1472</v>
      </c>
      <c r="B6" s="215" t="s">
        <v>1473</v>
      </c>
      <c r="C6" s="216">
        <f ca="1">'基准地价（汇总）'!B2</f>
        <v>8084</v>
      </c>
      <c r="D6" s="217"/>
      <c r="E6" s="218"/>
      <c r="F6" s="218"/>
      <c r="G6" s="219"/>
    </row>
    <row r="7" spans="1:9" s="214" customFormat="1" ht="13.5" customHeight="1">
      <c r="A7" s="778" t="s">
        <v>1474</v>
      </c>
      <c r="B7" s="215" t="s">
        <v>1475</v>
      </c>
      <c r="C7" s="220">
        <f ca="1">ROUND(C6*F7,0)</f>
        <v>247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44</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44</v>
      </c>
      <c r="D10" s="845">
        <f ca="1">IF(B1="",'数据-汇总表'!E6,IF(INDIRECT("'数据-取费表'!c"&amp;$G$1)="住宅",INDIRECT("'数据-取费表'!s"&amp;$G$1),INDIRECT("'数据-取费表'!k"&amp;$G$1)+INDIRECT("'数据-取费表'!s"&amp;$G$1)))</f>
        <v>2209.09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2209.09</v>
      </c>
      <c r="E19" s="211">
        <f>'数据-取费表'!B31</f>
        <v>200</v>
      </c>
      <c r="F19" s="231"/>
      <c r="G19" s="1856" t="s">
        <v>3422</v>
      </c>
    </row>
    <row r="20" spans="1:7" s="214" customFormat="1" ht="13.5" customHeight="1">
      <c r="A20" s="255" t="s">
        <v>1493</v>
      </c>
      <c r="B20" s="210" t="s">
        <v>1494</v>
      </c>
      <c r="C20" s="232">
        <f ca="1">ROUND((C5+C19)*F20,0)</f>
        <v>168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594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588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1281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994</v>
      </c>
      <c r="D34" s="217"/>
      <c r="E34" s="220"/>
      <c r="F34" s="257">
        <f ca="1">IF('数据-取费表'!B24=0,1,IF(B1="",'数据-取费表'!N16,INDIRECT("'数据-取费表'!n"&amp;$G$1)))</f>
        <v>1</v>
      </c>
      <c r="G34" s="219" t="s">
        <v>1526</v>
      </c>
    </row>
    <row r="35" spans="1:7" ht="13.5" customHeight="1">
      <c r="A35" s="780" t="s">
        <v>351</v>
      </c>
      <c r="B35" s="215" t="s">
        <v>1527</v>
      </c>
      <c r="C35" s="220">
        <f ca="1">ROUND(C34*F35,0)</f>
        <v>30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44</v>
      </c>
      <c r="D37" s="217">
        <f ca="1">D19</f>
        <v>2209.09</v>
      </c>
      <c r="E37" s="249">
        <f>'数据-取费表'!B35</f>
        <v>200</v>
      </c>
      <c r="F37" s="259"/>
      <c r="G37" s="261" t="s">
        <v>1532</v>
      </c>
    </row>
    <row r="38" spans="1:7" ht="13.5" customHeight="1">
      <c r="A38" s="780"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38</v>
      </c>
      <c r="D42" s="238"/>
      <c r="E42" s="238"/>
      <c r="F42" s="239"/>
      <c r="G42" s="3667" t="s">
        <v>1544</v>
      </c>
    </row>
    <row r="43" spans="1:7" ht="13.5" customHeight="1">
      <c r="A43" s="780" t="s">
        <v>347</v>
      </c>
      <c r="B43" s="215" t="s">
        <v>1545</v>
      </c>
      <c r="C43" s="238">
        <f ca="1">ROUND(IF('数据-取费表'!B22&lt;=1,C39*F22*'数据-取费表'!B21/2,C39*(POWER((1+F22),'数据-取费表'!B21/2)-1)),0)</f>
        <v>1</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167</v>
      </c>
      <c r="D45" s="235">
        <f ca="1">C47</f>
        <v>3.0000000000000001E-3</v>
      </c>
      <c r="E45" s="236" t="s">
        <v>1539</v>
      </c>
      <c r="F45" s="246">
        <f ca="1">F27</f>
        <v>0.15</v>
      </c>
      <c r="G45" s="247" t="s">
        <v>1548</v>
      </c>
    </row>
    <row r="46" spans="1:7" s="214" customFormat="1" ht="13.5" customHeight="1">
      <c r="A46" s="780" t="s">
        <v>346</v>
      </c>
      <c r="B46" s="248" t="s">
        <v>1549</v>
      </c>
      <c r="C46" s="249">
        <f ca="1">ROUND((C33+C39)*F27,0)</f>
        <v>167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1426</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1091</v>
      </c>
      <c r="D51" s="232"/>
      <c r="E51" s="232"/>
      <c r="F51" s="264"/>
      <c r="G51" s="234" t="s">
        <v>1560</v>
      </c>
    </row>
    <row r="52" spans="1:7" s="208" customFormat="1" ht="16.5" thickBot="1">
      <c r="A52" s="265" t="s">
        <v>1561</v>
      </c>
      <c r="B52" s="266"/>
      <c r="C52" s="267">
        <f ca="1">C31+C51</f>
        <v>12378</v>
      </c>
      <c r="D52" s="266"/>
      <c r="E52" s="266"/>
      <c r="F52" s="266"/>
      <c r="G52" s="268"/>
    </row>
    <row r="55" spans="1:7" ht="15">
      <c r="B55" s="270" t="s">
        <v>1562</v>
      </c>
      <c r="C55" s="271"/>
    </row>
    <row r="56" spans="1:7">
      <c r="B56" s="273" t="s">
        <v>802</v>
      </c>
      <c r="C56" s="275">
        <f ca="1">1-C57</f>
        <v>0.91200000000000003</v>
      </c>
    </row>
    <row r="57" spans="1:7">
      <c r="B57" s="273" t="s">
        <v>803</v>
      </c>
      <c r="C57" s="274">
        <f ca="1">ROUND(C51/C52,3)</f>
        <v>8.7999999999999995E-2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10</v>
      </c>
      <c r="H1" s="1061" t="str">
        <f>IF(ISERROR(FIND("住宅",B1)),"非住宅","住宅")</f>
        <v>非住宅</v>
      </c>
    </row>
    <row r="2" spans="1:8" s="200" customFormat="1" ht="18" customHeight="1">
      <c r="A2" s="201" t="s">
        <v>1462</v>
      </c>
      <c r="B2" s="3424">
        <f ca="1">ROUND(IF(D2="——",C52/10000,C52/10000-E2),4)</f>
        <v>1208.5513000000001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441818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441818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441818</v>
      </c>
      <c r="D10" s="845">
        <f ca="1">IF(B1="",'数据-汇总表'!E6,IF(INDIRECT("'数据-取费表'!c"&amp;$G$1)="住宅",INDIRECT("'数据-取费表'!s"&amp;$G$1),INDIRECT("'数据-取费表'!k"&amp;$G$1)+INDIRECT("'数据-取费表'!s"&amp;$G$1)))</f>
        <v>2209.09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441818</v>
      </c>
      <c r="D19" s="849">
        <f ca="1">D9+D10</f>
        <v>2209.09</v>
      </c>
      <c r="E19" s="211">
        <f>'数据-取费表'!B31</f>
        <v>200</v>
      </c>
      <c r="F19" s="231"/>
      <c r="G19" s="1856"/>
    </row>
    <row r="20" spans="1:7" s="214" customFormat="1" ht="13.5" customHeight="1">
      <c r="A20" s="255" t="s">
        <v>1574</v>
      </c>
      <c r="B20" s="210" t="s">
        <v>1575</v>
      </c>
      <c r="C20" s="232">
        <f ca="1">ROUND((C5+C19)*F20,0)</f>
        <v>17673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62632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31011</v>
      </c>
      <c r="D24" s="238"/>
      <c r="E24" s="238"/>
      <c r="F24" s="239"/>
      <c r="G24" s="240" t="s">
        <v>1586</v>
      </c>
    </row>
    <row r="25" spans="1:7" s="214" customFormat="1" ht="24">
      <c r="A25" s="780" t="s">
        <v>1476</v>
      </c>
      <c r="B25" s="215" t="s">
        <v>1587</v>
      </c>
      <c r="C25" s="1128">
        <f ca="1">ROUND(IF('数据-取费表'!B22&lt;=1,C20*F22*'数据-取费表'!B22/2,C20*(POWER((1+F22),'数据-取费表'!B22/2)-1)),0)</f>
        <v>610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135196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135196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1190831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10879768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9940905</v>
      </c>
      <c r="D34" s="217"/>
      <c r="E34" s="220"/>
      <c r="F34" s="257"/>
      <c r="G34" s="219"/>
    </row>
    <row r="35" spans="1:7" ht="13.5" customHeight="1">
      <c r="A35" s="780" t="s">
        <v>351</v>
      </c>
      <c r="B35" s="215" t="s">
        <v>1527</v>
      </c>
      <c r="C35" s="220">
        <f ca="1">ROUND(C34*F35,0)</f>
        <v>298227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441818</v>
      </c>
      <c r="D37" s="217">
        <f ca="1">D19</f>
        <v>2209.09</v>
      </c>
      <c r="E37" s="249">
        <f>'数据-取费表'!B35</f>
        <v>200</v>
      </c>
      <c r="F37" s="259"/>
      <c r="G37" s="261"/>
    </row>
    <row r="38" spans="1:7" ht="13.5" customHeight="1">
      <c r="A38" s="780" t="s">
        <v>354</v>
      </c>
      <c r="B38" s="215" t="s">
        <v>1533</v>
      </c>
      <c r="C38" s="220">
        <f ca="1">ROUND(C34*F38,0)</f>
        <v>198818</v>
      </c>
      <c r="D38" s="220"/>
      <c r="E38" s="220"/>
      <c r="F38" s="259">
        <f>'数据-取费表'!B36</f>
        <v>0.02</v>
      </c>
      <c r="G38" s="219" t="s">
        <v>1528</v>
      </c>
    </row>
    <row r="39" spans="1:7" s="214" customFormat="1" ht="13.5" customHeight="1">
      <c r="A39" s="255" t="s">
        <v>1534</v>
      </c>
      <c r="B39" s="210" t="s">
        <v>1535</v>
      </c>
      <c r="C39" s="232">
        <f ca="1">ROUND(C33*F20,0)</f>
        <v>217595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382859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375352</v>
      </c>
      <c r="D42" s="238"/>
      <c r="E42" s="238"/>
      <c r="F42" s="239"/>
      <c r="G42" s="3667" t="s">
        <v>1591</v>
      </c>
    </row>
    <row r="43" spans="1:7" ht="13.5" customHeight="1">
      <c r="A43" s="780" t="s">
        <v>347</v>
      </c>
      <c r="B43" s="215" t="s">
        <v>1545</v>
      </c>
      <c r="C43" s="238">
        <f ca="1">ROUND(IF('数据-取费表'!B22&lt;=1,C39*F22*'数据-取费表'!B20/2,C39*(POWER((1+F22),'数据-取费表'!B20/2)-1)),0)</f>
        <v>7507</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1664604</v>
      </c>
      <c r="D45" s="235">
        <f ca="1">C47</f>
        <v>3.0000000000000001E-3</v>
      </c>
      <c r="E45" s="236" t="s">
        <v>1539</v>
      </c>
      <c r="F45" s="246">
        <f ca="1">F27</f>
        <v>0.15</v>
      </c>
      <c r="G45" s="247" t="s">
        <v>1548</v>
      </c>
    </row>
    <row r="46" spans="1:7" s="214" customFormat="1" ht="13.5" customHeight="1">
      <c r="A46" s="780" t="s">
        <v>346</v>
      </c>
      <c r="B46" s="248" t="s">
        <v>1549</v>
      </c>
      <c r="C46" s="249">
        <f ca="1">ROUND((C33+C39)*F27,0)</f>
        <v>1664604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14241415</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10894682</v>
      </c>
      <c r="D51" s="232"/>
      <c r="E51" s="232"/>
      <c r="F51" s="264"/>
      <c r="G51" s="234" t="s">
        <v>1560</v>
      </c>
    </row>
    <row r="52" spans="1:7" s="208" customFormat="1" ht="16.5" thickBot="1">
      <c r="A52" s="265" t="s">
        <v>1561</v>
      </c>
      <c r="B52" s="266"/>
      <c r="C52" s="267">
        <f ca="1">C31+C51</f>
        <v>12085513</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9" sqref="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92.44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260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Ⅱ—16</v>
      </c>
      <c r="J2" s="2002"/>
      <c r="K2" s="1119"/>
      <c r="L2" s="2003" t="s">
        <v>1939</v>
      </c>
      <c r="M2" s="864">
        <f>SUMPRODUCT((区片价!B10:B29=I2)*(区片价!C3:G3=E2)*(区片价!C10:G29))</f>
        <v>29640</v>
      </c>
      <c r="N2" s="866">
        <f>SUMPRODUCT((因素修正幅度!B10:B29=I2)*(因素修正幅度!C3:G3=E2)*(因素修正幅度!C10:G29))</f>
        <v>9.6000000000000002E-2</v>
      </c>
      <c r="O2" s="1119"/>
      <c r="P2" s="1119"/>
      <c r="Q2" s="1119"/>
      <c r="R2" s="1212">
        <v>1</v>
      </c>
      <c r="S2" s="3361">
        <f>ROUND(SUMPRODUCT((B106:B110=R2)*(C105:N105=G2)*(C106:N110)),4)</f>
        <v>1.5206</v>
      </c>
      <c r="T2" s="3361">
        <f t="shared" ref="T2:T16" si="0">ROUND($C$5*$C$22*$C$23*$C$24*S2*$C$28,0)</f>
        <v>42747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28126</v>
      </c>
      <c r="C3" s="1999" t="s">
        <v>1941</v>
      </c>
      <c r="D3" s="2000" t="s">
        <v>1942</v>
      </c>
      <c r="E3" s="3420" t="s">
        <v>3403</v>
      </c>
      <c r="F3" s="2004" t="s">
        <v>3404</v>
      </c>
      <c r="G3" s="752">
        <f>IF(F3="宗地容积率",'数据-汇总表'!I4,IF(F3="估价对象容积率",'数据-汇总表'!I6,'数据-汇总表'!I7))</f>
        <v>3.48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33937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7"/>
      <c r="B4" s="3678"/>
      <c r="C4" s="3678"/>
      <c r="D4" s="3679"/>
      <c r="E4" s="3679"/>
      <c r="F4" s="3679"/>
      <c r="G4" s="3679"/>
      <c r="H4" s="3679"/>
      <c r="I4" s="3679"/>
      <c r="J4" s="36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29324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29640</v>
      </c>
      <c r="D5" s="1339">
        <f>ROUND(C6*C17+C20,0)</f>
        <v>29640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26535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29640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25290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3.48</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1960</v>
      </c>
      <c r="X8" s="36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1" t="s">
        <v>3257</v>
      </c>
      <c r="B20" s="167" t="s">
        <v>1994</v>
      </c>
      <c r="C20" s="3325">
        <f>ROUND(IF(F21="与级别开发程度一致",0,(G21-E21)/C21),0)</f>
        <v>0</v>
      </c>
      <c r="D20" s="3341" t="s">
        <v>1998</v>
      </c>
      <c r="E20" s="3342"/>
      <c r="F20" s="3687" t="s">
        <v>1995</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2"/>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45379</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0.88029999999999997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32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1.0007999999999999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1.0007999999999999</v>
      </c>
      <c r="E26" s="752">
        <f>ROUNDDOWN(G3,1)</f>
        <v>3.4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1.004</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260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28135</v>
      </c>
      <c r="D33" s="2098">
        <f>'数据-汇总表'!F20</f>
        <v>92.44</v>
      </c>
      <c r="E33" s="773">
        <f>ROUND(C33*D33/10000,0)</f>
        <v>260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7034</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5"/>
      <c r="B37" s="2113" t="s">
        <v>2036</v>
      </c>
      <c r="C37" s="175">
        <f>ROUND(D5*C22*C23*C24*C28*F37,0)</f>
        <v>19678</v>
      </c>
      <c r="D37" s="2098"/>
      <c r="E37" s="171">
        <f>ROUND(C37*D37/10000,0)</f>
        <v>0</v>
      </c>
      <c r="F37" s="171">
        <f>SUMIF(修正!A57:A68,G2,修正!B57:B68)</f>
        <v>0.7</v>
      </c>
      <c r="G37" s="171">
        <f>ROUND(IF(E2="工业",C37*$M$42,C37*$M$41),0)</f>
        <v>4920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2037</v>
      </c>
      <c r="C38" s="175">
        <f>ROUND(D5*C22*C23*C24*C28*F38,0)</f>
        <v>11245</v>
      </c>
      <c r="D38" s="2098"/>
      <c r="E38" s="171">
        <f t="shared" ref="E38:E42" si="4">ROUND(C38*D38/10000,0)</f>
        <v>0</v>
      </c>
      <c r="F38" s="171">
        <f>SUMIF(修正!A57:A68,G2,修正!C57:C68)</f>
        <v>0.4</v>
      </c>
      <c r="G38" s="171">
        <f>ROUND(IF(E2="工业",C38*$M$42,C38*$M$41),0)</f>
        <v>2811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6"/>
      <c r="B39" s="2041" t="s">
        <v>3262</v>
      </c>
      <c r="C39" s="175">
        <f>ROUND(D5*C22*C23*C24*C28*F39,0)</f>
        <v>8434</v>
      </c>
      <c r="D39" s="2098"/>
      <c r="E39" s="171">
        <f t="shared" si="4"/>
        <v>0</v>
      </c>
      <c r="F39" s="171">
        <f>SUMIF(修正!A57:A68,G2,修正!D57:D68)</f>
        <v>0.3</v>
      </c>
      <c r="G39" s="171">
        <f>ROUND(IF(E2="工业",C39*$M$42,C39*$M$41),0)</f>
        <v>2109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8434</v>
      </c>
      <c r="D40" s="2098"/>
      <c r="E40" s="171">
        <f t="shared" si="4"/>
        <v>0</v>
      </c>
      <c r="F40" s="175">
        <f>SUMIF(修正!A57:A68,G2,修正!E57:E68)</f>
        <v>0.3</v>
      </c>
      <c r="G40" s="171">
        <f>ROUND(IF(E2="工业",C40*$M$42,C40*$M$41),0)</f>
        <v>2109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1.2E-2</v>
      </c>
      <c r="E61" s="744">
        <f>ROUND(SUM(D61:D69),4)</f>
        <v>4.9500000000000002E-2</v>
      </c>
      <c r="F61" s="1814">
        <f>IF(E2="办公",SUMIF(L1:L12,G2,N1:N12),"——")</f>
        <v>9.6000000000000002E-2</v>
      </c>
      <c r="G61" s="1063">
        <f>H61</f>
        <v>1.2E-2</v>
      </c>
      <c r="H61" s="1066">
        <f t="shared" ref="H61:H69" si="13">IFERROR(ROUNDDOWN($F$61*I61/2,4),"——")</f>
        <v>1.2E-2</v>
      </c>
      <c r="I61" s="3367">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f t="shared" si="12"/>
        <v>1.24E-2</v>
      </c>
      <c r="E62" s="745"/>
      <c r="F62" s="1814"/>
      <c r="G62" s="1063">
        <f t="shared" ref="G62:G69" si="17">H62</f>
        <v>1.24E-2</v>
      </c>
      <c r="H62" s="1066">
        <f t="shared" si="13"/>
        <v>1.24E-2</v>
      </c>
      <c r="I62" s="3367">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3406</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3406</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3407</v>
      </c>
      <c r="D65" s="1065">
        <f t="shared" si="12"/>
        <v>0</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3406</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3406</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3408</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3406</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3" t="s">
        <v>3297</v>
      </c>
      <c r="B103" s="3683"/>
      <c r="C103" s="3683"/>
      <c r="D103" s="3683"/>
      <c r="E103" s="3683"/>
      <c r="F103" s="3683"/>
      <c r="G103" s="3683"/>
      <c r="H103" s="3683"/>
      <c r="I103" s="3683"/>
      <c r="J103" s="3683"/>
      <c r="K103" s="3390"/>
      <c r="L103" s="3390"/>
      <c r="M103" s="3390"/>
      <c r="N103" s="3390"/>
    </row>
    <row r="104" spans="1:14">
      <c r="A104" s="3684" t="s">
        <v>3298</v>
      </c>
      <c r="B104" s="3684" t="s">
        <v>3299</v>
      </c>
      <c r="C104" s="3391" t="s">
        <v>3300</v>
      </c>
      <c r="D104" s="3392"/>
      <c r="E104" s="3392"/>
      <c r="F104" s="3392"/>
      <c r="G104" s="3392"/>
      <c r="H104" s="3392"/>
      <c r="I104" s="3392"/>
      <c r="J104" s="3393"/>
      <c r="K104" s="3394"/>
      <c r="L104" s="3394"/>
      <c r="M104" s="3394"/>
      <c r="N104" s="3394"/>
    </row>
    <row r="105" spans="1:14">
      <c r="A105" s="3684"/>
      <c r="B105" s="3684"/>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670"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1"/>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3" t="s">
        <v>3314</v>
      </c>
      <c r="B113" s="3673"/>
      <c r="C113" s="3673"/>
      <c r="D113" s="3673"/>
      <c r="E113" s="3673"/>
      <c r="F113" s="3673"/>
      <c r="G113" s="3673"/>
      <c r="H113" s="3673"/>
      <c r="I113" s="3673"/>
      <c r="J113" s="36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3.48</v>
      </c>
      <c r="C116" s="3400" t="s">
        <v>3316</v>
      </c>
      <c r="D116" s="3401">
        <f>SUMPRODUCT((A118:A122=F116)*(B117:M117=H116)*B118:M122)</f>
        <v>0.95399999999999996</v>
      </c>
      <c r="E116" s="2000" t="s">
        <v>3317</v>
      </c>
      <c r="F116" s="3402" t="str">
        <f>E2</f>
        <v>办公</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0.95850000000000002</v>
      </c>
      <c r="C118" s="3388">
        <f>B118</f>
        <v>0.95850000000000002</v>
      </c>
      <c r="D118" s="3388">
        <f>ROUND(0.949-0.014*B116,4)</f>
        <v>0.90029999999999999</v>
      </c>
      <c r="E118" s="3388">
        <f>D118</f>
        <v>0.90029999999999999</v>
      </c>
      <c r="F118" s="3388">
        <f>E118</f>
        <v>0.90029999999999999</v>
      </c>
      <c r="G118" s="3388">
        <f>F118</f>
        <v>0.90029999999999999</v>
      </c>
      <c r="H118" s="3388">
        <f>G118</f>
        <v>0.90029999999999999</v>
      </c>
      <c r="I118" s="3388">
        <f>ROUND(0.8486-0.018*B116,4)</f>
        <v>0.78600000000000003</v>
      </c>
      <c r="J118" s="3388">
        <f t="shared" ref="J118:M122" si="36">I118</f>
        <v>0.78600000000000003</v>
      </c>
      <c r="K118" s="3388">
        <f t="shared" si="36"/>
        <v>0.78600000000000003</v>
      </c>
      <c r="L118" s="3388">
        <f t="shared" si="36"/>
        <v>0.78600000000000003</v>
      </c>
      <c r="M118" s="3411">
        <f t="shared" si="36"/>
        <v>0.78600000000000003</v>
      </c>
      <c r="N118" s="3398"/>
    </row>
    <row r="119" spans="1:14">
      <c r="A119" s="3410" t="s">
        <v>3332</v>
      </c>
      <c r="B119" s="3388">
        <f>ROUND(0.993-0.0112*B116,4)</f>
        <v>0.95399999999999996</v>
      </c>
      <c r="C119" s="3388">
        <f>B119</f>
        <v>0.95399999999999996</v>
      </c>
      <c r="D119" s="3388">
        <f>ROUND(0.9415-0.0142*B116,4)</f>
        <v>0.8921</v>
      </c>
      <c r="E119" s="3388">
        <f t="shared" ref="E119:H120" si="37">D119</f>
        <v>0.8921</v>
      </c>
      <c r="F119" s="3388">
        <f t="shared" si="37"/>
        <v>0.8921</v>
      </c>
      <c r="G119" s="3388">
        <f t="shared" si="37"/>
        <v>0.8921</v>
      </c>
      <c r="H119" s="3388">
        <f t="shared" si="37"/>
        <v>0.8921</v>
      </c>
      <c r="I119" s="3388">
        <f>ROUND(0.838-0.0182*B116,4)</f>
        <v>0.77470000000000006</v>
      </c>
      <c r="J119" s="3388">
        <f t="shared" si="36"/>
        <v>0.77470000000000006</v>
      </c>
      <c r="K119" s="3388">
        <f t="shared" si="36"/>
        <v>0.77470000000000006</v>
      </c>
      <c r="L119" s="3388">
        <f t="shared" si="36"/>
        <v>0.77470000000000006</v>
      </c>
      <c r="M119" s="3411">
        <f t="shared" si="36"/>
        <v>0.77470000000000006</v>
      </c>
      <c r="N119" s="3398"/>
    </row>
    <row r="120" spans="1:14">
      <c r="A120" s="3410" t="s">
        <v>3333</v>
      </c>
      <c r="B120" s="3388">
        <f>ROUND(0.9448-0.0115*B116,4)</f>
        <v>0.90480000000000005</v>
      </c>
      <c r="C120" s="3388">
        <f>B120</f>
        <v>0.90480000000000005</v>
      </c>
      <c r="D120" s="3388">
        <f>ROUND(0.937-0.0145*B116,4)</f>
        <v>0.88649999999999995</v>
      </c>
      <c r="E120" s="3388">
        <f t="shared" si="37"/>
        <v>0.88649999999999995</v>
      </c>
      <c r="F120" s="3388">
        <f t="shared" si="37"/>
        <v>0.88649999999999995</v>
      </c>
      <c r="G120" s="3388">
        <f t="shared" si="37"/>
        <v>0.88649999999999995</v>
      </c>
      <c r="H120" s="3388">
        <f t="shared" si="37"/>
        <v>0.88649999999999995</v>
      </c>
      <c r="I120" s="3388">
        <f>ROUND(0.7965-0.0185*B116,4)</f>
        <v>0.73209999999999997</v>
      </c>
      <c r="J120" s="3388">
        <f t="shared" si="36"/>
        <v>0.73209999999999997</v>
      </c>
      <c r="K120" s="3388">
        <f t="shared" si="36"/>
        <v>0.73209999999999997</v>
      </c>
      <c r="L120" s="3388">
        <f t="shared" si="36"/>
        <v>0.73209999999999997</v>
      </c>
      <c r="M120" s="3411">
        <f t="shared" si="36"/>
        <v>0.73209999999999997</v>
      </c>
      <c r="N120" s="3398"/>
    </row>
    <row r="121" spans="1:14" ht="13.5" thickBot="1">
      <c r="A121" s="3412" t="s">
        <v>3334</v>
      </c>
      <c r="B121" s="3413">
        <f>ROUND(0.7836-0.012*B116,4)</f>
        <v>0.74180000000000001</v>
      </c>
      <c r="C121" s="3413">
        <f>B121</f>
        <v>0.74180000000000001</v>
      </c>
      <c r="D121" s="3413">
        <f>ROUND(0.753-0.015*B116,4)</f>
        <v>0.70079999999999998</v>
      </c>
      <c r="E121" s="3413">
        <f>D121</f>
        <v>0.70079999999999998</v>
      </c>
      <c r="F121" s="3413">
        <f>E121</f>
        <v>0.70079999999999998</v>
      </c>
      <c r="G121" s="3413">
        <f>ROUND(0.6612-0.018*B116,4)</f>
        <v>0.59860000000000002</v>
      </c>
      <c r="H121" s="3413">
        <f>G121</f>
        <v>0.59860000000000002</v>
      </c>
      <c r="I121" s="3413">
        <f>ROUND(0.5905-0.019*B116,4)</f>
        <v>0.52439999999999998</v>
      </c>
      <c r="J121" s="3413">
        <f t="shared" si="36"/>
        <v>0.52439999999999998</v>
      </c>
      <c r="K121" s="3413">
        <f t="shared" si="36"/>
        <v>0.52439999999999998</v>
      </c>
      <c r="L121" s="3413">
        <f t="shared" si="36"/>
        <v>0.52439999999999998</v>
      </c>
      <c r="M121" s="3414">
        <f t="shared" si="36"/>
        <v>0.52439999999999998</v>
      </c>
      <c r="N121" s="3398"/>
    </row>
    <row r="122" spans="1:14">
      <c r="A122" s="3415" t="s">
        <v>2615</v>
      </c>
      <c r="B122" s="3388">
        <f>ROUND(0.9404-0.0106*B116,4)</f>
        <v>0.90349999999999997</v>
      </c>
      <c r="C122" s="3388">
        <f>B122</f>
        <v>0.90349999999999997</v>
      </c>
      <c r="D122" s="3388">
        <f>ROUND(0.8955-0.0135*B116,4)</f>
        <v>0.84850000000000003</v>
      </c>
      <c r="E122" s="3388">
        <f t="shared" ref="E122:H122" si="38">D122</f>
        <v>0.84850000000000003</v>
      </c>
      <c r="F122" s="3388">
        <f t="shared" si="38"/>
        <v>0.84850000000000003</v>
      </c>
      <c r="G122" s="3388">
        <f t="shared" si="38"/>
        <v>0.84850000000000003</v>
      </c>
      <c r="H122" s="3388">
        <f t="shared" si="38"/>
        <v>0.84850000000000003</v>
      </c>
      <c r="I122" s="3388">
        <f>ROUND(0.7632-0.0166*B116,4)</f>
        <v>0.70540000000000003</v>
      </c>
      <c r="J122" s="3388">
        <f t="shared" si="36"/>
        <v>0.70540000000000003</v>
      </c>
      <c r="K122" s="3388">
        <f t="shared" si="36"/>
        <v>0.70540000000000003</v>
      </c>
      <c r="L122" s="3388">
        <f t="shared" si="36"/>
        <v>0.70540000000000003</v>
      </c>
      <c r="M122" s="3411">
        <f t="shared" si="36"/>
        <v>0.70540000000000003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8" priority="6" stopIfTrue="1" operator="notEqual">
      <formula>"——"</formula>
    </cfRule>
  </conditionalFormatting>
  <conditionalFormatting sqref="F61">
    <cfRule type="cellIs" dxfId="187" priority="5" stopIfTrue="1" operator="notEqual">
      <formula>"——"</formula>
    </cfRule>
  </conditionalFormatting>
  <conditionalFormatting sqref="F72">
    <cfRule type="cellIs" dxfId="186" priority="4" stopIfTrue="1" operator="notEqual">
      <formula>"——"</formula>
    </cfRule>
  </conditionalFormatting>
  <conditionalFormatting sqref="F83">
    <cfRule type="cellIs" dxfId="185" priority="3" stopIfTrue="1" operator="notEqual">
      <formula>"——"</formula>
    </cfRule>
  </conditionalFormatting>
  <conditionalFormatting sqref="H50:H58 H61:H69 H72:H80 H83:H91">
    <cfRule type="cellIs" dxfId="184" priority="2" operator="notEqual">
      <formula>"——"</formula>
    </cfRule>
  </conditionalFormatting>
  <conditionalFormatting sqref="H93:H101">
    <cfRule type="cellIs" dxfId="18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2" sqref="E3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7729</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Ⅱ—13</v>
      </c>
      <c r="J2" s="2002"/>
      <c r="K2" s="1119"/>
      <c r="L2" s="2003" t="s">
        <v>1939</v>
      </c>
      <c r="M2" s="864">
        <f>SUMPRODUCT((区片价!B10:B29=I2)*(区片价!C3:G3=E2)*(区片价!C10:G29))</f>
        <v>29830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39004</v>
      </c>
      <c r="U2" s="1213">
        <f>'数据-汇总表'!F19</f>
        <v>1981.63</v>
      </c>
      <c r="V2" s="3361">
        <f>ROUND(T2*U2/10000,0)</f>
        <v>7729</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3404</v>
      </c>
      <c r="G3" s="752">
        <f>IF(F3="宗地容积率",'数据-汇总表'!I4,IF(F3="估价对象容积率",'数据-汇总表'!I6,'数据-汇总表'!I7))</f>
        <v>3.48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30965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7"/>
      <c r="B4" s="3678"/>
      <c r="C4" s="3678"/>
      <c r="D4" s="3679"/>
      <c r="E4" s="3679"/>
      <c r="F4" s="3679"/>
      <c r="G4" s="3679"/>
      <c r="H4" s="3679"/>
      <c r="I4" s="3679"/>
      <c r="J4" s="36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26756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29830</v>
      </c>
      <c r="D5" s="1339">
        <f>ROUND(C6*C17+C20,0)</f>
        <v>29830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24212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23075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3460"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77" t="s">
        <v>1955</v>
      </c>
      <c r="X7" s="1214" t="str">
        <f>G2</f>
        <v>二级</v>
      </c>
      <c r="Y7" s="1214" t="s">
        <v>1956</v>
      </c>
      <c r="Z7" s="1215">
        <f>G3</f>
        <v>3.48</v>
      </c>
      <c r="AA7" s="1216"/>
      <c r="AB7" s="1216"/>
      <c r="AC7" s="1217"/>
      <c r="AD7" s="1218"/>
      <c r="AE7" s="1218"/>
      <c r="AF7" s="1218"/>
      <c r="AG7" s="1218"/>
      <c r="AH7" s="1218"/>
      <c r="AI7" s="1218"/>
      <c r="AJ7" s="1219"/>
    </row>
    <row r="8" spans="1:36" ht="25.5">
      <c r="A8" s="3299"/>
      <c r="B8" s="170" t="s">
        <v>1957</v>
      </c>
      <c r="C8" s="2026" t="s">
        <v>3409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1960</v>
      </c>
      <c r="X8" s="36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67"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68"/>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66"/>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1" t="s">
        <v>3257</v>
      </c>
      <c r="B20" s="167" t="s">
        <v>1994</v>
      </c>
      <c r="C20" s="3325">
        <f>ROUND(IF(F21="与级别开发程度一致",0,(G21-E21)/C21),0)</f>
        <v>0</v>
      </c>
      <c r="D20" s="3341" t="s">
        <v>1998</v>
      </c>
      <c r="E20" s="3342"/>
      <c r="F20" s="3687" t="s">
        <v>1995</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2"/>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45379</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3410</v>
      </c>
      <c r="C25" s="3473">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3472">
        <f>IF(E26=G26,F26,IF(G3&lt;10,ROUND(F26+(H26-F26)*(G3-E26)/(G26-E26),4),"——"))</f>
        <v>1.0006999999999999</v>
      </c>
      <c r="E26" s="752">
        <f>ROUNDDOWN(G3,1)</f>
        <v>3.4</v>
      </c>
      <c r="F26" s="34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1.0035000000000001</v>
      </c>
      <c r="G26" s="752">
        <f>ROUNDUP(G3,1)</f>
        <v>3.5</v>
      </c>
      <c r="H26" s="34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7729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5"/>
      <c r="B37" s="2113" t="s">
        <v>2036</v>
      </c>
      <c r="C37" s="175">
        <f>ROUND(D5*C22*C23*C24*C28*F37,0)</f>
        <v>17955</v>
      </c>
      <c r="D37" s="2098"/>
      <c r="E37" s="171">
        <f>ROUND(C37*D37/10000,0)</f>
        <v>0</v>
      </c>
      <c r="F37" s="171">
        <f>SUMIF(修正!A57:A68,G2,修正!B57:B68)</f>
        <v>0.7</v>
      </c>
      <c r="G37" s="171">
        <f>ROUND(IF(E2="工业",C37*$M$42,C37*$M$41),0)</f>
        <v>4489</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2037</v>
      </c>
      <c r="C38" s="175">
        <f>ROUND(D5*C22*C23*C24*C28*F38,0)</f>
        <v>10260</v>
      </c>
      <c r="D38" s="2098"/>
      <c r="E38" s="171">
        <f t="shared" ref="E38:E42" si="4">ROUND(C38*D38/10000,0)</f>
        <v>0</v>
      </c>
      <c r="F38" s="171">
        <f>SUMIF(修正!A57:A68,G2,修正!C57:C68)</f>
        <v>0.4</v>
      </c>
      <c r="G38" s="171">
        <f>ROUND(IF(E2="工业",C38*$M$42,C38*$M$41),0)</f>
        <v>2565</v>
      </c>
      <c r="H38" s="171">
        <f t="shared" ref="H38:H42" si="5">D38</f>
        <v>0</v>
      </c>
      <c r="I38" s="171">
        <f t="shared" ref="I38:I42" si="6">ROUND(G38*H38/10000,0)</f>
        <v>0</v>
      </c>
      <c r="J38" s="3480"/>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6"/>
      <c r="B39" s="2041" t="s">
        <v>3262</v>
      </c>
      <c r="C39" s="175">
        <f>ROUND(D5*C22*C23*C24*C28*F39,0)</f>
        <v>7695</v>
      </c>
      <c r="D39" s="2098"/>
      <c r="E39" s="171">
        <f t="shared" si="4"/>
        <v>0</v>
      </c>
      <c r="F39" s="171">
        <f>SUMIF(修正!A57:A68,G2,修正!D57:D68)</f>
        <v>0.3</v>
      </c>
      <c r="G39" s="171">
        <f>ROUND(IF(E2="工业",C39*$M$42,C39*$M$41),0)</f>
        <v>1924</v>
      </c>
      <c r="H39" s="171">
        <f t="shared" si="5"/>
        <v>0</v>
      </c>
      <c r="I39" s="171">
        <f t="shared" si="6"/>
        <v>0</v>
      </c>
      <c r="J39" s="348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7695</v>
      </c>
      <c r="D40" s="2098"/>
      <c r="E40" s="171">
        <f t="shared" si="4"/>
        <v>0</v>
      </c>
      <c r="F40" s="175">
        <f>SUMIF(修正!A57:A68,G2,修正!E57:E68)</f>
        <v>0.3</v>
      </c>
      <c r="G40" s="171">
        <f>ROUND(IF(E2="工业",C40*$M$42,C40*$M$41),0)</f>
        <v>1924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3406</v>
      </c>
      <c r="D50" s="1065">
        <f t="shared" ref="D50:D58" si="7">SUMIF($J$49:$N$49,C50,J50:N50)</f>
        <v>1.4200000000000001E-2</v>
      </c>
      <c r="E50" s="744">
        <f>ROUND(SUM(D50:D58),4)</f>
        <v>4.7100000000000003E-2</v>
      </c>
      <c r="F50" s="1814">
        <f>IF(E2="商业",SUMIF(L1:L12,G2,N1:N12),"——")</f>
        <v>9.5000000000000001E-2</v>
      </c>
      <c r="G50" s="1063">
        <f>H50</f>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3406</v>
      </c>
      <c r="D51" s="1065">
        <f t="shared" si="7"/>
        <v>1.04E-2</v>
      </c>
      <c r="E51" s="745"/>
      <c r="F51" s="1814"/>
      <c r="G51" s="1063">
        <f t="shared" ref="G51:G58" si="12">H51</f>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3406</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f t="shared" si="7"/>
        <v>2.3E-3</v>
      </c>
      <c r="E53" s="745"/>
      <c r="F53" s="1814"/>
      <c r="G53" s="1063">
        <f t="shared" si="12"/>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3407</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f t="shared" si="7"/>
        <v>2.3E-3</v>
      </c>
      <c r="E55" s="745"/>
      <c r="F55" s="1814"/>
      <c r="G55" s="1063">
        <f t="shared" si="12"/>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3406</v>
      </c>
      <c r="D56" s="1065">
        <f t="shared" si="7"/>
        <v>2.3E-3</v>
      </c>
      <c r="E56" s="745"/>
      <c r="F56" s="1814"/>
      <c r="G56" s="1063">
        <f t="shared" si="12"/>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3408</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3406</v>
      </c>
      <c r="D58" s="1065">
        <f t="shared" si="7"/>
        <v>2.3E-3</v>
      </c>
      <c r="E58" s="746"/>
      <c r="F58" s="1814"/>
      <c r="G58" s="1063">
        <f t="shared" si="12"/>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t="e">
        <f t="shared" si="13"/>
        <v>#VALUE!</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3406</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3406</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3407</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3406</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3406</v>
      </c>
      <c r="D67" s="1065" t="e">
        <f t="shared" si="13"/>
        <v>#VALUE!</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3408</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3406</v>
      </c>
      <c r="D69" s="1065" t="e">
        <f t="shared" si="13"/>
        <v>#VALUE!</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2044</v>
      </c>
      <c r="B92" s="3366"/>
      <c r="C92" s="3366" t="s">
        <v>2046</v>
      </c>
      <c r="D92" s="3366" t="s">
        <v>2047</v>
      </c>
      <c r="E92" s="3348" t="s">
        <v>2048</v>
      </c>
      <c r="F92" s="3381" t="s">
        <v>3286</v>
      </c>
      <c r="G92" s="3366" t="s">
        <v>1989</v>
      </c>
      <c r="H92" s="3388" t="s">
        <v>3290</v>
      </c>
      <c r="I92" s="3366" t="s">
        <v>2051</v>
      </c>
      <c r="J92" s="3389" t="s">
        <v>1721</v>
      </c>
      <c r="K92" s="3389" t="s">
        <v>1722</v>
      </c>
      <c r="L92" s="3389" t="s">
        <v>1723</v>
      </c>
      <c r="M92" s="3389" t="s">
        <v>1724</v>
      </c>
      <c r="N92" s="3389" t="s">
        <v>1725</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3272</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2054</v>
      </c>
      <c r="B96" s="3385" t="s">
        <v>3288</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2057</v>
      </c>
      <c r="B98" s="3386" t="s">
        <v>3289</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683" t="s">
        <v>3297</v>
      </c>
      <c r="B103" s="3683"/>
      <c r="C103" s="3683"/>
      <c r="D103" s="3683"/>
      <c r="E103" s="3683"/>
      <c r="F103" s="3683"/>
      <c r="G103" s="3683"/>
      <c r="H103" s="3683"/>
      <c r="I103" s="3683"/>
      <c r="J103" s="3683"/>
      <c r="K103" s="3478"/>
      <c r="L103" s="3478"/>
      <c r="M103" s="3478"/>
      <c r="N103" s="3478"/>
    </row>
    <row r="104" spans="1:14">
      <c r="A104" s="3684" t="s">
        <v>3298</v>
      </c>
      <c r="B104" s="3684" t="s">
        <v>3299</v>
      </c>
      <c r="C104" s="3391" t="s">
        <v>3300</v>
      </c>
      <c r="D104" s="3392"/>
      <c r="E104" s="3392"/>
      <c r="F104" s="3392"/>
      <c r="G104" s="3392"/>
      <c r="H104" s="3392"/>
      <c r="I104" s="3392"/>
      <c r="J104" s="3393"/>
      <c r="K104" s="3394"/>
      <c r="L104" s="3394"/>
      <c r="M104" s="3394"/>
      <c r="N104" s="3394"/>
    </row>
    <row r="105" spans="1:14">
      <c r="A105" s="3684"/>
      <c r="B105" s="3684"/>
      <c r="C105" s="3479" t="s">
        <v>1961</v>
      </c>
      <c r="D105" s="3479" t="s">
        <v>1962</v>
      </c>
      <c r="E105" s="3479" t="s">
        <v>1963</v>
      </c>
      <c r="F105" s="3479" t="s">
        <v>1964</v>
      </c>
      <c r="G105" s="3479" t="s">
        <v>1965</v>
      </c>
      <c r="H105" s="3479" t="s">
        <v>1966</v>
      </c>
      <c r="I105" s="3479" t="s">
        <v>1967</v>
      </c>
      <c r="J105" s="3479" t="s">
        <v>1968</v>
      </c>
      <c r="K105" s="3479" t="s">
        <v>1969</v>
      </c>
      <c r="L105" s="3479" t="s">
        <v>1970</v>
      </c>
      <c r="M105" s="3479" t="s">
        <v>1971</v>
      </c>
      <c r="N105" s="3479" t="s">
        <v>1972</v>
      </c>
    </row>
    <row r="106" spans="1:14">
      <c r="A106" s="3670" t="s">
        <v>3313</v>
      </c>
      <c r="B106" s="3479">
        <v>1</v>
      </c>
      <c r="C106" s="3479">
        <v>1.5206</v>
      </c>
      <c r="D106" s="3479">
        <v>1.5206</v>
      </c>
      <c r="E106" s="3479">
        <v>1.5019</v>
      </c>
      <c r="F106" s="3479">
        <v>1.5019</v>
      </c>
      <c r="G106" s="3479">
        <v>1.5019</v>
      </c>
      <c r="H106" s="3479">
        <v>1.5019</v>
      </c>
      <c r="I106" s="3479">
        <v>1.5019</v>
      </c>
      <c r="J106" s="3479">
        <v>1.5418000000000001</v>
      </c>
      <c r="K106" s="3479">
        <v>1.5418000000000001</v>
      </c>
      <c r="L106" s="3479">
        <v>1.5418000000000001</v>
      </c>
      <c r="M106" s="3479">
        <v>1.5418000000000001</v>
      </c>
      <c r="N106" s="3479">
        <v>1.5418000000000001</v>
      </c>
    </row>
    <row r="107" spans="1:14">
      <c r="A107" s="3671"/>
      <c r="B107" s="3479">
        <v>2</v>
      </c>
      <c r="C107" s="3479">
        <v>1.2072000000000001</v>
      </c>
      <c r="D107" s="3479">
        <v>1.2072000000000001</v>
      </c>
      <c r="E107" s="3479">
        <v>1.1838</v>
      </c>
      <c r="F107" s="3479">
        <v>1.1838</v>
      </c>
      <c r="G107" s="3479">
        <v>1.1838</v>
      </c>
      <c r="H107" s="3479">
        <v>1.1838</v>
      </c>
      <c r="I107" s="3479">
        <v>1.1838</v>
      </c>
      <c r="J107" s="3479">
        <v>1.1883999999999999</v>
      </c>
      <c r="K107" s="3479">
        <v>1.1883999999999999</v>
      </c>
      <c r="L107" s="3479">
        <v>1.1883999999999999</v>
      </c>
      <c r="M107" s="3479">
        <v>1.1883999999999999</v>
      </c>
      <c r="N107" s="3479">
        <v>1.1883999999999999</v>
      </c>
    </row>
    <row r="108" spans="1:14">
      <c r="A108" s="3671"/>
      <c r="B108" s="3479">
        <v>3</v>
      </c>
      <c r="C108" s="3479">
        <v>1.0430999999999999</v>
      </c>
      <c r="D108" s="3479">
        <v>1.0430999999999999</v>
      </c>
      <c r="E108" s="3479">
        <v>1.0004999999999999</v>
      </c>
      <c r="F108" s="3479">
        <v>1.0004999999999999</v>
      </c>
      <c r="G108" s="3479">
        <v>1.0004999999999999</v>
      </c>
      <c r="H108" s="3479">
        <v>1.0004999999999999</v>
      </c>
      <c r="I108" s="3479">
        <v>1.0004999999999999</v>
      </c>
      <c r="J108" s="3479">
        <v>0.96940000000000004</v>
      </c>
      <c r="K108" s="3479">
        <v>0.96940000000000004</v>
      </c>
      <c r="L108" s="3479">
        <v>0.96940000000000004</v>
      </c>
      <c r="M108" s="3479">
        <v>0.96940000000000004</v>
      </c>
      <c r="N108" s="3479">
        <v>0.96940000000000004</v>
      </c>
    </row>
    <row r="109" spans="1:14">
      <c r="A109" s="3671"/>
      <c r="B109" s="3479">
        <v>4</v>
      </c>
      <c r="C109" s="3479">
        <v>0.94389999999999996</v>
      </c>
      <c r="D109" s="3479">
        <v>0.94389999999999996</v>
      </c>
      <c r="E109" s="3479">
        <v>0.88239999999999996</v>
      </c>
      <c r="F109" s="3479">
        <v>0.88239999999999996</v>
      </c>
      <c r="G109" s="3479">
        <v>0.88239999999999996</v>
      </c>
      <c r="H109" s="3479">
        <v>0.88239999999999996</v>
      </c>
      <c r="I109" s="3479">
        <v>0.88239999999999996</v>
      </c>
      <c r="J109" s="3479">
        <v>0.82299999999999995</v>
      </c>
      <c r="K109" s="3479">
        <v>0.82299999999999995</v>
      </c>
      <c r="L109" s="3479">
        <v>0.82299999999999995</v>
      </c>
      <c r="M109" s="3479">
        <v>0.82299999999999995</v>
      </c>
      <c r="N109" s="3479">
        <v>0.82299999999999995</v>
      </c>
    </row>
    <row r="110" spans="1:14">
      <c r="A110" s="3671"/>
      <c r="B110" s="3479">
        <v>5</v>
      </c>
      <c r="C110" s="3479">
        <v>0.89959999999999996</v>
      </c>
      <c r="D110" s="3479">
        <v>0.89959999999999996</v>
      </c>
      <c r="E110" s="3479">
        <v>0.84799999999999998</v>
      </c>
      <c r="F110" s="3479">
        <v>0.84799999999999998</v>
      </c>
      <c r="G110" s="3479">
        <v>0.84799999999999998</v>
      </c>
      <c r="H110" s="3479">
        <v>0.84799999999999998</v>
      </c>
      <c r="I110" s="3479">
        <v>0.84799999999999998</v>
      </c>
      <c r="J110" s="3479">
        <v>0.74980000000000002</v>
      </c>
      <c r="K110" s="3479">
        <v>0.74980000000000002</v>
      </c>
      <c r="L110" s="3479">
        <v>0.74980000000000002</v>
      </c>
      <c r="M110" s="3479">
        <v>0.74980000000000002</v>
      </c>
      <c r="N110" s="3479">
        <v>0.74980000000000002</v>
      </c>
    </row>
    <row r="111" spans="1:14">
      <c r="A111" s="3671"/>
      <c r="B111" s="3479" t="s">
        <v>3271</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672"/>
      <c r="B112" s="3479">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673" t="s">
        <v>3314</v>
      </c>
      <c r="B113" s="3673"/>
      <c r="C113" s="3673"/>
      <c r="D113" s="3673"/>
      <c r="E113" s="3673"/>
      <c r="F113" s="3673"/>
      <c r="G113" s="3673"/>
      <c r="H113" s="3673"/>
      <c r="I113" s="3673"/>
      <c r="J113" s="3673"/>
      <c r="K113" s="3476"/>
      <c r="L113" s="3476"/>
      <c r="M113" s="3476"/>
      <c r="N113" s="3476"/>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3.48</v>
      </c>
      <c r="C116" s="3400" t="s">
        <v>3316</v>
      </c>
      <c r="D116" s="3401">
        <f>SUMPRODUCT((A118:A122=F116)*(B117:M117=H116)*B118:M122)</f>
        <v>0.95850000000000002</v>
      </c>
      <c r="E116" s="2000" t="s">
        <v>1936</v>
      </c>
      <c r="F116" s="3402" t="str">
        <f>E2</f>
        <v>商业</v>
      </c>
      <c r="G116" s="2000" t="s">
        <v>1937</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1990</v>
      </c>
      <c r="B118" s="3388">
        <f>ROUND(0.9968-0.011*B116,4)</f>
        <v>0.95850000000000002</v>
      </c>
      <c r="C118" s="3388">
        <f>B118</f>
        <v>0.95850000000000002</v>
      </c>
      <c r="D118" s="3388">
        <f>ROUND(0.949-0.014*B116,4)</f>
        <v>0.90029999999999999</v>
      </c>
      <c r="E118" s="3388">
        <f>D118</f>
        <v>0.90029999999999999</v>
      </c>
      <c r="F118" s="3388">
        <f>E118</f>
        <v>0.90029999999999999</v>
      </c>
      <c r="G118" s="3388">
        <f>F118</f>
        <v>0.90029999999999999</v>
      </c>
      <c r="H118" s="3388">
        <f>G118</f>
        <v>0.90029999999999999</v>
      </c>
      <c r="I118" s="3388">
        <f>ROUND(0.8486-0.018*B116,4)</f>
        <v>0.78600000000000003</v>
      </c>
      <c r="J118" s="3388">
        <f t="shared" ref="J118:M122" si="37">I118</f>
        <v>0.78600000000000003</v>
      </c>
      <c r="K118" s="3388">
        <f t="shared" si="37"/>
        <v>0.78600000000000003</v>
      </c>
      <c r="L118" s="3388">
        <f t="shared" si="37"/>
        <v>0.78600000000000003</v>
      </c>
      <c r="M118" s="3411">
        <f t="shared" si="37"/>
        <v>0.78600000000000003</v>
      </c>
      <c r="N118" s="3398"/>
    </row>
    <row r="119" spans="1:14">
      <c r="A119" s="3410" t="s">
        <v>1991</v>
      </c>
      <c r="B119" s="3388">
        <f>ROUND(0.993-0.0112*B116,4)</f>
        <v>0.95399999999999996</v>
      </c>
      <c r="C119" s="3388">
        <f>B119</f>
        <v>0.95399999999999996</v>
      </c>
      <c r="D119" s="3388">
        <f>ROUND(0.9415-0.0142*B116,4)</f>
        <v>0.8921</v>
      </c>
      <c r="E119" s="3388">
        <f t="shared" ref="E119:H120" si="38">D119</f>
        <v>0.8921</v>
      </c>
      <c r="F119" s="3388">
        <f t="shared" si="38"/>
        <v>0.8921</v>
      </c>
      <c r="G119" s="3388">
        <f t="shared" si="38"/>
        <v>0.8921</v>
      </c>
      <c r="H119" s="3388">
        <f t="shared" si="38"/>
        <v>0.8921</v>
      </c>
      <c r="I119" s="3388">
        <f>ROUND(0.838-0.0182*B116,4)</f>
        <v>0.77470000000000006</v>
      </c>
      <c r="J119" s="3388">
        <f t="shared" si="37"/>
        <v>0.77470000000000006</v>
      </c>
      <c r="K119" s="3388">
        <f t="shared" si="37"/>
        <v>0.77470000000000006</v>
      </c>
      <c r="L119" s="3388">
        <f t="shared" si="37"/>
        <v>0.77470000000000006</v>
      </c>
      <c r="M119" s="3411">
        <f t="shared" si="37"/>
        <v>0.77470000000000006</v>
      </c>
      <c r="N119" s="3398"/>
    </row>
    <row r="120" spans="1:14">
      <c r="A120" s="3410" t="s">
        <v>1992</v>
      </c>
      <c r="B120" s="3388">
        <f>ROUND(0.9448-0.0115*B116,4)</f>
        <v>0.90480000000000005</v>
      </c>
      <c r="C120" s="3388">
        <f>B120</f>
        <v>0.90480000000000005</v>
      </c>
      <c r="D120" s="3388">
        <f>ROUND(0.937-0.0145*B116,4)</f>
        <v>0.88649999999999995</v>
      </c>
      <c r="E120" s="3388">
        <f t="shared" si="38"/>
        <v>0.88649999999999995</v>
      </c>
      <c r="F120" s="3388">
        <f t="shared" si="38"/>
        <v>0.88649999999999995</v>
      </c>
      <c r="G120" s="3388">
        <f t="shared" si="38"/>
        <v>0.88649999999999995</v>
      </c>
      <c r="H120" s="3388">
        <f t="shared" si="38"/>
        <v>0.88649999999999995</v>
      </c>
      <c r="I120" s="3388">
        <f>ROUND(0.7965-0.0185*B116,4)</f>
        <v>0.73209999999999997</v>
      </c>
      <c r="J120" s="3388">
        <f t="shared" si="37"/>
        <v>0.73209999999999997</v>
      </c>
      <c r="K120" s="3388">
        <f t="shared" si="37"/>
        <v>0.73209999999999997</v>
      </c>
      <c r="L120" s="3388">
        <f t="shared" si="37"/>
        <v>0.73209999999999997</v>
      </c>
      <c r="M120" s="3411">
        <f t="shared" si="37"/>
        <v>0.73209999999999997</v>
      </c>
      <c r="N120" s="3398"/>
    </row>
    <row r="121" spans="1:14" ht="13.5" thickBot="1">
      <c r="A121" s="3412" t="s">
        <v>1993</v>
      </c>
      <c r="B121" s="3413">
        <f>ROUND(0.7836-0.012*B116,4)</f>
        <v>0.74180000000000001</v>
      </c>
      <c r="C121" s="3413">
        <f>B121</f>
        <v>0.74180000000000001</v>
      </c>
      <c r="D121" s="3413">
        <f>ROUND(0.753-0.015*B116,4)</f>
        <v>0.70079999999999998</v>
      </c>
      <c r="E121" s="3413">
        <f>D121</f>
        <v>0.70079999999999998</v>
      </c>
      <c r="F121" s="3413">
        <f>E121</f>
        <v>0.70079999999999998</v>
      </c>
      <c r="G121" s="3413">
        <f>ROUND(0.6612-0.018*B116,4)</f>
        <v>0.59860000000000002</v>
      </c>
      <c r="H121" s="3413">
        <f>G121</f>
        <v>0.59860000000000002</v>
      </c>
      <c r="I121" s="3413">
        <f>ROUND(0.5905-0.019*B116,4)</f>
        <v>0.52439999999999998</v>
      </c>
      <c r="J121" s="3413">
        <f t="shared" si="37"/>
        <v>0.52439999999999998</v>
      </c>
      <c r="K121" s="3413">
        <f t="shared" si="37"/>
        <v>0.52439999999999998</v>
      </c>
      <c r="L121" s="3413">
        <f t="shared" si="37"/>
        <v>0.52439999999999998</v>
      </c>
      <c r="M121" s="3414">
        <f t="shared" si="37"/>
        <v>0.52439999999999998</v>
      </c>
      <c r="N121" s="3398"/>
    </row>
    <row r="122" spans="1:14">
      <c r="A122" s="3415" t="s">
        <v>2615</v>
      </c>
      <c r="B122" s="3388">
        <f>ROUND(0.9404-0.0106*B116,4)</f>
        <v>0.90349999999999997</v>
      </c>
      <c r="C122" s="3388">
        <f>B122</f>
        <v>0.90349999999999997</v>
      </c>
      <c r="D122" s="3388">
        <f>ROUND(0.8955-0.0135*B116,4)</f>
        <v>0.84850000000000003</v>
      </c>
      <c r="E122" s="3388">
        <f t="shared" ref="E122:H122" si="39">D122</f>
        <v>0.84850000000000003</v>
      </c>
      <c r="F122" s="3388">
        <f t="shared" si="39"/>
        <v>0.84850000000000003</v>
      </c>
      <c r="G122" s="3388">
        <f t="shared" si="39"/>
        <v>0.84850000000000003</v>
      </c>
      <c r="H122" s="3388">
        <f t="shared" si="39"/>
        <v>0.84850000000000003</v>
      </c>
      <c r="I122" s="3388">
        <f>ROUND(0.7632-0.0166*B116,4)</f>
        <v>0.70540000000000003</v>
      </c>
      <c r="J122" s="3388">
        <f t="shared" si="37"/>
        <v>0.70540000000000003</v>
      </c>
      <c r="K122" s="3388">
        <f t="shared" si="37"/>
        <v>0.70540000000000003</v>
      </c>
      <c r="L122" s="3388">
        <f t="shared" si="37"/>
        <v>0.70540000000000003</v>
      </c>
      <c r="M122" s="3411">
        <f t="shared" si="37"/>
        <v>0.70540000000000003</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D43" sqref="D4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135.02000000000001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95</v>
      </c>
      <c r="C2" s="1999" t="s">
        <v>1935</v>
      </c>
      <c r="D2" s="2000" t="s">
        <v>1936</v>
      </c>
      <c r="E2" s="3422" t="s">
        <v>3411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Ⅱ—16</v>
      </c>
      <c r="J2" s="2002"/>
      <c r="K2" s="1119"/>
      <c r="L2" s="2003" t="s">
        <v>1939</v>
      </c>
      <c r="M2" s="864">
        <f>SUMPRODUCT((区片价!B10:B29=I2)*(区片价!C3:G3=E2)*(区片价!C10:G29))</f>
        <v>29510</v>
      </c>
      <c r="N2" s="866">
        <f>SUMPRODUCT((因素修正幅度!B10:B29=I2)*(因素修正幅度!C3:G3=E2)*(因素修正幅度!C10:G29))</f>
        <v>9.6000000000000002E-2</v>
      </c>
      <c r="O2" s="1119"/>
      <c r="P2" s="1119"/>
      <c r="Q2" s="1119"/>
      <c r="R2" s="1212">
        <v>1</v>
      </c>
      <c r="S2" s="3361">
        <f>ROUND(SUMPRODUCT((B106:B110=R2)*(C105:N105=G2)*(C106:N110)),4)</f>
        <v>1.5206</v>
      </c>
      <c r="T2" s="3361">
        <f t="shared" ref="T2:T16" si="0">ROUND($C$5*$C$22*$C$23*$C$24*S2*$C$28,0)</f>
        <v>48719</v>
      </c>
      <c r="U2" s="1213">
        <f>'数据-汇总表'!F19</f>
        <v>1981.63</v>
      </c>
      <c r="V2" s="3361">
        <f>ROUND(T2*U2/10000,0)</f>
        <v>9654</v>
      </c>
      <c r="W2" s="1216"/>
      <c r="X2" s="1216"/>
      <c r="Y2" s="1216"/>
      <c r="Z2" s="1216"/>
      <c r="AA2" s="1216"/>
      <c r="AB2" s="1216"/>
      <c r="AC2" s="1217"/>
      <c r="AD2" s="1218"/>
      <c r="AE2" s="1218"/>
      <c r="AF2" s="1218"/>
      <c r="AG2" s="1218"/>
      <c r="AH2" s="1218"/>
      <c r="AI2" s="1218"/>
      <c r="AJ2" s="1219"/>
    </row>
    <row r="3" spans="1:36" ht="15.75">
      <c r="A3" s="203" t="s">
        <v>1940</v>
      </c>
      <c r="B3" s="204">
        <f>ROUND(B2*10000/D1,0)</f>
        <v>7036</v>
      </c>
      <c r="C3" s="1999" t="s">
        <v>1941</v>
      </c>
      <c r="D3" s="2000" t="s">
        <v>1942</v>
      </c>
      <c r="E3" s="3420" t="s">
        <v>3412</v>
      </c>
      <c r="F3" s="2004" t="s">
        <v>3404</v>
      </c>
      <c r="G3" s="752">
        <f>IF(F3="宗地容积率",'数据-汇总表'!I4,IF(F3="估价对象容积率",'数据-汇总表'!I6,'数据-汇总表'!I7))</f>
        <v>3.48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38678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7"/>
      <c r="B4" s="3678"/>
      <c r="C4" s="3678"/>
      <c r="D4" s="3679"/>
      <c r="E4" s="3679"/>
      <c r="F4" s="3679"/>
      <c r="G4" s="3679"/>
      <c r="H4" s="3679"/>
      <c r="I4" s="3679"/>
      <c r="J4" s="36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33420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30986</v>
      </c>
      <c r="D5" s="1339">
        <f>ROUND(C6*C17+C20,0)</f>
        <v>29510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30242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28823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3460"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77" t="s">
        <v>1955</v>
      </c>
      <c r="X7" s="1214" t="str">
        <f>G2</f>
        <v>二级</v>
      </c>
      <c r="Y7" s="1214" t="s">
        <v>1956</v>
      </c>
      <c r="Z7" s="1215">
        <f>G3</f>
        <v>3.48</v>
      </c>
      <c r="AA7" s="1216"/>
      <c r="AB7" s="1216"/>
      <c r="AC7" s="1217"/>
      <c r="AD7" s="1218"/>
      <c r="AE7" s="1218"/>
      <c r="AF7" s="1218"/>
      <c r="AG7" s="1218"/>
      <c r="AH7" s="1218"/>
      <c r="AI7" s="1218"/>
      <c r="AJ7" s="1219"/>
    </row>
    <row r="8" spans="1:36" ht="25.5">
      <c r="A8" s="3299"/>
      <c r="B8" s="170" t="s">
        <v>1957</v>
      </c>
      <c r="C8" s="2026" t="s">
        <v>3409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1960</v>
      </c>
      <c r="X8" s="36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1.05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67"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68"/>
      <c r="C15" s="2043" t="s">
        <v>3413</v>
      </c>
      <c r="D15" s="2044" t="s">
        <v>3413</v>
      </c>
      <c r="E15" s="2045" t="s">
        <v>3414</v>
      </c>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66"/>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1" t="s">
        <v>3257</v>
      </c>
      <c r="B20" s="167" t="s">
        <v>1994</v>
      </c>
      <c r="C20" s="3325">
        <f>ROUND(IF(F21="与级别开发程度一致",0,(G21-E21)/C21),0)</f>
        <v>0</v>
      </c>
      <c r="D20" s="3341" t="s">
        <v>1998</v>
      </c>
      <c r="E20" s="3342"/>
      <c r="F20" s="3687" t="s">
        <v>1995</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3405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4" t="s">
        <v>2002</v>
      </c>
      <c r="E23" s="761">
        <v>44197</v>
      </c>
      <c r="F23" s="2054" t="s">
        <v>2003</v>
      </c>
      <c r="G23" s="762">
        <f>'数据-取费表'!B2</f>
        <v>45379</v>
      </c>
      <c r="H23" s="3343" t="s">
        <v>3259</v>
      </c>
      <c r="I23" s="3344" t="str">
        <f>IF(H23="季度增幅（自定义）",SUMIF(N25:N28,E2,O25:O28),"")</f>
        <v/>
      </c>
      <c r="J23" s="3446" t="s">
        <v>3258</v>
      </c>
      <c r="K23" s="1125"/>
      <c r="L23" s="2055" t="s">
        <v>2004</v>
      </c>
      <c r="M23" s="1328">
        <f>ROUND(SUMIF(地价!B2:G2,E2,地价!B16:G16),0)</f>
        <v>687</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0.95220000000000005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52</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3473">
        <f>IF(B25="容积率修正",IF(G3&lt;10,D26,J26),C27)</f>
        <v>0.94620000000000004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3472">
        <f>IF(E26=G26,F26,IF(G3&lt;10,ROUND(F26+(H26-F26)*(G3-E26)/(G26-E26),4),"——"))</f>
        <v>0.94620000000000004</v>
      </c>
      <c r="E26" s="752">
        <f>ROUNDDOWN(G3,1)</f>
        <v>3.4</v>
      </c>
      <c r="F26" s="34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0.94920000000000004</v>
      </c>
      <c r="G26" s="752">
        <f>ROUNDUP(G3,1)</f>
        <v>3.5</v>
      </c>
      <c r="H26" s="34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0.94540000000000002</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95</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30316</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7579</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5"/>
      <c r="B37" s="2113" t="s">
        <v>2036</v>
      </c>
      <c r="C37" s="175">
        <f>ROUND(D5*C22*C23*C24*C28*F37,0)</f>
        <v>21359</v>
      </c>
      <c r="D37" s="2098"/>
      <c r="E37" s="171">
        <f>ROUND(C37*D37/10000,0)</f>
        <v>0</v>
      </c>
      <c r="F37" s="171">
        <f>SUMIF(修正!A57:A68,G2,修正!B57:B68)</f>
        <v>0.7</v>
      </c>
      <c r="G37" s="171">
        <f>ROUND(IF(E2="工业",C37*$M$42,C37*$M$41),0)</f>
        <v>5340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2037</v>
      </c>
      <c r="C38" s="175">
        <f>ROUND(D5*C22*C23*C24*C28*F38,0)</f>
        <v>12205</v>
      </c>
      <c r="D38" s="2098"/>
      <c r="E38" s="171">
        <f t="shared" ref="E38:E42" si="4">ROUND(C38*D38/10000,0)</f>
        <v>0</v>
      </c>
      <c r="F38" s="171">
        <f>SUMIF(修正!A57:A68,G2,修正!C57:C68)</f>
        <v>0.4</v>
      </c>
      <c r="G38" s="171">
        <f>ROUND(IF(E2="工业",C38*$M$42,C38*$M$41),0)</f>
        <v>3051</v>
      </c>
      <c r="H38" s="171">
        <f t="shared" ref="H38:H42" si="5">D38</f>
        <v>0</v>
      </c>
      <c r="I38" s="171">
        <f t="shared" ref="I38:I42" si="6">ROUND(G38*H38/10000,0)</f>
        <v>0</v>
      </c>
      <c r="J38" s="3480"/>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6"/>
      <c r="B39" s="2041" t="s">
        <v>3262</v>
      </c>
      <c r="C39" s="175">
        <f>ROUND(D5*C22*C23*C24*C28*F39,0)</f>
        <v>9154</v>
      </c>
      <c r="D39" s="2098"/>
      <c r="E39" s="171">
        <f t="shared" si="4"/>
        <v>0</v>
      </c>
      <c r="F39" s="171">
        <f>SUMIF(修正!A57:A68,G2,修正!D57:D68)</f>
        <v>0.3</v>
      </c>
      <c r="G39" s="171">
        <f>ROUND(IF(E2="工业",C39*$M$42,C39*$M$41),0)</f>
        <v>2289</v>
      </c>
      <c r="H39" s="171">
        <f t="shared" si="5"/>
        <v>0</v>
      </c>
      <c r="I39" s="171">
        <f t="shared" si="6"/>
        <v>0</v>
      </c>
      <c r="J39" s="348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9154</v>
      </c>
      <c r="D40" s="2098"/>
      <c r="E40" s="171">
        <f t="shared" si="4"/>
        <v>0</v>
      </c>
      <c r="F40" s="175">
        <f>SUMIF(修正!A57:A68,G2,修正!E57:E68)</f>
        <v>0.3</v>
      </c>
      <c r="G40" s="171">
        <f>ROUND(IF(E2="工业",C40*$M$42,C40*$M$41),0)</f>
        <v>2289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8321</v>
      </c>
      <c r="D41" s="2098">
        <f>'数据-汇总表'!G22</f>
        <v>72.150000000000006</v>
      </c>
      <c r="E41" s="171">
        <f t="shared" si="4"/>
        <v>60</v>
      </c>
      <c r="F41" s="175">
        <f>SUMIF(修正!A57:A68,G2,修正!F57:F68)</f>
        <v>0.3</v>
      </c>
      <c r="G41" s="171">
        <f>ROUND(IF(E2="工业",C41*$M$42,C41*$M$41),0)</f>
        <v>2080</v>
      </c>
      <c r="H41" s="171">
        <f t="shared" si="5"/>
        <v>72.150000000000006</v>
      </c>
      <c r="I41" s="171">
        <f t="shared" si="6"/>
        <v>15</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5548</v>
      </c>
      <c r="D42" s="2103">
        <f>'数据-汇总表'!G21</f>
        <v>62.870000000000005</v>
      </c>
      <c r="E42" s="187">
        <f t="shared" si="4"/>
        <v>35</v>
      </c>
      <c r="F42" s="767">
        <f>SUMIF(修正!A57:A68,G2,修正!G57:G68)</f>
        <v>0.2</v>
      </c>
      <c r="G42" s="187">
        <f>ROUND(IF(E2="工业",C42*$M$42,C42*$M$41),0)</f>
        <v>1387</v>
      </c>
      <c r="H42" s="187">
        <f t="shared" si="5"/>
        <v>62.870000000000005</v>
      </c>
      <c r="I42" s="187">
        <f t="shared" si="6"/>
        <v>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0.86560000000000004</v>
      </c>
      <c r="D44" s="171" t="s">
        <v>1999</v>
      </c>
      <c r="E44" s="2153">
        <f>G24</f>
        <v>0.05</v>
      </c>
      <c r="F44" s="171" t="s">
        <v>2008</v>
      </c>
      <c r="G44" s="183">
        <f>项目基本情况!F15</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3406</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3406</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3406</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3407</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3406</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3408</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3406</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t="e">
        <f t="shared" si="13"/>
        <v>#VALUE!</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3406</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3406</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3407</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3406</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3406</v>
      </c>
      <c r="D67" s="1065" t="e">
        <f t="shared" si="13"/>
        <v>#VALUE!</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3408</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3406</v>
      </c>
      <c r="D69" s="1065" t="e">
        <f t="shared" si="13"/>
        <v>#VALUE!</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f>IF(E2="住宅",SUMIF(L1:L12,G2,N1:N12),"——")</f>
        <v>9.6000000000000002E-2</v>
      </c>
      <c r="G72" s="1063"/>
      <c r="H72" s="1066">
        <f t="shared" ref="H72:H80" si="20">IFERROR(ROUNDDOWN($F$72*I72/2,4),"——")</f>
        <v>9.5999999999999992E-3</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f t="shared" si="20"/>
        <v>1.24E-2</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9"/>
        <v>0</v>
      </c>
      <c r="E74" s="747"/>
      <c r="F74" s="1814"/>
      <c r="G74" s="1063"/>
      <c r="H74" s="1066">
        <f t="shared" si="20"/>
        <v>4.7999999999999996E-3</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f t="shared" si="20"/>
        <v>2.3999999999999998E-3</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f t="shared" si="20"/>
        <v>3.8E-3</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f t="shared" si="20"/>
        <v>4.3E-3</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f t="shared" si="20"/>
        <v>2.3999999999999998E-3</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f t="shared" si="20"/>
        <v>5.7000000000000002E-3</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f t="shared" si="20"/>
        <v>2.3999999999999998E-3</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2044</v>
      </c>
      <c r="B92" s="3366"/>
      <c r="C92" s="3366" t="s">
        <v>2046</v>
      </c>
      <c r="D92" s="3366" t="s">
        <v>2047</v>
      </c>
      <c r="E92" s="3348" t="s">
        <v>2048</v>
      </c>
      <c r="F92" s="3381" t="s">
        <v>3286</v>
      </c>
      <c r="G92" s="3366" t="s">
        <v>1989</v>
      </c>
      <c r="H92" s="3388" t="s">
        <v>3290</v>
      </c>
      <c r="I92" s="3366" t="s">
        <v>2051</v>
      </c>
      <c r="J92" s="3389" t="s">
        <v>1721</v>
      </c>
      <c r="K92" s="3389" t="s">
        <v>1722</v>
      </c>
      <c r="L92" s="3389" t="s">
        <v>1723</v>
      </c>
      <c r="M92" s="3389" t="s">
        <v>1724</v>
      </c>
      <c r="N92" s="3389" t="s">
        <v>1725</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3272</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2054</v>
      </c>
      <c r="B96" s="3385" t="s">
        <v>3288</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2057</v>
      </c>
      <c r="B98" s="3386" t="s">
        <v>3289</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683" t="s">
        <v>3297</v>
      </c>
      <c r="B103" s="3683"/>
      <c r="C103" s="3683"/>
      <c r="D103" s="3683"/>
      <c r="E103" s="3683"/>
      <c r="F103" s="3683"/>
      <c r="G103" s="3683"/>
      <c r="H103" s="3683"/>
      <c r="I103" s="3683"/>
      <c r="J103" s="3683"/>
      <c r="K103" s="3478"/>
      <c r="L103" s="3478"/>
      <c r="M103" s="3478"/>
      <c r="N103" s="3478"/>
    </row>
    <row r="104" spans="1:14">
      <c r="A104" s="3684" t="s">
        <v>3298</v>
      </c>
      <c r="B104" s="3684" t="s">
        <v>3299</v>
      </c>
      <c r="C104" s="3391" t="s">
        <v>3300</v>
      </c>
      <c r="D104" s="3392"/>
      <c r="E104" s="3392"/>
      <c r="F104" s="3392"/>
      <c r="G104" s="3392"/>
      <c r="H104" s="3392"/>
      <c r="I104" s="3392"/>
      <c r="J104" s="3393"/>
      <c r="K104" s="3394"/>
      <c r="L104" s="3394"/>
      <c r="M104" s="3394"/>
      <c r="N104" s="3394"/>
    </row>
    <row r="105" spans="1:14">
      <c r="A105" s="3684"/>
      <c r="B105" s="3684"/>
      <c r="C105" s="3479" t="s">
        <v>1961</v>
      </c>
      <c r="D105" s="3479" t="s">
        <v>1962</v>
      </c>
      <c r="E105" s="3479" t="s">
        <v>1963</v>
      </c>
      <c r="F105" s="3479" t="s">
        <v>1964</v>
      </c>
      <c r="G105" s="3479" t="s">
        <v>1965</v>
      </c>
      <c r="H105" s="3479" t="s">
        <v>1966</v>
      </c>
      <c r="I105" s="3479" t="s">
        <v>1967</v>
      </c>
      <c r="J105" s="3479" t="s">
        <v>1968</v>
      </c>
      <c r="K105" s="3479" t="s">
        <v>1969</v>
      </c>
      <c r="L105" s="3479" t="s">
        <v>1970</v>
      </c>
      <c r="M105" s="3479" t="s">
        <v>1971</v>
      </c>
      <c r="N105" s="3479" t="s">
        <v>1972</v>
      </c>
    </row>
    <row r="106" spans="1:14">
      <c r="A106" s="3670" t="s">
        <v>3313</v>
      </c>
      <c r="B106" s="3479">
        <v>1</v>
      </c>
      <c r="C106" s="3479">
        <v>1.5206</v>
      </c>
      <c r="D106" s="3479">
        <v>1.5206</v>
      </c>
      <c r="E106" s="3479">
        <v>1.5019</v>
      </c>
      <c r="F106" s="3479">
        <v>1.5019</v>
      </c>
      <c r="G106" s="3479">
        <v>1.5019</v>
      </c>
      <c r="H106" s="3479">
        <v>1.5019</v>
      </c>
      <c r="I106" s="3479">
        <v>1.5019</v>
      </c>
      <c r="J106" s="3479">
        <v>1.5418000000000001</v>
      </c>
      <c r="K106" s="3479">
        <v>1.5418000000000001</v>
      </c>
      <c r="L106" s="3479">
        <v>1.5418000000000001</v>
      </c>
      <c r="M106" s="3479">
        <v>1.5418000000000001</v>
      </c>
      <c r="N106" s="3479">
        <v>1.5418000000000001</v>
      </c>
    </row>
    <row r="107" spans="1:14">
      <c r="A107" s="3671"/>
      <c r="B107" s="3479">
        <v>2</v>
      </c>
      <c r="C107" s="3479">
        <v>1.2072000000000001</v>
      </c>
      <c r="D107" s="3479">
        <v>1.2072000000000001</v>
      </c>
      <c r="E107" s="3479">
        <v>1.1838</v>
      </c>
      <c r="F107" s="3479">
        <v>1.1838</v>
      </c>
      <c r="G107" s="3479">
        <v>1.1838</v>
      </c>
      <c r="H107" s="3479">
        <v>1.1838</v>
      </c>
      <c r="I107" s="3479">
        <v>1.1838</v>
      </c>
      <c r="J107" s="3479">
        <v>1.1883999999999999</v>
      </c>
      <c r="K107" s="3479">
        <v>1.1883999999999999</v>
      </c>
      <c r="L107" s="3479">
        <v>1.1883999999999999</v>
      </c>
      <c r="M107" s="3479">
        <v>1.1883999999999999</v>
      </c>
      <c r="N107" s="3479">
        <v>1.1883999999999999</v>
      </c>
    </row>
    <row r="108" spans="1:14">
      <c r="A108" s="3671"/>
      <c r="B108" s="3479">
        <v>3</v>
      </c>
      <c r="C108" s="3479">
        <v>1.0430999999999999</v>
      </c>
      <c r="D108" s="3479">
        <v>1.0430999999999999</v>
      </c>
      <c r="E108" s="3479">
        <v>1.0004999999999999</v>
      </c>
      <c r="F108" s="3479">
        <v>1.0004999999999999</v>
      </c>
      <c r="G108" s="3479">
        <v>1.0004999999999999</v>
      </c>
      <c r="H108" s="3479">
        <v>1.0004999999999999</v>
      </c>
      <c r="I108" s="3479">
        <v>1.0004999999999999</v>
      </c>
      <c r="J108" s="3479">
        <v>0.96940000000000004</v>
      </c>
      <c r="K108" s="3479">
        <v>0.96940000000000004</v>
      </c>
      <c r="L108" s="3479">
        <v>0.96940000000000004</v>
      </c>
      <c r="M108" s="3479">
        <v>0.96940000000000004</v>
      </c>
      <c r="N108" s="3479">
        <v>0.96940000000000004</v>
      </c>
    </row>
    <row r="109" spans="1:14">
      <c r="A109" s="3671"/>
      <c r="B109" s="3479">
        <v>4</v>
      </c>
      <c r="C109" s="3479">
        <v>0.94389999999999996</v>
      </c>
      <c r="D109" s="3479">
        <v>0.94389999999999996</v>
      </c>
      <c r="E109" s="3479">
        <v>0.88239999999999996</v>
      </c>
      <c r="F109" s="3479">
        <v>0.88239999999999996</v>
      </c>
      <c r="G109" s="3479">
        <v>0.88239999999999996</v>
      </c>
      <c r="H109" s="3479">
        <v>0.88239999999999996</v>
      </c>
      <c r="I109" s="3479">
        <v>0.88239999999999996</v>
      </c>
      <c r="J109" s="3479">
        <v>0.82299999999999995</v>
      </c>
      <c r="K109" s="3479">
        <v>0.82299999999999995</v>
      </c>
      <c r="L109" s="3479">
        <v>0.82299999999999995</v>
      </c>
      <c r="M109" s="3479">
        <v>0.82299999999999995</v>
      </c>
      <c r="N109" s="3479">
        <v>0.82299999999999995</v>
      </c>
    </row>
    <row r="110" spans="1:14">
      <c r="A110" s="3671"/>
      <c r="B110" s="3479">
        <v>5</v>
      </c>
      <c r="C110" s="3479">
        <v>0.89959999999999996</v>
      </c>
      <c r="D110" s="3479">
        <v>0.89959999999999996</v>
      </c>
      <c r="E110" s="3479">
        <v>0.84799999999999998</v>
      </c>
      <c r="F110" s="3479">
        <v>0.84799999999999998</v>
      </c>
      <c r="G110" s="3479">
        <v>0.84799999999999998</v>
      </c>
      <c r="H110" s="3479">
        <v>0.84799999999999998</v>
      </c>
      <c r="I110" s="3479">
        <v>0.84799999999999998</v>
      </c>
      <c r="J110" s="3479">
        <v>0.74980000000000002</v>
      </c>
      <c r="K110" s="3479">
        <v>0.74980000000000002</v>
      </c>
      <c r="L110" s="3479">
        <v>0.74980000000000002</v>
      </c>
      <c r="M110" s="3479">
        <v>0.74980000000000002</v>
      </c>
      <c r="N110" s="3479">
        <v>0.74980000000000002</v>
      </c>
    </row>
    <row r="111" spans="1:14">
      <c r="A111" s="3671"/>
      <c r="B111" s="3479" t="s">
        <v>3271</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672"/>
      <c r="B112" s="3479">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673" t="s">
        <v>3314</v>
      </c>
      <c r="B113" s="3673"/>
      <c r="C113" s="3673"/>
      <c r="D113" s="3673"/>
      <c r="E113" s="3673"/>
      <c r="F113" s="3673"/>
      <c r="G113" s="3673"/>
      <c r="H113" s="3673"/>
      <c r="I113" s="3673"/>
      <c r="J113" s="3673"/>
      <c r="K113" s="3476"/>
      <c r="L113" s="3476"/>
      <c r="M113" s="3476"/>
      <c r="N113" s="3476"/>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3.48</v>
      </c>
      <c r="C116" s="3400" t="s">
        <v>3316</v>
      </c>
      <c r="D116" s="3401">
        <f>SUMPRODUCT((A118:A122=F116)*(B117:M117=H116)*B118:M122)</f>
        <v>0.90480000000000005</v>
      </c>
      <c r="E116" s="2000" t="s">
        <v>1936</v>
      </c>
      <c r="F116" s="3402" t="str">
        <f>E2</f>
        <v>住宅</v>
      </c>
      <c r="G116" s="2000" t="s">
        <v>1937</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1990</v>
      </c>
      <c r="B118" s="3388">
        <f>ROUND(0.9968-0.011*B116,4)</f>
        <v>0.95850000000000002</v>
      </c>
      <c r="C118" s="3388">
        <f>B118</f>
        <v>0.95850000000000002</v>
      </c>
      <c r="D118" s="3388">
        <f>ROUND(0.949-0.014*B116,4)</f>
        <v>0.90029999999999999</v>
      </c>
      <c r="E118" s="3388">
        <f>D118</f>
        <v>0.90029999999999999</v>
      </c>
      <c r="F118" s="3388">
        <f>E118</f>
        <v>0.90029999999999999</v>
      </c>
      <c r="G118" s="3388">
        <f>F118</f>
        <v>0.90029999999999999</v>
      </c>
      <c r="H118" s="3388">
        <f>G118</f>
        <v>0.90029999999999999</v>
      </c>
      <c r="I118" s="3388">
        <f>ROUND(0.8486-0.018*B116,4)</f>
        <v>0.78600000000000003</v>
      </c>
      <c r="J118" s="3388">
        <f t="shared" ref="J118:M122" si="37">I118</f>
        <v>0.78600000000000003</v>
      </c>
      <c r="K118" s="3388">
        <f t="shared" si="37"/>
        <v>0.78600000000000003</v>
      </c>
      <c r="L118" s="3388">
        <f t="shared" si="37"/>
        <v>0.78600000000000003</v>
      </c>
      <c r="M118" s="3411">
        <f t="shared" si="37"/>
        <v>0.78600000000000003</v>
      </c>
      <c r="N118" s="3398"/>
    </row>
    <row r="119" spans="1:14">
      <c r="A119" s="3410" t="s">
        <v>1991</v>
      </c>
      <c r="B119" s="3388">
        <f>ROUND(0.993-0.0112*B116,4)</f>
        <v>0.95399999999999996</v>
      </c>
      <c r="C119" s="3388">
        <f>B119</f>
        <v>0.95399999999999996</v>
      </c>
      <c r="D119" s="3388">
        <f>ROUND(0.9415-0.0142*B116,4)</f>
        <v>0.8921</v>
      </c>
      <c r="E119" s="3388">
        <f t="shared" ref="E119:H120" si="38">D119</f>
        <v>0.8921</v>
      </c>
      <c r="F119" s="3388">
        <f t="shared" si="38"/>
        <v>0.8921</v>
      </c>
      <c r="G119" s="3388">
        <f t="shared" si="38"/>
        <v>0.8921</v>
      </c>
      <c r="H119" s="3388">
        <f t="shared" si="38"/>
        <v>0.8921</v>
      </c>
      <c r="I119" s="3388">
        <f>ROUND(0.838-0.0182*B116,4)</f>
        <v>0.77470000000000006</v>
      </c>
      <c r="J119" s="3388">
        <f t="shared" si="37"/>
        <v>0.77470000000000006</v>
      </c>
      <c r="K119" s="3388">
        <f t="shared" si="37"/>
        <v>0.77470000000000006</v>
      </c>
      <c r="L119" s="3388">
        <f t="shared" si="37"/>
        <v>0.77470000000000006</v>
      </c>
      <c r="M119" s="3411">
        <f t="shared" si="37"/>
        <v>0.77470000000000006</v>
      </c>
      <c r="N119" s="3398"/>
    </row>
    <row r="120" spans="1:14">
      <c r="A120" s="3410" t="s">
        <v>1992</v>
      </c>
      <c r="B120" s="3388">
        <f>ROUND(0.9448-0.0115*B116,4)</f>
        <v>0.90480000000000005</v>
      </c>
      <c r="C120" s="3388">
        <f>B120</f>
        <v>0.90480000000000005</v>
      </c>
      <c r="D120" s="3388">
        <f>ROUND(0.937-0.0145*B116,4)</f>
        <v>0.88649999999999995</v>
      </c>
      <c r="E120" s="3388">
        <f t="shared" si="38"/>
        <v>0.88649999999999995</v>
      </c>
      <c r="F120" s="3388">
        <f t="shared" si="38"/>
        <v>0.88649999999999995</v>
      </c>
      <c r="G120" s="3388">
        <f t="shared" si="38"/>
        <v>0.88649999999999995</v>
      </c>
      <c r="H120" s="3388">
        <f t="shared" si="38"/>
        <v>0.88649999999999995</v>
      </c>
      <c r="I120" s="3388">
        <f>ROUND(0.7965-0.0185*B116,4)</f>
        <v>0.73209999999999997</v>
      </c>
      <c r="J120" s="3388">
        <f t="shared" si="37"/>
        <v>0.73209999999999997</v>
      </c>
      <c r="K120" s="3388">
        <f t="shared" si="37"/>
        <v>0.73209999999999997</v>
      </c>
      <c r="L120" s="3388">
        <f t="shared" si="37"/>
        <v>0.73209999999999997</v>
      </c>
      <c r="M120" s="3411">
        <f t="shared" si="37"/>
        <v>0.73209999999999997</v>
      </c>
      <c r="N120" s="3398"/>
    </row>
    <row r="121" spans="1:14" ht="13.5" thickBot="1">
      <c r="A121" s="3412" t="s">
        <v>1993</v>
      </c>
      <c r="B121" s="3413">
        <f>ROUND(0.7836-0.012*B116,4)</f>
        <v>0.74180000000000001</v>
      </c>
      <c r="C121" s="3413">
        <f>B121</f>
        <v>0.74180000000000001</v>
      </c>
      <c r="D121" s="3413">
        <f>ROUND(0.753-0.015*B116,4)</f>
        <v>0.70079999999999998</v>
      </c>
      <c r="E121" s="3413">
        <f>D121</f>
        <v>0.70079999999999998</v>
      </c>
      <c r="F121" s="3413">
        <f>E121</f>
        <v>0.70079999999999998</v>
      </c>
      <c r="G121" s="3413">
        <f>ROUND(0.6612-0.018*B116,4)</f>
        <v>0.59860000000000002</v>
      </c>
      <c r="H121" s="3413">
        <f>G121</f>
        <v>0.59860000000000002</v>
      </c>
      <c r="I121" s="3413">
        <f>ROUND(0.5905-0.019*B116,4)</f>
        <v>0.52439999999999998</v>
      </c>
      <c r="J121" s="3413">
        <f t="shared" si="37"/>
        <v>0.52439999999999998</v>
      </c>
      <c r="K121" s="3413">
        <f t="shared" si="37"/>
        <v>0.52439999999999998</v>
      </c>
      <c r="L121" s="3413">
        <f t="shared" si="37"/>
        <v>0.52439999999999998</v>
      </c>
      <c r="M121" s="3414">
        <f t="shared" si="37"/>
        <v>0.52439999999999998</v>
      </c>
      <c r="N121" s="3398"/>
    </row>
    <row r="122" spans="1:14">
      <c r="A122" s="3415" t="s">
        <v>2615</v>
      </c>
      <c r="B122" s="3388">
        <f>ROUND(0.9404-0.0106*B116,4)</f>
        <v>0.90349999999999997</v>
      </c>
      <c r="C122" s="3388">
        <f>B122</f>
        <v>0.90349999999999997</v>
      </c>
      <c r="D122" s="3388">
        <f>ROUND(0.8955-0.0135*B116,4)</f>
        <v>0.84850000000000003</v>
      </c>
      <c r="E122" s="3388">
        <f t="shared" ref="E122:H122" si="39">D122</f>
        <v>0.84850000000000003</v>
      </c>
      <c r="F122" s="3388">
        <f t="shared" si="39"/>
        <v>0.84850000000000003</v>
      </c>
      <c r="G122" s="3388">
        <f t="shared" si="39"/>
        <v>0.84850000000000003</v>
      </c>
      <c r="H122" s="3388">
        <f t="shared" si="39"/>
        <v>0.84850000000000003</v>
      </c>
      <c r="I122" s="3388">
        <f>ROUND(0.7632-0.0166*B116,4)</f>
        <v>0.70540000000000003</v>
      </c>
      <c r="J122" s="3388">
        <f t="shared" si="37"/>
        <v>0.70540000000000003</v>
      </c>
      <c r="K122" s="3388">
        <f t="shared" si="37"/>
        <v>0.70540000000000003</v>
      </c>
      <c r="L122" s="3388">
        <f t="shared" si="37"/>
        <v>0.70540000000000003</v>
      </c>
      <c r="M122" s="3411">
        <f t="shared" si="37"/>
        <v>0.70540000000000003</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0" sqref="A1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2073</v>
      </c>
      <c r="B2" s="2602">
        <f ca="1">SUMIF(B6:B13,"&lt;&gt;#ref!",B6:B13)</f>
        <v>8084</v>
      </c>
      <c r="C2" s="2145" t="s">
        <v>2074</v>
      </c>
      <c r="D2" s="2145" t="s">
        <v>2075</v>
      </c>
      <c r="E2" s="2612">
        <f ca="1">SUMIF(E6:E13,"&lt;&gt;#ref!",E6:E13)</f>
        <v>227.46</v>
      </c>
      <c r="F2" s="2793"/>
      <c r="G2" s="2793"/>
      <c r="H2" s="2793"/>
      <c r="I2" s="2793"/>
      <c r="J2" s="2793"/>
      <c r="K2" s="2793"/>
      <c r="L2" s="2793"/>
      <c r="M2" s="2793"/>
      <c r="N2" s="2793"/>
      <c r="O2" s="2793"/>
      <c r="P2" s="2793"/>
    </row>
    <row r="3" spans="1:16" ht="15.75">
      <c r="A3" s="2145" t="s">
        <v>2076</v>
      </c>
      <c r="B3" s="2602">
        <f ca="1">ROUND(B2*10000/E2,0)</f>
        <v>355403</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3415</v>
      </c>
      <c r="B6" s="2602">
        <f ca="1">SUMIF(INDIRECT("'"&amp;A6&amp;"'"&amp;"!A:A"),"总价",INDIRECT("'"&amp;A6&amp;"'"&amp;"!B:B"))</f>
        <v>260</v>
      </c>
      <c r="C6" s="2145" t="s">
        <v>2074</v>
      </c>
      <c r="D6" s="2793"/>
      <c r="E6" s="2612">
        <f ca="1">SUMIF(INDIRECT("'"&amp;A6&amp;"'"&amp;"!C:C"),"建筑面积",INDIRECT("'"&amp;A6&amp;"'"&amp;"!D:D"))</f>
        <v>92.44</v>
      </c>
      <c r="F6" s="2793"/>
      <c r="G6" s="2793"/>
      <c r="H6" s="2793"/>
      <c r="I6" s="2793"/>
      <c r="J6" s="2793"/>
      <c r="K6" s="2793"/>
      <c r="L6" s="2793"/>
      <c r="M6" s="2793"/>
      <c r="N6" s="2793"/>
      <c r="O6" s="2793"/>
      <c r="P6" s="2793"/>
    </row>
    <row r="7" spans="1:16" ht="15.75">
      <c r="A7" s="2609" t="s">
        <v>3416</v>
      </c>
      <c r="B7" s="2602">
        <f ca="1">SUMIF(INDIRECT("'"&amp;A7&amp;"'"&amp;"!A:A"),"总价",INDIRECT("'"&amp;A7&amp;"'"&amp;"!B:B"))</f>
        <v>7729</v>
      </c>
      <c r="C7" s="2145" t="s">
        <v>2074</v>
      </c>
      <c r="D7" s="2793"/>
      <c r="E7" s="2612">
        <f t="shared" ref="E7:E13" ca="1" si="0">SUMIF(INDIRECT("'"&amp;A7&amp;"'"&amp;"!C:C"),"建筑面积",INDIRECT("'"&amp;A7&amp;"'"&amp;"!D:D"))</f>
        <v>0</v>
      </c>
      <c r="F7" s="2793"/>
      <c r="G7" s="2793"/>
      <c r="H7" s="2793"/>
      <c r="I7" s="2793"/>
      <c r="J7" s="2793"/>
      <c r="K7" s="2793"/>
      <c r="L7" s="2793"/>
      <c r="M7" s="2793"/>
      <c r="N7" s="2793"/>
      <c r="O7" s="2793"/>
      <c r="P7" s="2793"/>
    </row>
    <row r="8" spans="1:16" ht="15.75">
      <c r="A8" s="2609" t="s">
        <v>3418</v>
      </c>
      <c r="B8" s="2602">
        <f t="shared" ref="B8:B13" ca="1" si="1">SUMIF(INDIRECT("'"&amp;A8&amp;"'"&amp;"!A:A"),"总价",INDIRECT("'"&amp;A8&amp;"'"&amp;"!B:B"))</f>
        <v>95</v>
      </c>
      <c r="C8" s="2145" t="s">
        <v>2074</v>
      </c>
      <c r="D8" s="2793"/>
      <c r="E8" s="2612">
        <f t="shared" ca="1" si="0"/>
        <v>135.02000000000001</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估价对象为房地产，为所有。根据《国有土地使用证》[]，估价对象（分摊）出让国有建设用地使用权面积为0平方米，建筑面积为2209.09平方米。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估价对象为房地产,属开发建设的，该项目尚在开发建设中。根据《国有土地使用证》[]，估价对象（分摊）出让国有建设用地使用权面积为0平方米，规划建筑面积为2209.09平方米。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10</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2209.09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2209.09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44</v>
      </c>
      <c r="D20" s="846">
        <f ca="1">IF(C1="",'数据-汇总表'!E6,IF(INDIRECT("'数据-取费表'!c"&amp;$K$1)="住宅",INDIRECT("'数据-取费表'!s"&amp;$K$1),INDIRECT("'数据-取费表'!k"&amp;$K$1)+INDIRECT("'数据-取费表'!s"&amp;$K$1)))</f>
        <v>2209.09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9" sqref="F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8437</v>
      </c>
      <c r="C2" s="1387" t="s">
        <v>805</v>
      </c>
      <c r="D2" s="1387"/>
      <c r="E2" s="1388"/>
      <c r="F2" s="1389"/>
      <c r="G2" s="2706"/>
      <c r="H2" s="2695"/>
      <c r="I2" s="2695"/>
      <c r="J2" s="2695"/>
      <c r="K2" s="2696"/>
      <c r="L2" s="2695"/>
      <c r="M2" s="2695"/>
    </row>
    <row r="3" spans="1:37" ht="18" customHeight="1" thickBot="1">
      <c r="A3" s="1390" t="s">
        <v>806</v>
      </c>
      <c r="B3" s="1391">
        <f ca="1">IF(ISERROR(B2*10000/F43),0,ROUND(B2*10000/F43,0))</f>
        <v>42576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652</v>
      </c>
      <c r="D5" s="1364" t="s">
        <v>693</v>
      </c>
      <c r="E5" s="1071"/>
      <c r="F5" s="1072"/>
      <c r="G5" s="1384"/>
      <c r="H5" s="299">
        <v>1</v>
      </c>
      <c r="I5" s="300" t="s">
        <v>692</v>
      </c>
      <c r="J5" s="1070">
        <f ca="1">J6+J10+J12</f>
        <v>0</v>
      </c>
      <c r="K5" s="1364" t="s">
        <v>693</v>
      </c>
      <c r="L5" s="1071"/>
      <c r="M5" s="1072"/>
    </row>
    <row r="6" spans="1:37" ht="18" customHeight="1">
      <c r="A6" s="1069" t="s">
        <v>398</v>
      </c>
      <c r="B6" s="3691" t="s">
        <v>694</v>
      </c>
      <c r="C6" s="1074">
        <f ca="1">ROUND(F6*F8*F7*(1-F9)/10000,0)</f>
        <v>651</v>
      </c>
      <c r="D6" s="155" t="s">
        <v>2108</v>
      </c>
      <c r="E6" s="302" t="s">
        <v>696</v>
      </c>
      <c r="F6" s="303">
        <f ca="1">INDIRECT("'数据-取费表'!u"&amp;$G$1)</f>
        <v>10</v>
      </c>
      <c r="G6" s="1384"/>
      <c r="H6" s="1069" t="s">
        <v>398</v>
      </c>
      <c r="I6" s="3691" t="s">
        <v>694</v>
      </c>
      <c r="J6" s="301">
        <f ca="1">ROUND(M6*M8*M7*(1-M9)/10000,0)</f>
        <v>0</v>
      </c>
      <c r="K6" s="155"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1981.63</v>
      </c>
      <c r="G7" s="1384"/>
      <c r="H7" s="304"/>
      <c r="I7" s="3692"/>
      <c r="J7" s="306"/>
      <c r="K7" s="307"/>
      <c r="L7" s="302" t="s">
        <v>697</v>
      </c>
      <c r="M7" s="303">
        <f ca="1">F7</f>
        <v>1981.63</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3427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980</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892</v>
      </c>
      <c r="D14" s="1345" t="s">
        <v>708</v>
      </c>
      <c r="E14" s="1342"/>
      <c r="F14" s="319"/>
      <c r="G14" s="1384"/>
      <c r="H14" s="982" t="s">
        <v>398</v>
      </c>
      <c r="I14" s="302" t="s">
        <v>709</v>
      </c>
      <c r="J14" s="21">
        <f ca="1">C29</f>
        <v>1281</v>
      </c>
      <c r="K14" s="12"/>
      <c r="L14" s="807"/>
      <c r="M14" s="808"/>
    </row>
    <row r="15" spans="1:37" s="1397" customFormat="1" ht="18" customHeight="1" thickBot="1">
      <c r="A15" s="982" t="s">
        <v>399</v>
      </c>
      <c r="B15" s="302" t="s">
        <v>710</v>
      </c>
      <c r="C15" s="21">
        <f ca="1">ROUND(C14*F15,0)</f>
        <v>27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977</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6.41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150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1281</v>
      </c>
      <c r="D29" s="1092"/>
      <c r="E29" s="1090"/>
      <c r="F29" s="1093"/>
      <c r="G29" s="1396"/>
      <c r="H29" s="334" t="s">
        <v>396</v>
      </c>
      <c r="I29" s="335" t="s">
        <v>768</v>
      </c>
      <c r="J29" s="336">
        <f ca="1">ROUND(J26/(1+F40)^F41,0)</f>
        <v>0</v>
      </c>
      <c r="K29" s="337" t="s">
        <v>769</v>
      </c>
      <c r="L29" s="338"/>
      <c r="M29" s="339">
        <f ca="1">INDIRECT("'数据-取费表'!k"&amp;$G$1)</f>
        <v>1981.63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109.12</v>
      </c>
      <c r="D31" s="1345" t="s">
        <v>720</v>
      </c>
      <c r="E31" s="1344"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f ca="1">IF(项目基本情况!B11="自然人","——",ROUND(C6*F32/(1+'数据-取费表'!C42),2))</f>
        <v>34.72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74.400000000000006</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6.41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0.98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3.26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532</v>
      </c>
      <c r="D39" s="1095" t="s">
        <v>773</v>
      </c>
      <c r="E39" s="1096"/>
      <c r="F39" s="1097"/>
      <c r="G39" s="1384"/>
      <c r="H39" s="2700"/>
      <c r="I39" s="1398"/>
      <c r="J39" s="1399"/>
      <c r="K39" s="2704"/>
      <c r="L39" s="2700"/>
      <c r="M39" s="2700"/>
    </row>
    <row r="40" spans="1:18" ht="18" customHeight="1">
      <c r="A40" s="299" t="s">
        <v>395</v>
      </c>
      <c r="B40" s="300" t="s">
        <v>774</v>
      </c>
      <c r="C40" s="301">
        <f ca="1">ROUND(C39*(1-((1+F42)/(1+F40))^F41)/(F40-F42),0)</f>
        <v>8333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42051</v>
      </c>
      <c r="D43" s="337" t="s">
        <v>777</v>
      </c>
      <c r="E43" s="338" t="s">
        <v>778</v>
      </c>
      <c r="F43" s="339">
        <f ca="1">INDIRECT("'数据-取费表'!k"&amp;$G$1)</f>
        <v>1981.63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-8421</v>
      </c>
      <c r="D46" s="1406" t="str">
        <f>C2</f>
        <v>万元</v>
      </c>
      <c r="E46" s="1400"/>
      <c r="F46" s="1400"/>
      <c r="I46" s="1407" t="s">
        <v>810</v>
      </c>
      <c r="J46" s="1408"/>
      <c r="K46" s="1409"/>
      <c r="L46" s="1410">
        <f ca="1">IF(M47="住宅",0,IF(L48&gt;J51,L60,J60))</f>
        <v>104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3428</v>
      </c>
      <c r="K47" s="1416" t="s">
        <v>816</v>
      </c>
      <c r="L47" s="1417">
        <f ca="1">INDIRECT("'数据-取费表'!d"&amp;$G$1)</f>
        <v>40</v>
      </c>
      <c r="M47" s="1380" t="str">
        <f>IF(ISNUMBER(FIND("住宅",C1)),"住宅","非住宅")</f>
        <v>非住宅</v>
      </c>
      <c r="O47" s="1418" t="s">
        <v>403</v>
      </c>
      <c r="P47" s="1419" t="s">
        <v>817</v>
      </c>
      <c r="Q47" s="1420">
        <f ca="1">C40+J29</f>
        <v>8333</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22</v>
      </c>
      <c r="O48" s="1418" t="s">
        <v>404</v>
      </c>
      <c r="P48" s="1419" t="s">
        <v>821</v>
      </c>
      <c r="Q48" s="1420">
        <f ca="1">J60</f>
        <v>104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2008</v>
      </c>
      <c r="K49" s="1423" t="s">
        <v>824</v>
      </c>
      <c r="L49" s="1427"/>
      <c r="O49" s="1428" t="s">
        <v>405</v>
      </c>
      <c r="P49" s="1419" t="s">
        <v>825</v>
      </c>
      <c r="Q49" s="1420">
        <f ca="1">C29</f>
        <v>1281</v>
      </c>
      <c r="R49" s="1420" t="s">
        <v>818</v>
      </c>
    </row>
    <row r="50" spans="1:18" s="1384" customFormat="1" ht="13.5" thickBot="1">
      <c r="A50" s="976"/>
      <c r="B50" s="979"/>
      <c r="C50" s="1118"/>
      <c r="D50" s="953"/>
      <c r="E50" s="1056" t="s">
        <v>697</v>
      </c>
      <c r="F50" s="1057">
        <f ca="1">F7</f>
        <v>1981.63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8185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22</v>
      </c>
      <c r="K53" s="3689" t="s">
        <v>837</v>
      </c>
      <c r="L53" s="3690"/>
      <c r="O53" s="1418" t="s">
        <v>409</v>
      </c>
      <c r="P53" s="1419" t="s">
        <v>838</v>
      </c>
      <c r="Q53" s="1420">
        <f ca="1">Q47+Q48</f>
        <v>8437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980</v>
      </c>
      <c r="D56" s="1447"/>
      <c r="E56" s="1448"/>
      <c r="F56" s="1440"/>
      <c r="I56" s="1449" t="s">
        <v>842</v>
      </c>
      <c r="J56" s="1450" t="s">
        <v>3430</v>
      </c>
      <c r="K56" s="1421" t="s">
        <v>843</v>
      </c>
      <c r="L56" s="1424" t="str">
        <f ca="1">IF(L48&lt;J51,"——",L48-J53)</f>
        <v>——</v>
      </c>
      <c r="O56" s="1418" t="s">
        <v>403</v>
      </c>
      <c r="P56" s="1419" t="s">
        <v>817</v>
      </c>
      <c r="Q56" s="1420">
        <f ca="1">C40+J29</f>
        <v>8333</v>
      </c>
      <c r="R56" s="1420" t="s">
        <v>818</v>
      </c>
    </row>
    <row r="57" spans="1:18" s="1384" customFormat="1" ht="24.75" thickBot="1">
      <c r="A57" s="1451"/>
      <c r="B57" s="950" t="s">
        <v>767</v>
      </c>
      <c r="C57" s="238">
        <f ca="1">C29</f>
        <v>1281</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8333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6.41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0.98</v>
      </c>
      <c r="D65" s="964" t="s">
        <v>743</v>
      </c>
      <c r="E65" s="950" t="s">
        <v>744</v>
      </c>
      <c r="F65" s="330">
        <f t="shared" ca="1" si="0"/>
        <v>1E-3</v>
      </c>
      <c r="I65" s="1462" t="s">
        <v>867</v>
      </c>
      <c r="J65" s="1463">
        <v>40</v>
      </c>
      <c r="K65" s="1463">
        <v>30</v>
      </c>
      <c r="L65" s="1463">
        <v>50</v>
      </c>
      <c r="M65" s="1465">
        <v>0.02</v>
      </c>
      <c r="O65" s="1418" t="s">
        <v>403</v>
      </c>
      <c r="P65" s="1419" t="s">
        <v>868</v>
      </c>
      <c r="Q65" s="1420">
        <f ca="1">C40+J29</f>
        <v>8333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8185</v>
      </c>
      <c r="R67" s="1420" t="s">
        <v>870</v>
      </c>
    </row>
    <row r="68" spans="1:18" s="1384" customFormat="1" ht="16.5" thickBot="1">
      <c r="A68" s="947" t="s">
        <v>395</v>
      </c>
      <c r="B68" s="948" t="s">
        <v>774</v>
      </c>
      <c r="C68" s="301">
        <f ca="1">ROUND(C67*(1-((1+F70)/(1+F68))^F69)/(F68-F70),0)</f>
        <v>-88</v>
      </c>
      <c r="D68" s="965" t="s">
        <v>758</v>
      </c>
      <c r="E68" s="950" t="s">
        <v>759</v>
      </c>
      <c r="F68" s="312">
        <f ca="1">F40</f>
        <v>5.5E-2</v>
      </c>
      <c r="O68" s="1428" t="s">
        <v>406</v>
      </c>
      <c r="P68" s="1467" t="s">
        <v>871</v>
      </c>
      <c r="Q68" s="1420">
        <f ca="1">ROUND(Q69-Q70*Q71,0)</f>
        <v>463</v>
      </c>
      <c r="R68" s="1420" t="s">
        <v>414</v>
      </c>
    </row>
    <row r="69" spans="1:18" s="1384" customFormat="1" ht="13.5" thickBot="1">
      <c r="A69" s="951"/>
      <c r="B69" s="952"/>
      <c r="C69" s="306"/>
      <c r="D69" s="970" t="s">
        <v>762</v>
      </c>
      <c r="E69" s="950" t="s">
        <v>763</v>
      </c>
      <c r="F69" s="333">
        <f ca="1">F41</f>
        <v>22</v>
      </c>
      <c r="O69" s="1428" t="s">
        <v>411</v>
      </c>
      <c r="P69" s="1467" t="s">
        <v>872</v>
      </c>
      <c r="Q69" s="1420">
        <f ca="1">C39</f>
        <v>532</v>
      </c>
      <c r="R69" s="1420" t="s">
        <v>818</v>
      </c>
    </row>
    <row r="70" spans="1:18" s="1384" customFormat="1" ht="13.5" thickBot="1">
      <c r="A70" s="954"/>
      <c r="B70" s="955"/>
      <c r="C70" s="310"/>
      <c r="D70" s="966"/>
      <c r="E70" s="950" t="s">
        <v>766</v>
      </c>
      <c r="F70" s="1054"/>
      <c r="O70" s="1428" t="s">
        <v>412</v>
      </c>
      <c r="P70" s="1467" t="s">
        <v>873</v>
      </c>
      <c r="Q70" s="1420">
        <f ca="1">C13</f>
        <v>980</v>
      </c>
      <c r="R70" s="1420" t="s">
        <v>818</v>
      </c>
    </row>
    <row r="71" spans="1:18" s="1384" customFormat="1" ht="13.5" thickBot="1">
      <c r="A71" s="971" t="s">
        <v>396</v>
      </c>
      <c r="B71" s="972" t="s">
        <v>776</v>
      </c>
      <c r="C71" s="336">
        <f ca="1">ROUND(C68*10000/F71,0)</f>
        <v>-444</v>
      </c>
      <c r="D71" s="973" t="s">
        <v>777</v>
      </c>
      <c r="E71" s="974" t="s">
        <v>778</v>
      </c>
      <c r="F71" s="339">
        <f ca="1">F43</f>
        <v>1981.63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v>
      </c>
      <c r="D75" s="1384"/>
      <c r="E75" s="1384"/>
      <c r="F75" s="1384"/>
      <c r="K75" s="1402"/>
      <c r="L75" s="1384"/>
      <c r="O75" s="1418" t="s">
        <v>409</v>
      </c>
      <c r="P75" s="1419" t="s">
        <v>838</v>
      </c>
      <c r="Q75" s="1420">
        <f ca="1">Q65+Q66</f>
        <v>8333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v>
      </c>
    </row>
    <row r="80" spans="1:18">
      <c r="B80" s="340" t="s">
        <v>800</v>
      </c>
      <c r="C80" s="274">
        <f ca="1">ROUND(C75/C39,3)</f>
        <v>0.13</v>
      </c>
    </row>
    <row r="81" spans="2:3">
      <c r="B81" s="270" t="s">
        <v>801</v>
      </c>
      <c r="C81" s="238"/>
    </row>
    <row r="82" spans="2:3">
      <c r="B82" s="273" t="s">
        <v>802</v>
      </c>
      <c r="C82" s="275">
        <f ca="1">1-C83</f>
        <v>0.88200000000000001</v>
      </c>
    </row>
    <row r="83" spans="2:3">
      <c r="B83" s="273" t="s">
        <v>803</v>
      </c>
      <c r="C83" s="274">
        <f ca="1">ROUND(C13/C40,3)</f>
        <v>0.11799999999999999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32</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222.94550000000001</v>
      </c>
      <c r="C2" s="1387" t="s">
        <v>879</v>
      </c>
      <c r="D2" s="1471">
        <f ca="1">C40+J29+L46</f>
        <v>2229455</v>
      </c>
      <c r="E2" s="1388" t="s">
        <v>880</v>
      </c>
      <c r="F2" s="1389"/>
      <c r="G2" s="2706"/>
      <c r="H2" s="2695"/>
      <c r="I2" s="2695"/>
      <c r="J2" s="2695"/>
      <c r="K2" s="2696"/>
      <c r="L2" s="2695"/>
      <c r="M2" s="2695"/>
    </row>
    <row r="3" spans="1:37" ht="18" customHeight="1" thickBot="1">
      <c r="A3" s="1390" t="s">
        <v>881</v>
      </c>
      <c r="B3" s="1391">
        <f ca="1">IF(ISERROR(D2/F43),0,ROUND(D2/F43,0))</f>
        <v>24118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136820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136649</v>
      </c>
      <c r="D6" s="155" t="s">
        <v>2105</v>
      </c>
      <c r="E6" s="302" t="s">
        <v>696</v>
      </c>
      <c r="F6" s="303">
        <f ca="1">INDIRECT("'数据-取费表'!u"&amp;$G$1)</f>
        <v>4.5</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92.44</v>
      </c>
      <c r="G7" s="1384"/>
      <c r="H7" s="304"/>
      <c r="I7" s="3692"/>
      <c r="J7" s="306"/>
      <c r="K7" s="307"/>
      <c r="L7" s="302" t="s">
        <v>697</v>
      </c>
      <c r="M7" s="303">
        <f ca="1">F7</f>
        <v>92.44</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171</v>
      </c>
      <c r="D10" s="1366" t="s">
        <v>2115</v>
      </c>
      <c r="E10" s="313" t="s">
        <v>701</v>
      </c>
      <c r="F10" s="1116" t="s">
        <v>3427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455891</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415980</v>
      </c>
      <c r="D14" s="1345" t="s">
        <v>708</v>
      </c>
      <c r="E14" s="1342"/>
      <c r="F14" s="319"/>
      <c r="G14" s="1384"/>
      <c r="H14" s="982" t="s">
        <v>398</v>
      </c>
      <c r="I14" s="302" t="s">
        <v>709</v>
      </c>
      <c r="J14" s="21">
        <f ca="1">C29</f>
        <v>595936</v>
      </c>
      <c r="K14" s="12"/>
      <c r="L14" s="807"/>
      <c r="M14" s="808"/>
    </row>
    <row r="15" spans="1:37" s="1397" customFormat="1" ht="18" customHeight="1" thickBot="1">
      <c r="A15" s="982" t="s">
        <v>399</v>
      </c>
      <c r="B15" s="302" t="s">
        <v>710</v>
      </c>
      <c r="C15" s="21">
        <f ca="1">ROUND(C14*F15,0)</f>
        <v>12479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2980</v>
      </c>
      <c r="K16" s="1087" t="s">
        <v>715</v>
      </c>
      <c r="L16" s="1088"/>
      <c r="M16" s="1072"/>
    </row>
    <row r="17" spans="1:37" s="1397" customFormat="1" ht="18" customHeight="1">
      <c r="A17" s="982" t="s">
        <v>681</v>
      </c>
      <c r="B17" s="302" t="s">
        <v>716</v>
      </c>
      <c r="C17" s="21">
        <f ca="1">ROUND(F17*(F43+INDIRECT("'数据-取费表'!S"&amp;$G$1)),0)</f>
        <v>18488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8320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455267</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2980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16021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-2980</v>
      </c>
      <c r="K25" s="1095" t="s">
        <v>753</v>
      </c>
      <c r="L25" s="1096"/>
      <c r="M25" s="1097"/>
    </row>
    <row r="26" spans="1:37" ht="18" customHeight="1">
      <c r="A26" s="982" t="s">
        <v>397</v>
      </c>
      <c r="B26" s="302" t="s">
        <v>754</v>
      </c>
      <c r="C26" s="21">
        <f ca="1">ROUND((C19+C20)*F26,0)</f>
        <v>69656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595936</v>
      </c>
      <c r="D29" s="1092"/>
      <c r="E29" s="1090"/>
      <c r="F29" s="1093"/>
      <c r="G29" s="1396"/>
      <c r="H29" s="334" t="s">
        <v>396</v>
      </c>
      <c r="I29" s="335" t="s">
        <v>768</v>
      </c>
      <c r="J29" s="336">
        <f ca="1">ROUND(J26/(1+F40)^F41,0)</f>
        <v>0</v>
      </c>
      <c r="K29" s="337" t="s">
        <v>769</v>
      </c>
      <c r="L29" s="338"/>
      <c r="M29" s="339">
        <f ca="1">INDIRECT("'数据-取费表'!k"&amp;$G$1)</f>
        <v>92.44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27025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22905</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7288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15617</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2980</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456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109795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2205894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23863</v>
      </c>
      <c r="D43" s="337" t="s">
        <v>777</v>
      </c>
      <c r="E43" s="338" t="s">
        <v>778</v>
      </c>
      <c r="F43" s="339">
        <f ca="1">INDIRECT("'数据-取费表'!k"&amp;$G$1)</f>
        <v>92.44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-225.7105</v>
      </c>
      <c r="D45" s="3432" t="s">
        <v>3356</v>
      </c>
      <c r="E45" s="1400"/>
      <c r="F45" s="1400"/>
      <c r="O45" s="1403" t="s">
        <v>808</v>
      </c>
      <c r="P45" s="1461"/>
      <c r="Q45" s="1461"/>
      <c r="R45" s="1461"/>
    </row>
    <row r="46" spans="1:18" s="1384" customFormat="1" ht="13.5" thickBot="1">
      <c r="A46" s="1404" t="s">
        <v>809</v>
      </c>
      <c r="C46" s="1405">
        <f ca="1">ROUND(C45,0)</f>
        <v>-226</v>
      </c>
      <c r="D46" s="1406" t="str">
        <f>C2</f>
        <v>万元</v>
      </c>
      <c r="I46" s="1407" t="s">
        <v>810</v>
      </c>
      <c r="J46" s="1408"/>
      <c r="K46" s="1409"/>
      <c r="L46" s="1410">
        <f ca="1">IF(M47="住宅",0,IF(L48&gt;J51,L60,J60))</f>
        <v>23561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2205894</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32</v>
      </c>
      <c r="O48" s="1418" t="s">
        <v>404</v>
      </c>
      <c r="P48" s="1419" t="s">
        <v>821</v>
      </c>
      <c r="Q48" s="1420">
        <f ca="1">J60</f>
        <v>23561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595936</v>
      </c>
      <c r="R49" s="1420" t="s">
        <v>818</v>
      </c>
    </row>
    <row r="50" spans="1:18" s="1384" customFormat="1" ht="13.5" thickBot="1">
      <c r="A50" s="976"/>
      <c r="B50" s="979"/>
      <c r="C50" s="980"/>
      <c r="D50" s="953"/>
      <c r="E50" s="1056" t="s">
        <v>697</v>
      </c>
      <c r="F50" s="1057">
        <f ca="1">F7</f>
        <v>92.44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1375623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32</v>
      </c>
      <c r="K53" s="3689" t="s">
        <v>837</v>
      </c>
      <c r="L53" s="3690"/>
      <c r="O53" s="1418" t="s">
        <v>409</v>
      </c>
      <c r="P53" s="1419" t="s">
        <v>838</v>
      </c>
      <c r="Q53" s="1420">
        <f ca="1">Q47+Q48</f>
        <v>2229455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455891</v>
      </c>
      <c r="D56" s="1447"/>
      <c r="E56" s="1448"/>
      <c r="F56" s="1440"/>
      <c r="I56" s="1449" t="s">
        <v>842</v>
      </c>
      <c r="J56" s="1450" t="s">
        <v>3430</v>
      </c>
      <c r="K56" s="1421" t="s">
        <v>843</v>
      </c>
      <c r="L56" s="1424" t="str">
        <f ca="1">IF(L48&lt;J51,"——",L48-J51)</f>
        <v>——</v>
      </c>
      <c r="O56" s="1418" t="s">
        <v>403</v>
      </c>
      <c r="P56" s="1419" t="s">
        <v>817</v>
      </c>
      <c r="Q56" s="1420">
        <f ca="1">C40+J29</f>
        <v>2205894</v>
      </c>
      <c r="R56" s="1420" t="s">
        <v>818</v>
      </c>
    </row>
    <row r="57" spans="1:18" s="1384" customFormat="1" ht="24.75" thickBot="1">
      <c r="A57" s="1451"/>
      <c r="B57" s="950" t="s">
        <v>767</v>
      </c>
      <c r="C57" s="238">
        <f ca="1">C29</f>
        <v>595936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238374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23561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2205894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2980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456</v>
      </c>
      <c r="D65" s="964" t="s">
        <v>743</v>
      </c>
      <c r="E65" s="950" t="s">
        <v>744</v>
      </c>
      <c r="F65" s="330">
        <f t="shared" ca="1" si="0"/>
        <v>1E-3</v>
      </c>
      <c r="I65" s="1462" t="s">
        <v>867</v>
      </c>
      <c r="J65" s="1463">
        <v>40</v>
      </c>
      <c r="K65" s="1463">
        <v>30</v>
      </c>
      <c r="L65" s="1463">
        <v>50</v>
      </c>
      <c r="M65" s="1465">
        <v>0.02</v>
      </c>
      <c r="O65" s="1418" t="s">
        <v>403</v>
      </c>
      <c r="P65" s="1419" t="s">
        <v>868</v>
      </c>
      <c r="Q65" s="1420">
        <f ca="1">C40+J29</f>
        <v>2205894</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-3436</v>
      </c>
      <c r="D67" s="963" t="s">
        <v>753</v>
      </c>
      <c r="E67" s="968"/>
      <c r="F67" s="969"/>
      <c r="O67" s="1428" t="s">
        <v>405</v>
      </c>
      <c r="P67" s="1419" t="s">
        <v>850</v>
      </c>
      <c r="Q67" s="1466">
        <f ca="1">L51</f>
        <v>1375623</v>
      </c>
      <c r="R67" s="1420" t="s">
        <v>870</v>
      </c>
    </row>
    <row r="68" spans="1:18" s="1384" customFormat="1" ht="16.5" thickBot="1">
      <c r="A68" s="947" t="s">
        <v>395</v>
      </c>
      <c r="B68" s="948" t="s">
        <v>774</v>
      </c>
      <c r="C68" s="301">
        <f ca="1">ROUND(C67*(1-((1+F70)/(1+F68))^F69)/(F68-F70),0)</f>
        <v>-51211</v>
      </c>
      <c r="D68" s="965" t="s">
        <v>758</v>
      </c>
      <c r="E68" s="950" t="s">
        <v>759</v>
      </c>
      <c r="F68" s="312">
        <f ca="1">F40</f>
        <v>5.5E-2</v>
      </c>
      <c r="O68" s="1428" t="s">
        <v>406</v>
      </c>
      <c r="P68" s="1467" t="s">
        <v>871</v>
      </c>
      <c r="Q68" s="1420">
        <f ca="1">ROUND(Q69-Q70*Q71,0)</f>
        <v>77883</v>
      </c>
      <c r="R68" s="1420" t="s">
        <v>414</v>
      </c>
    </row>
    <row r="69" spans="1:18" s="1384" customFormat="1" ht="13.5" thickBot="1">
      <c r="A69" s="951"/>
      <c r="B69" s="952"/>
      <c r="C69" s="306"/>
      <c r="D69" s="970" t="s">
        <v>762</v>
      </c>
      <c r="E69" s="950" t="s">
        <v>763</v>
      </c>
      <c r="F69" s="333">
        <f ca="1">F41</f>
        <v>32</v>
      </c>
      <c r="O69" s="1428" t="s">
        <v>411</v>
      </c>
      <c r="P69" s="1467" t="s">
        <v>872</v>
      </c>
      <c r="Q69" s="1420">
        <f ca="1">C39</f>
        <v>109795</v>
      </c>
      <c r="R69" s="1420" t="s">
        <v>818</v>
      </c>
    </row>
    <row r="70" spans="1:18" s="1384" customFormat="1" ht="13.5" thickBot="1">
      <c r="A70" s="954"/>
      <c r="B70" s="955"/>
      <c r="C70" s="310"/>
      <c r="D70" s="966"/>
      <c r="E70" s="950" t="s">
        <v>766</v>
      </c>
      <c r="F70" s="1054"/>
      <c r="O70" s="1428" t="s">
        <v>412</v>
      </c>
      <c r="P70" s="1467" t="s">
        <v>873</v>
      </c>
      <c r="Q70" s="1420">
        <f ca="1">C13</f>
        <v>455891</v>
      </c>
      <c r="R70" s="1420" t="s">
        <v>818</v>
      </c>
    </row>
    <row r="71" spans="1:18" s="1384" customFormat="1" ht="13.5" thickBot="1">
      <c r="A71" s="971" t="s">
        <v>396</v>
      </c>
      <c r="B71" s="972" t="s">
        <v>776</v>
      </c>
      <c r="C71" s="336">
        <f ca="1">ROUND(C68/F71,0)</f>
        <v>-554</v>
      </c>
      <c r="D71" s="973" t="s">
        <v>777</v>
      </c>
      <c r="E71" s="974" t="s">
        <v>778</v>
      </c>
      <c r="F71" s="339">
        <f ca="1">F43</f>
        <v>92.44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31912</v>
      </c>
      <c r="D75" s="1384"/>
      <c r="E75" s="1384"/>
      <c r="F75" s="1384"/>
      <c r="K75" s="1402"/>
      <c r="L75" s="1384"/>
      <c r="O75" s="1418" t="s">
        <v>409</v>
      </c>
      <c r="P75" s="1419" t="s">
        <v>838</v>
      </c>
      <c r="Q75" s="1420">
        <f ca="1">Q65+Q66</f>
        <v>2205894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0.79300000000000004</v>
      </c>
    </row>
    <row r="83" spans="2:3">
      <c r="B83" s="273" t="s">
        <v>803</v>
      </c>
      <c r="C83" s="274">
        <f ca="1">ROUND(C13/C40,3)</f>
        <v>0.20699999999999999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4" sqref="C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43</v>
      </c>
      <c r="E1" s="1363" t="s">
        <v>678</v>
      </c>
      <c r="F1" s="1062">
        <f ca="1">J53</f>
        <v>32</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42.9039</v>
      </c>
      <c r="C2" s="1387" t="s">
        <v>879</v>
      </c>
      <c r="D2" s="1471">
        <f ca="1">C40+J29+L46</f>
        <v>429039</v>
      </c>
      <c r="E2" s="1388" t="s">
        <v>880</v>
      </c>
      <c r="F2" s="1389"/>
      <c r="G2" s="2706"/>
      <c r="H2" s="2695"/>
      <c r="I2" s="2695"/>
      <c r="J2" s="2695"/>
      <c r="K2" s="2696"/>
      <c r="L2" s="2695"/>
      <c r="M2" s="2695"/>
    </row>
    <row r="3" spans="1:37" ht="18" customHeight="1" thickBot="1">
      <c r="A3" s="1390" t="s">
        <v>806</v>
      </c>
      <c r="B3" s="1391">
        <f ca="1">IF(ISERROR(D2/F43),0,ROUND(D2/F43,0))</f>
        <v>6824</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25952</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25920</v>
      </c>
      <c r="D6" s="155" t="s">
        <v>2105</v>
      </c>
      <c r="E6" s="302" t="s">
        <v>696</v>
      </c>
      <c r="F6" s="303">
        <f ca="1">INDIRECT("'数据-取费表'!u"&amp;$G$1)</f>
        <v>1200</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3471" t="s">
        <v>697</v>
      </c>
      <c r="F7" s="303">
        <f ca="1">IF(INDIRECT("'数据-取费表'!ah"&amp;$G$1)="",INDIRECT("'数据-取费表'!k"&amp;$G$1),INDIRECT("'数据-取费表'!ah"&amp;$G$1))</f>
        <v>2</v>
      </c>
      <c r="G7" s="1384"/>
      <c r="H7" s="304"/>
      <c r="I7" s="3692"/>
      <c r="J7" s="306"/>
      <c r="K7" s="307"/>
      <c r="L7" s="302" t="s">
        <v>697</v>
      </c>
      <c r="M7" s="303">
        <f ca="1">F7</f>
        <v>2</v>
      </c>
    </row>
    <row r="8" spans="1:37" ht="18" customHeight="1">
      <c r="A8" s="304"/>
      <c r="B8" s="3692"/>
      <c r="C8" s="306"/>
      <c r="D8" s="307"/>
      <c r="E8" s="302" t="s">
        <v>698</v>
      </c>
      <c r="F8" s="303">
        <f ca="1">INDIRECT("'数据-取费表'!ai"&amp;$G$1)</f>
        <v>12</v>
      </c>
      <c r="G8" s="1384"/>
      <c r="H8" s="304"/>
      <c r="I8" s="3692"/>
      <c r="J8" s="306"/>
      <c r="K8" s="307"/>
      <c r="L8" s="302" t="s">
        <v>698</v>
      </c>
      <c r="M8" s="303">
        <f ca="1">INDIRECT("'数据-取费表'!ai"&amp;$G$1)</f>
        <v>12</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2115</v>
      </c>
      <c r="E10" s="313" t="s">
        <v>701</v>
      </c>
      <c r="F10" s="1116" t="s">
        <v>3427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296649</v>
      </c>
      <c r="D13" s="3449" t="s">
        <v>705</v>
      </c>
      <c r="E13" s="3449"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282915</v>
      </c>
      <c r="D14" s="3459" t="s">
        <v>708</v>
      </c>
      <c r="E14" s="3452"/>
      <c r="F14" s="319"/>
      <c r="G14" s="1384"/>
      <c r="H14" s="982" t="s">
        <v>398</v>
      </c>
      <c r="I14" s="302" t="s">
        <v>709</v>
      </c>
      <c r="J14" s="21">
        <f ca="1">C29</f>
        <v>387777</v>
      </c>
      <c r="K14" s="3469"/>
      <c r="L14" s="807"/>
      <c r="M14" s="808"/>
    </row>
    <row r="15" spans="1:37" s="1397" customFormat="1" ht="18" customHeight="1" thickBot="1">
      <c r="A15" s="982" t="s">
        <v>399</v>
      </c>
      <c r="B15" s="302" t="s">
        <v>710</v>
      </c>
      <c r="C15" s="21">
        <f ca="1">ROUND(C14*F15,0)</f>
        <v>8487</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1939</v>
      </c>
      <c r="K16" s="1087" t="s">
        <v>715</v>
      </c>
      <c r="L16" s="3462"/>
      <c r="M16" s="1072"/>
    </row>
    <row r="17" spans="1:37" s="1397" customFormat="1" ht="18" customHeight="1">
      <c r="A17" s="982" t="s">
        <v>681</v>
      </c>
      <c r="B17" s="302" t="s">
        <v>716</v>
      </c>
      <c r="C17" s="21">
        <f ca="1">ROUND(F17*(F43+INDIRECT("'数据-取费表'!S"&amp;$G$1)),0)</f>
        <v>12574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59" t="s">
        <v>720</v>
      </c>
      <c r="L17" s="3457"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5658</v>
      </c>
      <c r="D18" s="302" t="s">
        <v>711</v>
      </c>
      <c r="E18" s="302" t="s">
        <v>712</v>
      </c>
      <c r="F18" s="322">
        <f>'数据-取费表'!B36</f>
        <v>0.02</v>
      </c>
      <c r="G18" s="1396"/>
      <c r="H18" s="982" t="s">
        <v>397</v>
      </c>
      <c r="I18" s="302" t="s">
        <v>723</v>
      </c>
      <c r="J18" s="21">
        <f ca="1">ROUND(J6*M18/(1+'数据-取费表'!C42),0)</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309634</v>
      </c>
      <c r="D19" s="131" t="s">
        <v>726</v>
      </c>
      <c r="E19" s="3475"/>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6193</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ROUND(J14*M22,0)</f>
        <v>1939</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57"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75"/>
      <c r="F25" s="23"/>
      <c r="G25" s="1384"/>
      <c r="H25" s="1079" t="s">
        <v>394</v>
      </c>
      <c r="I25" s="1094" t="s">
        <v>752</v>
      </c>
      <c r="J25" s="310">
        <f ca="1">J5-J16</f>
        <v>-1939</v>
      </c>
      <c r="K25" s="1095" t="s">
        <v>753</v>
      </c>
      <c r="L25" s="1096"/>
      <c r="M25" s="1097"/>
    </row>
    <row r="26" spans="1:37" ht="18" customHeight="1">
      <c r="A26" s="982" t="s">
        <v>397</v>
      </c>
      <c r="B26" s="302" t="s">
        <v>754</v>
      </c>
      <c r="C26" s="21">
        <f ca="1">ROUND((C19+C20)*F26,0)</f>
        <v>31583</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387777</v>
      </c>
      <c r="D29" s="1092"/>
      <c r="E29" s="1090"/>
      <c r="F29" s="1093"/>
      <c r="G29" s="1396"/>
      <c r="H29" s="334" t="s">
        <v>396</v>
      </c>
      <c r="I29" s="335" t="s">
        <v>768</v>
      </c>
      <c r="J29" s="336">
        <f ca="1">ROUND(J26/(1+F40)^F41,0)</f>
        <v>0</v>
      </c>
      <c r="K29" s="337" t="s">
        <v>769</v>
      </c>
      <c r="L29" s="338"/>
      <c r="M29" s="339">
        <f ca="1">INDIRECT("'数据-取费表'!k"&amp;$G$1)</f>
        <v>62.870000000000005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6710</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4344</v>
      </c>
      <c r="D31" s="3459" t="s">
        <v>720</v>
      </c>
      <c r="E31" s="3457"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1382</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2962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1939</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297</v>
      </c>
      <c r="D37" s="3457"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130</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19242</v>
      </c>
      <c r="D39" s="1095" t="s">
        <v>753</v>
      </c>
      <c r="E39" s="1096"/>
      <c r="F39" s="1097"/>
      <c r="G39" s="1384"/>
      <c r="H39" s="2700"/>
      <c r="I39" s="1398"/>
      <c r="J39" s="1399"/>
      <c r="K39" s="2704"/>
      <c r="L39" s="2700"/>
      <c r="M39" s="2700"/>
    </row>
    <row r="40" spans="1:18" ht="18" customHeight="1">
      <c r="A40" s="299" t="s">
        <v>395</v>
      </c>
      <c r="B40" s="300" t="s">
        <v>774</v>
      </c>
      <c r="C40" s="301">
        <f ca="1">ROUND(C39*(1-((1+F42)/(1+F40))^F41)/(F40-F42),0)</f>
        <v>413708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6580</v>
      </c>
      <c r="D43" s="337" t="s">
        <v>777</v>
      </c>
      <c r="E43" s="338" t="s">
        <v>778</v>
      </c>
      <c r="F43" s="339">
        <f ca="1">INDIRECT("'数据-取费表'!k"&amp;$G$1)</f>
        <v>62.870000000000005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-44.904299999999999</v>
      </c>
      <c r="D45" s="3432" t="s">
        <v>3356</v>
      </c>
      <c r="E45" s="1400"/>
      <c r="F45" s="1400"/>
      <c r="O45" s="1403" t="s">
        <v>808</v>
      </c>
      <c r="P45" s="1461"/>
      <c r="Q45" s="1461"/>
      <c r="R45" s="1461"/>
    </row>
    <row r="46" spans="1:18" s="1384" customFormat="1" ht="13.5" thickBot="1">
      <c r="A46" s="1404" t="s">
        <v>809</v>
      </c>
      <c r="C46" s="1405">
        <f ca="1">ROUND(C45,0)</f>
        <v>-45</v>
      </c>
      <c r="D46" s="1406" t="str">
        <f>C2</f>
        <v>万元</v>
      </c>
      <c r="I46" s="1407" t="s">
        <v>810</v>
      </c>
      <c r="J46" s="1408"/>
      <c r="K46" s="1409"/>
      <c r="L46" s="1410">
        <f ca="1">IF(M47="住宅",0,IF(L48&gt;J51,L60,J60))</f>
        <v>15331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413708</v>
      </c>
      <c r="R47" s="1420" t="s">
        <v>818</v>
      </c>
    </row>
    <row r="48" spans="1:18" s="1384" customFormat="1" ht="28.5" thickBot="1">
      <c r="A48" s="1110" t="s">
        <v>438</v>
      </c>
      <c r="B48" s="300" t="s">
        <v>692</v>
      </c>
      <c r="C48" s="3474">
        <f ca="1">C49+C53+C55</f>
        <v>0</v>
      </c>
      <c r="D48" s="1112"/>
      <c r="E48" s="1113"/>
      <c r="F48" s="962"/>
      <c r="G48" s="722"/>
      <c r="H48" s="723"/>
      <c r="I48" s="1421" t="s">
        <v>819</v>
      </c>
      <c r="J48" s="1422" t="s">
        <v>3429</v>
      </c>
      <c r="K48" s="1423" t="s">
        <v>820</v>
      </c>
      <c r="L48" s="1424">
        <f ca="1">INDIRECT("'数据-取费表'!f"&amp;$G$1)</f>
        <v>32</v>
      </c>
      <c r="O48" s="1418" t="s">
        <v>404</v>
      </c>
      <c r="P48" s="1419" t="s">
        <v>821</v>
      </c>
      <c r="Q48" s="1420">
        <f ca="1">J60</f>
        <v>15331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387777</v>
      </c>
      <c r="R49" s="1420" t="s">
        <v>818</v>
      </c>
    </row>
    <row r="50" spans="1:18" s="1384" customFormat="1" ht="13.5" thickBot="1">
      <c r="A50" s="976"/>
      <c r="B50" s="979"/>
      <c r="C50" s="980"/>
      <c r="D50" s="953"/>
      <c r="E50" s="1056" t="s">
        <v>697</v>
      </c>
      <c r="F50" s="1057">
        <f ca="1">F7</f>
        <v>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-28973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32</v>
      </c>
      <c r="K53" s="3689" t="s">
        <v>837</v>
      </c>
      <c r="L53" s="3690"/>
      <c r="O53" s="1418" t="s">
        <v>409</v>
      </c>
      <c r="P53" s="1419" t="s">
        <v>838</v>
      </c>
      <c r="Q53" s="1420">
        <f ca="1">Q47+Q48</f>
        <v>429039</v>
      </c>
      <c r="R53" s="1420" t="s">
        <v>410</v>
      </c>
    </row>
    <row r="54" spans="1:18" s="1384" customFormat="1" ht="13.5" thickBot="1">
      <c r="A54" s="975"/>
      <c r="B54" s="1473" t="s">
        <v>891</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296649</v>
      </c>
      <c r="D56" s="1447"/>
      <c r="E56" s="1448"/>
      <c r="F56" s="1440"/>
      <c r="I56" s="1449" t="s">
        <v>842</v>
      </c>
      <c r="J56" s="1450" t="s">
        <v>3430</v>
      </c>
      <c r="K56" s="1421" t="s">
        <v>843</v>
      </c>
      <c r="L56" s="1424" t="str">
        <f ca="1">IF(L48&lt;J51,"——",L48-J51)</f>
        <v>——</v>
      </c>
      <c r="O56" s="1418" t="s">
        <v>403</v>
      </c>
      <c r="P56" s="1419" t="s">
        <v>817</v>
      </c>
      <c r="Q56" s="1420">
        <f ca="1">C40+J29</f>
        <v>413708</v>
      </c>
      <c r="R56" s="1420" t="s">
        <v>818</v>
      </c>
    </row>
    <row r="57" spans="1:18" s="1384" customFormat="1" ht="24.75" thickBot="1">
      <c r="A57" s="1451"/>
      <c r="B57" s="950" t="s">
        <v>767</v>
      </c>
      <c r="C57" s="238">
        <f ca="1">C29</f>
        <v>387777</v>
      </c>
      <c r="D57" s="1452"/>
      <c r="E57" s="1453"/>
      <c r="F57" s="1454"/>
      <c r="I57" s="1455" t="s">
        <v>844</v>
      </c>
      <c r="J57" s="1456">
        <f ca="1">IF(OR(M47="住宅",J51&lt;L48,J56="是"),"——",J51-L48)</f>
        <v>12</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155111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15331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0</v>
      </c>
      <c r="D62" s="965" t="s">
        <v>786</v>
      </c>
      <c r="E62" s="950" t="s">
        <v>732</v>
      </c>
      <c r="F62" s="325">
        <f t="shared" si="0"/>
        <v>0</v>
      </c>
      <c r="I62" s="1462" t="s">
        <v>858</v>
      </c>
      <c r="J62" s="1463" t="s">
        <v>859</v>
      </c>
      <c r="K62" s="1463" t="s">
        <v>860</v>
      </c>
      <c r="L62" s="1463" t="s">
        <v>861</v>
      </c>
      <c r="M62" s="1464" t="s">
        <v>862</v>
      </c>
      <c r="O62" s="1418" t="s">
        <v>409</v>
      </c>
      <c r="P62" s="1419" t="s">
        <v>863</v>
      </c>
      <c r="Q62" s="1420">
        <f ca="1">Q56+Q57</f>
        <v>413708</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1939</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297</v>
      </c>
      <c r="D65" s="964" t="s">
        <v>743</v>
      </c>
      <c r="E65" s="950" t="s">
        <v>712</v>
      </c>
      <c r="F65" s="330">
        <f t="shared" ca="1" si="0"/>
        <v>1E-3</v>
      </c>
      <c r="I65" s="1462" t="s">
        <v>867</v>
      </c>
      <c r="J65" s="1463">
        <v>40</v>
      </c>
      <c r="K65" s="1463">
        <v>30</v>
      </c>
      <c r="L65" s="1463">
        <v>50</v>
      </c>
      <c r="M65" s="1465">
        <v>0.02</v>
      </c>
      <c r="O65" s="1418" t="s">
        <v>403</v>
      </c>
      <c r="P65" s="1419" t="s">
        <v>868</v>
      </c>
      <c r="Q65" s="1420">
        <f ca="1">C40+J29</f>
        <v>413708</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-2236</v>
      </c>
      <c r="D67" s="963" t="s">
        <v>753</v>
      </c>
      <c r="E67" s="968"/>
      <c r="F67" s="969"/>
      <c r="O67" s="1428" t="s">
        <v>405</v>
      </c>
      <c r="P67" s="1419" t="s">
        <v>850</v>
      </c>
      <c r="Q67" s="1466">
        <f ca="1">L51</f>
        <v>-28973</v>
      </c>
      <c r="R67" s="1420" t="s">
        <v>870</v>
      </c>
    </row>
    <row r="68" spans="1:18" s="1384" customFormat="1" ht="16.5" thickBot="1">
      <c r="A68" s="947" t="s">
        <v>395</v>
      </c>
      <c r="B68" s="948" t="s">
        <v>774</v>
      </c>
      <c r="C68" s="301">
        <f ca="1">ROUND(C67*(1-((1+F70)/(1+F68))^F69)/(F68-F70),0)</f>
        <v>-35335</v>
      </c>
      <c r="D68" s="965" t="s">
        <v>758</v>
      </c>
      <c r="E68" s="950" t="s">
        <v>759</v>
      </c>
      <c r="F68" s="312">
        <f ca="1">F40</f>
        <v>0.05</v>
      </c>
      <c r="O68" s="1428" t="s">
        <v>406</v>
      </c>
      <c r="P68" s="1467" t="s">
        <v>871</v>
      </c>
      <c r="Q68" s="1420">
        <f ca="1">ROUND(Q69-Q70*Q71,0)</f>
        <v>-1523</v>
      </c>
      <c r="R68" s="1420" t="s">
        <v>414</v>
      </c>
    </row>
    <row r="69" spans="1:18" s="1384" customFormat="1" ht="13.5" thickBot="1">
      <c r="A69" s="951"/>
      <c r="B69" s="952"/>
      <c r="C69" s="306"/>
      <c r="D69" s="970" t="s">
        <v>762</v>
      </c>
      <c r="E69" s="950" t="s">
        <v>763</v>
      </c>
      <c r="F69" s="333">
        <f ca="1">F41</f>
        <v>32</v>
      </c>
      <c r="O69" s="1428" t="s">
        <v>411</v>
      </c>
      <c r="P69" s="1467" t="s">
        <v>872</v>
      </c>
      <c r="Q69" s="1420">
        <f ca="1">C39</f>
        <v>19242</v>
      </c>
      <c r="R69" s="1420" t="s">
        <v>818</v>
      </c>
    </row>
    <row r="70" spans="1:18" s="1384" customFormat="1" ht="13.5" thickBot="1">
      <c r="A70" s="954"/>
      <c r="B70" s="955"/>
      <c r="C70" s="310"/>
      <c r="D70" s="966"/>
      <c r="E70" s="950" t="s">
        <v>766</v>
      </c>
      <c r="F70" s="1054"/>
      <c r="O70" s="1428" t="s">
        <v>412</v>
      </c>
      <c r="P70" s="1467" t="s">
        <v>873</v>
      </c>
      <c r="Q70" s="1420">
        <f ca="1">C13</f>
        <v>296649</v>
      </c>
      <c r="R70" s="1420" t="s">
        <v>818</v>
      </c>
    </row>
    <row r="71" spans="1:18" s="1384" customFormat="1" ht="13.5" thickBot="1">
      <c r="A71" s="971" t="s">
        <v>396</v>
      </c>
      <c r="B71" s="972" t="s">
        <v>776</v>
      </c>
      <c r="C71" s="336">
        <f ca="1">ROUND(C68/F71,0)</f>
        <v>-562</v>
      </c>
      <c r="D71" s="973" t="s">
        <v>777</v>
      </c>
      <c r="E71" s="974" t="s">
        <v>778</v>
      </c>
      <c r="F71" s="339">
        <f ca="1">F43</f>
        <v>62.870000000000005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20765</v>
      </c>
      <c r="D75" s="1384"/>
      <c r="E75" s="1384"/>
      <c r="F75" s="1384"/>
      <c r="K75" s="1402"/>
      <c r="L75" s="1384"/>
      <c r="O75" s="1418" t="s">
        <v>409</v>
      </c>
      <c r="P75" s="1419" t="s">
        <v>838</v>
      </c>
      <c r="Q75" s="1420">
        <f ca="1">Q65+Q66</f>
        <v>413708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-7.8999999999999959E-2</v>
      </c>
    </row>
    <row r="80" spans="1:18">
      <c r="B80" s="340" t="s">
        <v>800</v>
      </c>
      <c r="C80" s="274">
        <f ca="1">ROUND(C75/C39,3)</f>
        <v>1.079</v>
      </c>
    </row>
    <row r="81" spans="2:3">
      <c r="B81" s="270" t="s">
        <v>801</v>
      </c>
      <c r="C81" s="238"/>
    </row>
    <row r="82" spans="2:3">
      <c r="B82" s="273" t="s">
        <v>802</v>
      </c>
      <c r="C82" s="275">
        <f ca="1">1-C83</f>
        <v>0.28300000000000003</v>
      </c>
    </row>
    <row r="83" spans="2:3">
      <c r="B83" s="273" t="s">
        <v>803</v>
      </c>
      <c r="C83" s="274">
        <f ca="1">ROUND(C13/C40,3)</f>
        <v>0.71699999999999997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 sqref="D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3337</v>
      </c>
      <c r="D1" s="1362" t="s">
        <v>43</v>
      </c>
      <c r="E1" s="1363" t="s">
        <v>678</v>
      </c>
      <c r="F1" s="1062">
        <f ca="1">J53</f>
        <v>32</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101.8065</v>
      </c>
      <c r="C2" s="1387" t="s">
        <v>879</v>
      </c>
      <c r="D2" s="1471">
        <f ca="1">C40+J29+L46</f>
        <v>1018065</v>
      </c>
      <c r="E2" s="1388" t="s">
        <v>880</v>
      </c>
      <c r="F2" s="1389"/>
      <c r="G2" s="2706"/>
      <c r="H2" s="2695"/>
      <c r="I2" s="2695"/>
      <c r="J2" s="2695"/>
      <c r="K2" s="2696"/>
      <c r="L2" s="2695"/>
      <c r="M2" s="2695"/>
    </row>
    <row r="3" spans="1:37" ht="18" customHeight="1" thickBot="1">
      <c r="A3" s="1390" t="s">
        <v>806</v>
      </c>
      <c r="B3" s="1391">
        <f ca="1">IF(ISERROR(D2/F43),0,ROUND(D2/F43,0))</f>
        <v>14110</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59327</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59253</v>
      </c>
      <c r="D6" s="155" t="s">
        <v>2105</v>
      </c>
      <c r="E6" s="302" t="s">
        <v>696</v>
      </c>
      <c r="F6" s="303">
        <f ca="1">INDIRECT("'数据-取费表'!u"&amp;$G$1)</f>
        <v>2.5</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3471" t="s">
        <v>697</v>
      </c>
      <c r="F7" s="303">
        <f ca="1">IF(INDIRECT("'数据-取费表'!ah"&amp;$G$1)="",INDIRECT("'数据-取费表'!k"&amp;$G$1),INDIRECT("'数据-取费表'!ah"&amp;$G$1))</f>
        <v>72.150000000000006</v>
      </c>
      <c r="G7" s="1384"/>
      <c r="H7" s="304"/>
      <c r="I7" s="3692"/>
      <c r="J7" s="306"/>
      <c r="K7" s="307"/>
      <c r="L7" s="302" t="s">
        <v>697</v>
      </c>
      <c r="M7" s="303">
        <f ca="1">F7</f>
        <v>72.150000000000006</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0.1</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74</v>
      </c>
      <c r="D10" s="1366" t="s">
        <v>2115</v>
      </c>
      <c r="E10" s="313" t="s">
        <v>701</v>
      </c>
      <c r="F10" s="1116" t="s">
        <v>3427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340437</v>
      </c>
      <c r="D13" s="3449" t="s">
        <v>705</v>
      </c>
      <c r="E13" s="3449"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324675</v>
      </c>
      <c r="D14" s="3459" t="s">
        <v>708</v>
      </c>
      <c r="E14" s="3452"/>
      <c r="F14" s="319"/>
      <c r="G14" s="1384"/>
      <c r="H14" s="982" t="s">
        <v>398</v>
      </c>
      <c r="I14" s="302" t="s">
        <v>709</v>
      </c>
      <c r="J14" s="21">
        <f ca="1">C29</f>
        <v>445016</v>
      </c>
      <c r="K14" s="3469"/>
      <c r="L14" s="807"/>
      <c r="M14" s="808"/>
    </row>
    <row r="15" spans="1:37" s="1397" customFormat="1" ht="18" customHeight="1" thickBot="1">
      <c r="A15" s="982" t="s">
        <v>399</v>
      </c>
      <c r="B15" s="302" t="s">
        <v>710</v>
      </c>
      <c r="C15" s="21">
        <f ca="1">ROUND(C14*F15,0)</f>
        <v>9740</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2225</v>
      </c>
      <c r="K16" s="1087" t="s">
        <v>715</v>
      </c>
      <c r="L16" s="3462"/>
      <c r="M16" s="1072"/>
    </row>
    <row r="17" spans="1:37" s="1397" customFormat="1" ht="18" customHeight="1">
      <c r="A17" s="982" t="s">
        <v>681</v>
      </c>
      <c r="B17" s="302" t="s">
        <v>716</v>
      </c>
      <c r="C17" s="21">
        <f ca="1">ROUND(F17*(F43+INDIRECT("'数据-取费表'!S"&amp;$G$1)),0)</f>
        <v>14430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59" t="s">
        <v>720</v>
      </c>
      <c r="L17" s="3457"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6494</v>
      </c>
      <c r="D18" s="302" t="s">
        <v>711</v>
      </c>
      <c r="E18" s="302" t="s">
        <v>712</v>
      </c>
      <c r="F18" s="322">
        <f>'数据-取费表'!B36</f>
        <v>0.02</v>
      </c>
      <c r="G18" s="1396"/>
      <c r="H18" s="982" t="s">
        <v>397</v>
      </c>
      <c r="I18" s="302" t="s">
        <v>723</v>
      </c>
      <c r="J18" s="21">
        <f ca="1">ROUND(J6*M18/(1+'数据-取费表'!C42),0)</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355339</v>
      </c>
      <c r="D19" s="131" t="s">
        <v>726</v>
      </c>
      <c r="E19" s="3475"/>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7107</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ROUND(J14*M22,0)</f>
        <v>2225</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12504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57"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75"/>
      <c r="F25" s="23"/>
      <c r="G25" s="1384"/>
      <c r="H25" s="1079" t="s">
        <v>394</v>
      </c>
      <c r="I25" s="1094" t="s">
        <v>752</v>
      </c>
      <c r="J25" s="310">
        <f ca="1">J5-J16</f>
        <v>-2225</v>
      </c>
      <c r="K25" s="1095" t="s">
        <v>753</v>
      </c>
      <c r="L25" s="1096"/>
      <c r="M25" s="1097"/>
    </row>
    <row r="26" spans="1:37" ht="18" customHeight="1">
      <c r="A26" s="982" t="s">
        <v>397</v>
      </c>
      <c r="B26" s="302" t="s">
        <v>754</v>
      </c>
      <c r="C26" s="21">
        <f ca="1">ROUND((C19+C20)*F26,0)</f>
        <v>36245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445016</v>
      </c>
      <c r="D29" s="1092"/>
      <c r="E29" s="1090"/>
      <c r="F29" s="1093"/>
      <c r="G29" s="1396"/>
      <c r="H29" s="334" t="s">
        <v>396</v>
      </c>
      <c r="I29" s="335" t="s">
        <v>768</v>
      </c>
      <c r="J29" s="336">
        <f ca="1">ROUND(J26/(1+F40)^F41,0)</f>
        <v>0</v>
      </c>
      <c r="K29" s="337" t="s">
        <v>769</v>
      </c>
      <c r="L29" s="338"/>
      <c r="M29" s="339">
        <f ca="1">INDIRECT("'数据-取费表'!k"&amp;$G$1)</f>
        <v>72.150000000000006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12794</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9932</v>
      </c>
      <c r="D31" s="3459" t="s">
        <v>720</v>
      </c>
      <c r="E31" s="3457"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3160</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6772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2225</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340</v>
      </c>
      <c r="D37" s="3457"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297</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46533</v>
      </c>
      <c r="D39" s="1095" t="s">
        <v>753</v>
      </c>
      <c r="E39" s="1096"/>
      <c r="F39" s="1097"/>
      <c r="G39" s="1384"/>
      <c r="H39" s="2700"/>
      <c r="I39" s="1398"/>
      <c r="J39" s="1399"/>
      <c r="K39" s="2704"/>
      <c r="L39" s="2700"/>
      <c r="M39" s="2700"/>
    </row>
    <row r="40" spans="1:18" ht="18" customHeight="1">
      <c r="A40" s="299" t="s">
        <v>395</v>
      </c>
      <c r="B40" s="300" t="s">
        <v>774</v>
      </c>
      <c r="C40" s="301">
        <f ca="1">ROUND(C39*(1-((1+F42)/(1+F40))^F41)/(F40-F42),0)</f>
        <v>1000471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13867</v>
      </c>
      <c r="D43" s="337" t="s">
        <v>777</v>
      </c>
      <c r="E43" s="338" t="s">
        <v>778</v>
      </c>
      <c r="F43" s="339">
        <f ca="1">INDIRECT("'数据-取费表'!k"&amp;$G$1)</f>
        <v>72.150000000000006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-104.1005</v>
      </c>
      <c r="D45" s="3432" t="s">
        <v>3356</v>
      </c>
      <c r="E45" s="1400"/>
      <c r="F45" s="1400"/>
      <c r="O45" s="1403" t="s">
        <v>808</v>
      </c>
      <c r="P45" s="1461"/>
      <c r="Q45" s="1461"/>
      <c r="R45" s="1461"/>
    </row>
    <row r="46" spans="1:18" s="1384" customFormat="1" ht="13.5" thickBot="1">
      <c r="A46" s="1404" t="s">
        <v>809</v>
      </c>
      <c r="C46" s="1405">
        <f ca="1">ROUND(C45,0)</f>
        <v>-104</v>
      </c>
      <c r="D46" s="1406" t="str">
        <f>C2</f>
        <v>万元</v>
      </c>
      <c r="I46" s="1407" t="s">
        <v>810</v>
      </c>
      <c r="J46" s="1408"/>
      <c r="K46" s="1409"/>
      <c r="L46" s="1410">
        <f ca="1">IF(M47="住宅",0,IF(L48&gt;J51,L60,J60))</f>
        <v>17594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1000471</v>
      </c>
      <c r="R47" s="1420" t="s">
        <v>818</v>
      </c>
    </row>
    <row r="48" spans="1:18" s="1384" customFormat="1" ht="28.5" thickBot="1">
      <c r="A48" s="1110" t="s">
        <v>438</v>
      </c>
      <c r="B48" s="300" t="s">
        <v>692</v>
      </c>
      <c r="C48" s="3474">
        <f ca="1">C49+C53+C55</f>
        <v>0</v>
      </c>
      <c r="D48" s="1112"/>
      <c r="E48" s="1113"/>
      <c r="F48" s="962"/>
      <c r="G48" s="722"/>
      <c r="H48" s="723"/>
      <c r="I48" s="1421" t="s">
        <v>819</v>
      </c>
      <c r="J48" s="1422" t="s">
        <v>3429</v>
      </c>
      <c r="K48" s="1423" t="s">
        <v>820</v>
      </c>
      <c r="L48" s="1424">
        <f ca="1">INDIRECT("'数据-取费表'!f"&amp;$G$1)</f>
        <v>32</v>
      </c>
      <c r="O48" s="1418" t="s">
        <v>404</v>
      </c>
      <c r="P48" s="1419" t="s">
        <v>821</v>
      </c>
      <c r="Q48" s="1420">
        <f ca="1">J60</f>
        <v>17594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445016</v>
      </c>
      <c r="R49" s="1420" t="s">
        <v>818</v>
      </c>
    </row>
    <row r="50" spans="1:18" s="1384" customFormat="1" ht="13.5" thickBot="1">
      <c r="A50" s="976"/>
      <c r="B50" s="979"/>
      <c r="C50" s="980"/>
      <c r="D50" s="953"/>
      <c r="E50" s="1056" t="s">
        <v>697</v>
      </c>
      <c r="F50" s="1057">
        <f ca="1">F7</f>
        <v>72.150000000000006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431763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32</v>
      </c>
      <c r="K53" s="3689" t="s">
        <v>837</v>
      </c>
      <c r="L53" s="3690"/>
      <c r="O53" s="1418" t="s">
        <v>409</v>
      </c>
      <c r="P53" s="1419" t="s">
        <v>838</v>
      </c>
      <c r="Q53" s="1420">
        <f ca="1">Q47+Q48</f>
        <v>1018065</v>
      </c>
      <c r="R53" s="1420" t="s">
        <v>410</v>
      </c>
    </row>
    <row r="54" spans="1:18" s="1384" customFormat="1" ht="13.5" thickBot="1">
      <c r="A54" s="975"/>
      <c r="B54" s="1473" t="s">
        <v>891</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340437</v>
      </c>
      <c r="D56" s="1447"/>
      <c r="E56" s="1448"/>
      <c r="F56" s="1440"/>
      <c r="I56" s="1449" t="s">
        <v>842</v>
      </c>
      <c r="J56" s="1450" t="s">
        <v>3430</v>
      </c>
      <c r="K56" s="1421" t="s">
        <v>843</v>
      </c>
      <c r="L56" s="1424" t="str">
        <f ca="1">IF(L48&lt;J51,"——",L48-J51)</f>
        <v>——</v>
      </c>
      <c r="O56" s="1418" t="s">
        <v>403</v>
      </c>
      <c r="P56" s="1419" t="s">
        <v>817</v>
      </c>
      <c r="Q56" s="1420">
        <f ca="1">C40+J29</f>
        <v>1000471</v>
      </c>
      <c r="R56" s="1420" t="s">
        <v>818</v>
      </c>
    </row>
    <row r="57" spans="1:18" s="1384" customFormat="1" ht="24.75" thickBot="1">
      <c r="A57" s="1451"/>
      <c r="B57" s="950" t="s">
        <v>767</v>
      </c>
      <c r="C57" s="238">
        <f ca="1">C29</f>
        <v>445016</v>
      </c>
      <c r="D57" s="1452"/>
      <c r="E57" s="1453"/>
      <c r="F57" s="1454"/>
      <c r="I57" s="1455" t="s">
        <v>844</v>
      </c>
      <c r="J57" s="1456">
        <f ca="1">IF(OR(M47="住宅",J51&lt;L48,J56="是"),"——",J51-L48)</f>
        <v>12</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2565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178006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17594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0</v>
      </c>
      <c r="D62" s="965" t="s">
        <v>786</v>
      </c>
      <c r="E62" s="950" t="s">
        <v>732</v>
      </c>
      <c r="F62" s="325">
        <f t="shared" si="0"/>
        <v>0</v>
      </c>
      <c r="I62" s="1462" t="s">
        <v>858</v>
      </c>
      <c r="J62" s="1463" t="s">
        <v>859</v>
      </c>
      <c r="K62" s="1463" t="s">
        <v>860</v>
      </c>
      <c r="L62" s="1463" t="s">
        <v>861</v>
      </c>
      <c r="M62" s="1464" t="s">
        <v>862</v>
      </c>
      <c r="O62" s="1418" t="s">
        <v>409</v>
      </c>
      <c r="P62" s="1419" t="s">
        <v>863</v>
      </c>
      <c r="Q62" s="1420">
        <f ca="1">Q56+Q57</f>
        <v>1000471</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2225</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v>
      </c>
      <c r="D65" s="964" t="s">
        <v>743</v>
      </c>
      <c r="E65" s="950" t="s">
        <v>712</v>
      </c>
      <c r="F65" s="330">
        <f t="shared" ca="1" si="0"/>
        <v>1E-3</v>
      </c>
      <c r="I65" s="1462" t="s">
        <v>867</v>
      </c>
      <c r="J65" s="1463">
        <v>40</v>
      </c>
      <c r="K65" s="1463">
        <v>30</v>
      </c>
      <c r="L65" s="1463">
        <v>50</v>
      </c>
      <c r="M65" s="1465">
        <v>0.02</v>
      </c>
      <c r="O65" s="1418" t="s">
        <v>403</v>
      </c>
      <c r="P65" s="1419" t="s">
        <v>868</v>
      </c>
      <c r="Q65" s="1420">
        <f ca="1">C40+J29</f>
        <v>1000471</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-2565</v>
      </c>
      <c r="D67" s="963" t="s">
        <v>753</v>
      </c>
      <c r="E67" s="968"/>
      <c r="F67" s="969"/>
      <c r="O67" s="1428" t="s">
        <v>405</v>
      </c>
      <c r="P67" s="1419" t="s">
        <v>850</v>
      </c>
      <c r="Q67" s="1466">
        <f ca="1">L51</f>
        <v>431763</v>
      </c>
      <c r="R67" s="1420" t="s">
        <v>870</v>
      </c>
    </row>
    <row r="68" spans="1:18" s="1384" customFormat="1" ht="16.5" thickBot="1">
      <c r="A68" s="947" t="s">
        <v>395</v>
      </c>
      <c r="B68" s="948" t="s">
        <v>774</v>
      </c>
      <c r="C68" s="301">
        <f ca="1">ROUND(C67*(1-((1+F70)/(1+F68))^F69)/(F68-F70),0)</f>
        <v>-40534</v>
      </c>
      <c r="D68" s="965" t="s">
        <v>758</v>
      </c>
      <c r="E68" s="950" t="s">
        <v>759</v>
      </c>
      <c r="F68" s="312">
        <f ca="1">F40</f>
        <v>0.05</v>
      </c>
      <c r="O68" s="1428" t="s">
        <v>406</v>
      </c>
      <c r="P68" s="1467" t="s">
        <v>871</v>
      </c>
      <c r="Q68" s="1420">
        <f ca="1">ROUND(Q69-Q70*Q71,0)</f>
        <v>22702</v>
      </c>
      <c r="R68" s="1420" t="s">
        <v>414</v>
      </c>
    </row>
    <row r="69" spans="1:18" s="1384" customFormat="1" ht="13.5" thickBot="1">
      <c r="A69" s="951"/>
      <c r="B69" s="952"/>
      <c r="C69" s="306"/>
      <c r="D69" s="970" t="s">
        <v>762</v>
      </c>
      <c r="E69" s="950" t="s">
        <v>763</v>
      </c>
      <c r="F69" s="333">
        <f ca="1">F41</f>
        <v>32</v>
      </c>
      <c r="O69" s="1428" t="s">
        <v>411</v>
      </c>
      <c r="P69" s="1467" t="s">
        <v>872</v>
      </c>
      <c r="Q69" s="1420">
        <f ca="1">C39</f>
        <v>46533</v>
      </c>
      <c r="R69" s="1420" t="s">
        <v>818</v>
      </c>
    </row>
    <row r="70" spans="1:18" s="1384" customFormat="1" ht="13.5" thickBot="1">
      <c r="A70" s="954"/>
      <c r="B70" s="955"/>
      <c r="C70" s="310"/>
      <c r="D70" s="966"/>
      <c r="E70" s="950" t="s">
        <v>766</v>
      </c>
      <c r="F70" s="1054"/>
      <c r="O70" s="1428" t="s">
        <v>412</v>
      </c>
      <c r="P70" s="1467" t="s">
        <v>873</v>
      </c>
      <c r="Q70" s="1420">
        <f ca="1">C13</f>
        <v>340437</v>
      </c>
      <c r="R70" s="1420" t="s">
        <v>818</v>
      </c>
    </row>
    <row r="71" spans="1:18" s="1384" customFormat="1" ht="13.5" thickBot="1">
      <c r="A71" s="971" t="s">
        <v>396</v>
      </c>
      <c r="B71" s="972" t="s">
        <v>776</v>
      </c>
      <c r="C71" s="336">
        <f ca="1">ROUND(C68/F71,0)</f>
        <v>-562</v>
      </c>
      <c r="D71" s="973" t="s">
        <v>777</v>
      </c>
      <c r="E71" s="974" t="s">
        <v>778</v>
      </c>
      <c r="F71" s="339">
        <f ca="1">F43</f>
        <v>72.150000000000006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23831</v>
      </c>
      <c r="D75" s="1384"/>
      <c r="E75" s="1384"/>
      <c r="F75" s="1384"/>
      <c r="K75" s="1402"/>
      <c r="L75" s="1384"/>
      <c r="O75" s="1418" t="s">
        <v>409</v>
      </c>
      <c r="P75" s="1419" t="s">
        <v>838</v>
      </c>
      <c r="Q75" s="1420">
        <f ca="1">Q65+Q66</f>
        <v>1000471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0.65999999999999992</v>
      </c>
    </row>
    <row r="83" spans="2:3">
      <c r="B83" s="273" t="s">
        <v>803</v>
      </c>
      <c r="C83" s="274">
        <f ca="1">ROUND(C13/C40,3)</f>
        <v>0.34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94" t="s">
        <v>2320</v>
      </c>
      <c r="K2" s="369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6" t="s">
        <v>2330</v>
      </c>
      <c r="K3" s="369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6" t="s">
        <v>2332</v>
      </c>
      <c r="K4" s="369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8" t="s">
        <v>2336</v>
      </c>
      <c r="B6" s="3699"/>
      <c r="C6" s="3700"/>
      <c r="D6" s="2870"/>
      <c r="E6" s="2871"/>
      <c r="F6" s="2872"/>
      <c r="G6" s="2873"/>
      <c r="H6" s="2848"/>
      <c r="I6" s="2849"/>
      <c r="J6" s="3701">
        <v>1</v>
      </c>
      <c r="K6" s="370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1"/>
      <c r="K7" s="370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5" t="s">
        <v>2350</v>
      </c>
      <c r="C8" s="3706"/>
      <c r="D8" s="2889" t="s">
        <v>2351</v>
      </c>
      <c r="E8" s="2890" t="s">
        <v>2352</v>
      </c>
      <c r="F8" s="2891" t="s">
        <v>2353</v>
      </c>
      <c r="G8" s="2892"/>
      <c r="H8" s="2848"/>
      <c r="I8" s="2849"/>
      <c r="J8" s="3701"/>
      <c r="K8" s="370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5" t="s">
        <v>2356</v>
      </c>
      <c r="C9" s="3706"/>
      <c r="D9" s="2889">
        <f>ROUND(D6*E9,0)</f>
        <v>0</v>
      </c>
      <c r="E9" s="2893"/>
      <c r="F9" s="2894" t="s">
        <v>2357</v>
      </c>
      <c r="G9" s="2873"/>
      <c r="H9" s="2848"/>
      <c r="I9" s="2849"/>
      <c r="J9" s="3701"/>
      <c r="K9" s="3703"/>
      <c r="L9" s="2883" t="s">
        <v>2358</v>
      </c>
      <c r="M9" s="2884"/>
      <c r="N9" s="2860"/>
      <c r="O9" s="2885"/>
      <c r="P9" s="2885"/>
      <c r="Q9" s="2886">
        <v>365</v>
      </c>
      <c r="R9" s="2887">
        <f t="shared" si="0"/>
        <v>0</v>
      </c>
      <c r="S9" s="2841"/>
      <c r="T9" s="2841"/>
      <c r="U9" s="2841"/>
      <c r="V9" s="2849"/>
    </row>
    <row r="10" spans="1:22" s="2853" customFormat="1" ht="13.15" customHeight="1">
      <c r="A10" s="2888">
        <v>2</v>
      </c>
      <c r="B10" s="3705" t="s">
        <v>2359</v>
      </c>
      <c r="C10" s="3706"/>
      <c r="D10" s="2889">
        <f>ROUND(D6*E10,0)</f>
        <v>0</v>
      </c>
      <c r="E10" s="2893"/>
      <c r="F10" s="2894" t="s">
        <v>2360</v>
      </c>
      <c r="G10" s="2873"/>
      <c r="H10" s="2848"/>
      <c r="I10" s="2849"/>
      <c r="J10" s="3701"/>
      <c r="K10" s="3703"/>
      <c r="L10" s="2883" t="s">
        <v>2361</v>
      </c>
      <c r="M10" s="2884"/>
      <c r="N10" s="2860"/>
      <c r="O10" s="2885"/>
      <c r="P10" s="2885"/>
      <c r="Q10" s="2886">
        <v>365</v>
      </c>
      <c r="R10" s="2887">
        <f t="shared" si="0"/>
        <v>0</v>
      </c>
      <c r="S10" s="2841"/>
      <c r="T10" s="2841"/>
      <c r="U10" s="2841"/>
      <c r="V10" s="2849"/>
    </row>
    <row r="11" spans="1:22" s="2853" customFormat="1" ht="13.15" customHeight="1">
      <c r="A11" s="2888">
        <v>3</v>
      </c>
      <c r="B11" s="3705" t="s">
        <v>2362</v>
      </c>
      <c r="C11" s="3706"/>
      <c r="D11" s="2889">
        <f>D12+D14+D15+D16</f>
        <v>0</v>
      </c>
      <c r="E11" s="2895" t="e">
        <f>D11/D6</f>
        <v>#DIV/0!</v>
      </c>
      <c r="F11" s="2891"/>
      <c r="G11" s="2892"/>
      <c r="H11" s="2848"/>
      <c r="I11" s="2849"/>
      <c r="J11" s="3701"/>
      <c r="K11" s="370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7" t="s">
        <v>2365</v>
      </c>
      <c r="C12" s="3708"/>
      <c r="D12" s="2897">
        <f>ROUND(D13*1.2%*(1-30%),0)</f>
        <v>0</v>
      </c>
      <c r="E12" s="2898">
        <v>1.2E-2</v>
      </c>
      <c r="F12" s="2891" t="s">
        <v>2366</v>
      </c>
      <c r="G12" s="2892"/>
      <c r="H12" s="2848"/>
      <c r="I12" s="2849"/>
      <c r="J12" s="3701"/>
      <c r="K12" s="370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1"/>
      <c r="K13" s="370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7" t="s">
        <v>2371</v>
      </c>
      <c r="C14" s="3708"/>
      <c r="D14" s="2897">
        <f>ROUND(E14*B5/10000,0)</f>
        <v>0</v>
      </c>
      <c r="E14" s="2886"/>
      <c r="F14" s="2891" t="s">
        <v>2372</v>
      </c>
      <c r="G14" s="2892"/>
      <c r="H14" s="2848"/>
      <c r="I14" s="2849"/>
      <c r="J14" s="3701"/>
      <c r="K14" s="370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7" t="s">
        <v>2375</v>
      </c>
      <c r="C15" s="3708"/>
      <c r="D15" s="2897">
        <f>ROUND(D6*E15,0)</f>
        <v>0</v>
      </c>
      <c r="E15" s="2898">
        <v>5.5E-2</v>
      </c>
      <c r="F15" s="2891" t="s">
        <v>2376</v>
      </c>
      <c r="G15" s="2873"/>
      <c r="H15" s="2848"/>
      <c r="I15" s="2849"/>
      <c r="J15" s="3701">
        <v>2</v>
      </c>
      <c r="K15" s="370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7" t="s">
        <v>2384</v>
      </c>
      <c r="C16" s="3708"/>
      <c r="D16" s="2908">
        <f>D6*E16</f>
        <v>0</v>
      </c>
      <c r="E16" s="2909"/>
      <c r="F16" s="2894" t="s">
        <v>2385</v>
      </c>
      <c r="G16" s="2873"/>
      <c r="H16" s="2848"/>
      <c r="I16" s="2849"/>
      <c r="J16" s="3701"/>
      <c r="K16" s="370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9" t="s">
        <v>2387</v>
      </c>
      <c r="C17" s="3710"/>
      <c r="D17" s="2911">
        <f>ROUND(D6*E17,0)</f>
        <v>0</v>
      </c>
      <c r="E17" s="2912"/>
      <c r="F17" s="2913" t="s">
        <v>2388</v>
      </c>
      <c r="G17" s="2873"/>
      <c r="H17" s="2848"/>
      <c r="I17" s="2849"/>
      <c r="J17" s="3701"/>
      <c r="K17" s="370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1"/>
      <c r="K18" s="370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1"/>
      <c r="K19" s="370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1">
        <v>3</v>
      </c>
      <c r="K20" s="370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1"/>
      <c r="K21" s="370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1"/>
      <c r="K22" s="370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1"/>
      <c r="K23" s="370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1"/>
      <c r="K24" s="370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4" t="s">
        <v>2320</v>
      </c>
      <c r="K32" s="369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6" t="s">
        <v>2330</v>
      </c>
      <c r="K33" s="369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6" t="s">
        <v>2332</v>
      </c>
      <c r="K34" s="369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1">
        <v>1</v>
      </c>
      <c r="K36" s="370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1"/>
      <c r="K40" s="370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8804.6558999999997</v>
      </c>
      <c r="C2" s="1872" t="s">
        <v>1651</v>
      </c>
      <c r="D2" s="1873" t="s">
        <v>1652</v>
      </c>
      <c r="E2" s="2607">
        <f>SUM(E6:E13)</f>
        <v>2209.09</v>
      </c>
      <c r="F2" s="2707"/>
      <c r="G2" s="1489"/>
      <c r="H2" s="1489"/>
      <c r="I2" s="1489"/>
      <c r="J2" s="1489"/>
      <c r="K2" s="1489"/>
      <c r="L2" s="1489"/>
      <c r="M2" s="1489"/>
      <c r="N2" s="1489"/>
      <c r="O2" s="1489"/>
      <c r="P2" s="1489"/>
      <c r="Q2" s="1489"/>
      <c r="R2" s="1489"/>
      <c r="S2" s="1489"/>
    </row>
    <row r="3" spans="1:22" ht="15.75">
      <c r="A3" s="1870" t="s">
        <v>686</v>
      </c>
      <c r="B3" s="2601">
        <f ca="1">ROUND(B2*10000/E2,0)</f>
        <v>39856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8437</v>
      </c>
      <c r="C6" s="1872" t="s">
        <v>1651</v>
      </c>
      <c r="D6" s="2709"/>
      <c r="E6" s="2606">
        <f>IF(OR(A6=0,F6="否"),0,'数据-取费表'!K6+'数据-取费表'!S6)</f>
        <v>1981.63</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222.94550000000001</v>
      </c>
      <c r="C7" s="1872" t="s">
        <v>1651</v>
      </c>
      <c r="D7" s="2709"/>
      <c r="E7" s="2606">
        <f>IF(OR(A7=0,F7="否"),0,'数据-取费表'!K7+'数据-取费表'!S7)</f>
        <v>92.44</v>
      </c>
      <c r="F7" s="1876" t="s">
        <v>1657</v>
      </c>
      <c r="G7" s="1489"/>
      <c r="H7" s="1489"/>
      <c r="I7" s="1489"/>
      <c r="J7" s="1489"/>
      <c r="K7" s="1489"/>
      <c r="L7" s="1489"/>
      <c r="M7" s="1489"/>
      <c r="N7" s="1489"/>
      <c r="O7" s="1489"/>
      <c r="P7" s="1489"/>
      <c r="Q7" s="1489"/>
      <c r="R7" s="1489"/>
      <c r="S7" s="1489"/>
    </row>
    <row r="8" spans="1:22">
      <c r="A8" s="2604" t="str">
        <f>'数据-取费表'!AN8</f>
        <v>收益法 (元)车位</v>
      </c>
      <c r="B8" s="2602">
        <f ca="1">IF(F8="是",'数据-取费表'!AO8,0)</f>
        <v>42.9039</v>
      </c>
      <c r="C8" s="1872" t="s">
        <v>1651</v>
      </c>
      <c r="D8" s="2709"/>
      <c r="E8" s="2606">
        <f>IF(OR(A8=0,F8="否"),0,'数据-取费表'!K8+'数据-取费表'!S8)</f>
        <v>62.870000000000005</v>
      </c>
      <c r="F8" s="1876" t="s">
        <v>1657</v>
      </c>
      <c r="G8" s="1489"/>
      <c r="H8" s="1489"/>
      <c r="I8" s="1489"/>
      <c r="J8" s="1489"/>
      <c r="K8" s="1489"/>
      <c r="L8" s="1489"/>
      <c r="M8" s="1489"/>
      <c r="N8" s="1489"/>
      <c r="O8" s="1489"/>
      <c r="P8" s="1489"/>
      <c r="Q8" s="1489"/>
      <c r="R8" s="1489"/>
      <c r="S8" s="1489"/>
    </row>
    <row r="9" spans="1:22">
      <c r="A9" s="2604" t="str">
        <f>'数据-取费表'!AN9</f>
        <v>收益法 (元)仓储</v>
      </c>
      <c r="B9" s="2602">
        <f ca="1">IF(F9="是",'数据-取费表'!AO9,0)</f>
        <v>101.8065</v>
      </c>
      <c r="C9" s="1872" t="s">
        <v>1651</v>
      </c>
      <c r="D9" s="2709"/>
      <c r="E9" s="2606">
        <f>IF(OR(A9=0,F9="否"),0,'数据-取费表'!K9+'数据-取费表'!S9)</f>
        <v>72.150000000000006</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2209.09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3" t="s">
        <v>1667</v>
      </c>
      <c r="D4" s="3734"/>
      <c r="E4" s="3735" t="s">
        <v>1668</v>
      </c>
      <c r="F4" s="3736"/>
      <c r="G4" s="3733" t="s">
        <v>1669</v>
      </c>
      <c r="H4" s="3734"/>
      <c r="I4" s="3733" t="s">
        <v>1670</v>
      </c>
      <c r="J4" s="3734"/>
      <c r="K4" s="1889" t="s">
        <v>1671</v>
      </c>
      <c r="L4" s="2715"/>
      <c r="M4" s="2716"/>
      <c r="N4" s="2716"/>
      <c r="O4" s="2716"/>
      <c r="P4" s="3737" t="s">
        <v>1672</v>
      </c>
      <c r="Q4" s="3738"/>
      <c r="R4" s="3720" t="s">
        <v>1668</v>
      </c>
      <c r="S4" s="3721"/>
      <c r="T4" s="3720" t="s">
        <v>1669</v>
      </c>
      <c r="U4" s="3721"/>
      <c r="V4" s="3745" t="s">
        <v>1670</v>
      </c>
      <c r="W4" s="3745"/>
      <c r="X4" s="1355"/>
      <c r="Y4" s="3720" t="s">
        <v>1672</v>
      </c>
      <c r="Z4" s="3721"/>
      <c r="AA4" s="3715" t="s">
        <v>1668</v>
      </c>
      <c r="AB4" s="3715" t="s">
        <v>1669</v>
      </c>
      <c r="AC4" s="3715" t="s">
        <v>1670</v>
      </c>
    </row>
    <row r="5" spans="1:29" ht="15">
      <c r="A5" s="358"/>
      <c r="B5" s="359"/>
      <c r="C5" s="3726" t="s">
        <v>1673</v>
      </c>
      <c r="D5" s="3727"/>
      <c r="E5" s="3724" t="s">
        <v>1674</v>
      </c>
      <c r="F5" s="3725"/>
      <c r="G5" s="3726" t="s">
        <v>1675</v>
      </c>
      <c r="H5" s="3727"/>
      <c r="I5" s="3726" t="s">
        <v>1676</v>
      </c>
      <c r="J5" s="3727"/>
      <c r="K5" s="1890"/>
      <c r="L5" s="2715"/>
      <c r="M5" s="2716"/>
      <c r="N5" s="2716"/>
      <c r="O5" s="2716"/>
      <c r="P5" s="3739"/>
      <c r="Q5" s="3740"/>
      <c r="R5" s="3722"/>
      <c r="S5" s="3723"/>
      <c r="T5" s="3722"/>
      <c r="U5" s="3723"/>
      <c r="V5" s="3745"/>
      <c r="W5" s="3745"/>
      <c r="X5" s="1355"/>
      <c r="Y5" s="3722"/>
      <c r="Z5" s="3723"/>
      <c r="AA5" s="3716"/>
      <c r="AB5" s="3716"/>
      <c r="AC5" s="3716"/>
    </row>
    <row r="6" spans="1:29" ht="15.75" thickBot="1">
      <c r="A6" s="360"/>
      <c r="B6" s="361"/>
      <c r="C6" s="3728" t="s">
        <v>1677</v>
      </c>
      <c r="D6" s="3729"/>
      <c r="E6" s="3730" t="s">
        <v>1677</v>
      </c>
      <c r="F6" s="3731"/>
      <c r="G6" s="3728" t="s">
        <v>1677</v>
      </c>
      <c r="H6" s="3729"/>
      <c r="I6" s="3728" t="s">
        <v>1677</v>
      </c>
      <c r="J6" s="3729"/>
      <c r="K6" s="1890" t="s">
        <v>1678</v>
      </c>
      <c r="L6" s="2715"/>
      <c r="M6" s="2716"/>
      <c r="N6" s="2716"/>
      <c r="O6" s="2716"/>
      <c r="P6" s="3741"/>
      <c r="Q6" s="3742"/>
      <c r="R6" s="3722"/>
      <c r="S6" s="3723"/>
      <c r="T6" s="3743"/>
      <c r="U6" s="3744"/>
      <c r="V6" s="3745"/>
      <c r="W6" s="3745"/>
      <c r="X6" s="1355"/>
      <c r="Y6" s="3743"/>
      <c r="Z6" s="3744"/>
      <c r="AA6" s="3717"/>
      <c r="AB6" s="3717"/>
      <c r="AC6" s="3717"/>
    </row>
    <row r="7" spans="1:29" s="108" customFormat="1" ht="15.75" thickBot="1">
      <c r="A7" s="362" t="s">
        <v>1679</v>
      </c>
      <c r="B7" s="363"/>
      <c r="C7" s="364">
        <f>'数据-取费表'!B2</f>
        <v>45379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46"/>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2"/>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2"/>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2"/>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2"/>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9" t="s">
        <v>1691</v>
      </c>
      <c r="Q15" s="1352" t="str">
        <f t="shared" si="6"/>
        <v>居住社区成熟度</v>
      </c>
      <c r="R15" s="705" t="s">
        <v>18</v>
      </c>
      <c r="S15" s="706">
        <f t="shared" si="0"/>
        <v>100</v>
      </c>
      <c r="T15" s="705" t="s">
        <v>18</v>
      </c>
      <c r="U15" s="706">
        <f t="shared" si="1"/>
        <v>100</v>
      </c>
      <c r="V15" s="705" t="s">
        <v>18</v>
      </c>
      <c r="W15" s="706">
        <f t="shared" si="2"/>
        <v>100</v>
      </c>
      <c r="X15" s="1355"/>
      <c r="Y15" s="375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0"/>
      <c r="Q16" s="1352"/>
      <c r="R16" s="705"/>
      <c r="S16" s="706"/>
      <c r="T16" s="705"/>
      <c r="U16" s="706"/>
      <c r="V16" s="705"/>
      <c r="W16" s="706"/>
      <c r="X16" s="1355"/>
      <c r="Y16" s="375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60"/>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60"/>
      <c r="Q18" s="1352"/>
      <c r="R18" s="705"/>
      <c r="S18" s="706"/>
      <c r="T18" s="705"/>
      <c r="U18" s="706"/>
      <c r="V18" s="705"/>
      <c r="W18" s="706"/>
      <c r="X18" s="1355"/>
      <c r="Y18" s="375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0"/>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0"/>
      <c r="Q20" s="1352"/>
      <c r="R20" s="705"/>
      <c r="S20" s="706"/>
      <c r="T20" s="705"/>
      <c r="U20" s="706"/>
      <c r="V20" s="705"/>
      <c r="W20" s="706"/>
      <c r="X20" s="1355"/>
      <c r="Y20" s="375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0"/>
      <c r="Q22" s="1352"/>
      <c r="R22" s="705"/>
      <c r="S22" s="706"/>
      <c r="T22" s="705"/>
      <c r="U22" s="706"/>
      <c r="V22" s="705"/>
      <c r="W22" s="706"/>
      <c r="X22" s="1355"/>
      <c r="Y22" s="375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0"/>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0"/>
      <c r="Q24" s="1352"/>
      <c r="R24" s="705"/>
      <c r="S24" s="706"/>
      <c r="T24" s="705"/>
      <c r="U24" s="706"/>
      <c r="V24" s="705"/>
      <c r="W24" s="706"/>
      <c r="X24" s="1355"/>
      <c r="Y24" s="375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60"/>
      <c r="Q26" s="1352" t="str">
        <f t="shared" si="11"/>
        <v>朝向</v>
      </c>
      <c r="R26" s="705" t="s">
        <v>18</v>
      </c>
      <c r="S26" s="706">
        <f t="shared" si="12"/>
        <v>100</v>
      </c>
      <c r="T26" s="705" t="s">
        <v>18</v>
      </c>
      <c r="U26" s="706">
        <f t="shared" si="13"/>
        <v>100</v>
      </c>
      <c r="V26" s="705" t="s">
        <v>18</v>
      </c>
      <c r="W26" s="706">
        <f t="shared" si="14"/>
        <v>100</v>
      </c>
      <c r="X26" s="1355"/>
      <c r="Y26" s="37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60"/>
      <c r="Q27" s="1343">
        <f t="shared" si="11"/>
        <v>111</v>
      </c>
      <c r="R27" s="701" t="s">
        <v>18</v>
      </c>
      <c r="S27" s="702">
        <f t="shared" si="12"/>
        <v>100</v>
      </c>
      <c r="T27" s="701" t="s">
        <v>18</v>
      </c>
      <c r="U27" s="702">
        <f t="shared" si="13"/>
        <v>100</v>
      </c>
      <c r="V27" s="701" t="s">
        <v>18</v>
      </c>
      <c r="W27" s="702">
        <f t="shared" si="14"/>
        <v>100</v>
      </c>
      <c r="X27" s="703"/>
      <c r="Y27" s="37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0"/>
      <c r="Q28" s="1352">
        <f t="shared" si="11"/>
        <v>111</v>
      </c>
      <c r="R28" s="705" t="s">
        <v>18</v>
      </c>
      <c r="S28" s="706">
        <f t="shared" si="12"/>
        <v>100</v>
      </c>
      <c r="T28" s="705" t="s">
        <v>18</v>
      </c>
      <c r="U28" s="706">
        <f t="shared" si="13"/>
        <v>100</v>
      </c>
      <c r="V28" s="705" t="s">
        <v>18</v>
      </c>
      <c r="W28" s="706">
        <f t="shared" si="14"/>
        <v>100</v>
      </c>
      <c r="X28" s="1355"/>
      <c r="Y28" s="37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0"/>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0"/>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0"/>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4" t="s">
        <v>1696</v>
      </c>
      <c r="Q32" s="1352" t="str">
        <f t="shared" si="11"/>
        <v>建筑类型</v>
      </c>
      <c r="R32" s="705" t="s">
        <v>18</v>
      </c>
      <c r="S32" s="706">
        <f t="shared" si="12"/>
        <v>100</v>
      </c>
      <c r="T32" s="705" t="s">
        <v>18</v>
      </c>
      <c r="U32" s="706">
        <f t="shared" si="13"/>
        <v>100</v>
      </c>
      <c r="V32" s="705" t="s">
        <v>18</v>
      </c>
      <c r="W32" s="706">
        <f t="shared" si="14"/>
        <v>100</v>
      </c>
      <c r="X32" s="1355"/>
      <c r="Y32" s="375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5"/>
      <c r="Q33" s="707" t="str">
        <f t="shared" si="11"/>
        <v>项目建筑规模</v>
      </c>
      <c r="R33" s="708" t="s">
        <v>18</v>
      </c>
      <c r="S33" s="709" t="e">
        <f t="shared" si="12"/>
        <v>#N/A</v>
      </c>
      <c r="T33" s="708" t="s">
        <v>18</v>
      </c>
      <c r="U33" s="709" t="e">
        <f t="shared" si="13"/>
        <v>#N/A</v>
      </c>
      <c r="V33" s="708" t="s">
        <v>18</v>
      </c>
      <c r="W33" s="709" t="e">
        <f t="shared" si="14"/>
        <v>#N/A</v>
      </c>
      <c r="X33" s="710"/>
      <c r="Y33" s="375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5"/>
      <c r="Q37" s="1343" t="str">
        <f t="shared" si="11"/>
        <v>成新度</v>
      </c>
      <c r="R37" s="701" t="s">
        <v>18</v>
      </c>
      <c r="S37" s="702" t="e">
        <f t="shared" si="12"/>
        <v>#N/A</v>
      </c>
      <c r="T37" s="701" t="s">
        <v>18</v>
      </c>
      <c r="U37" s="702" t="e">
        <f t="shared" si="13"/>
        <v>#N/A</v>
      </c>
      <c r="V37" s="701" t="s">
        <v>18</v>
      </c>
      <c r="W37" s="702" t="e">
        <f t="shared" si="14"/>
        <v>#N/A</v>
      </c>
      <c r="X37" s="703"/>
      <c r="Y37" s="375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5" t="s">
        <v>1696</v>
      </c>
      <c r="Q38" s="1352" t="str">
        <f t="shared" si="11"/>
        <v>物业管理</v>
      </c>
      <c r="R38" s="705" t="s">
        <v>18</v>
      </c>
      <c r="S38" s="706">
        <f t="shared" si="12"/>
        <v>100</v>
      </c>
      <c r="T38" s="705" t="s">
        <v>18</v>
      </c>
      <c r="U38" s="706">
        <f t="shared" si="13"/>
        <v>100</v>
      </c>
      <c r="V38" s="705" t="s">
        <v>18</v>
      </c>
      <c r="W38" s="706">
        <f t="shared" si="14"/>
        <v>100</v>
      </c>
      <c r="X38" s="1355"/>
      <c r="Y38" s="37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50" t="str">
        <f>A47</f>
        <v>成交单价（元/平方米）</v>
      </c>
      <c r="Q47" s="3750"/>
      <c r="R47" s="3751">
        <f>E47</f>
        <v>0</v>
      </c>
      <c r="S47" s="3751"/>
      <c r="T47" s="3751">
        <f>G47</f>
        <v>0</v>
      </c>
      <c r="U47" s="3751"/>
      <c r="V47" s="3751">
        <f>I47</f>
        <v>0</v>
      </c>
      <c r="W47" s="375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I48" sqref="I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3438</v>
      </c>
      <c r="F1" s="1879" t="s">
        <v>3441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13871.41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70000</v>
      </c>
      <c r="C3" s="354" t="s">
        <v>1768</v>
      </c>
      <c r="D3" s="353">
        <f>IF(D1="",'数据-汇总表'!E3,SUMIF('数据-汇总表'!$C19:$C33,D1,'数据-汇总表'!$E19:$E33))</f>
        <v>1981.63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3" t="s">
        <v>1770</v>
      </c>
      <c r="D4" s="3734"/>
      <c r="E4" s="3735" t="s">
        <v>1771</v>
      </c>
      <c r="F4" s="3736"/>
      <c r="G4" s="3733" t="s">
        <v>1772</v>
      </c>
      <c r="H4" s="3734"/>
      <c r="I4" s="3733" t="s">
        <v>1773</v>
      </c>
      <c r="J4" s="3734"/>
      <c r="K4" s="559" t="s">
        <v>1774</v>
      </c>
      <c r="L4" s="2715"/>
      <c r="M4" s="2716"/>
      <c r="N4" s="2716"/>
      <c r="O4" s="2716"/>
      <c r="P4" s="3737" t="s">
        <v>1775</v>
      </c>
      <c r="Q4" s="3738"/>
      <c r="R4" s="3720" t="s">
        <v>1771</v>
      </c>
      <c r="S4" s="3721"/>
      <c r="T4" s="3720" t="s">
        <v>1772</v>
      </c>
      <c r="U4" s="3721"/>
      <c r="V4" s="3745" t="s">
        <v>1773</v>
      </c>
      <c r="W4" s="3745"/>
      <c r="X4" s="1355"/>
      <c r="Y4" s="3720" t="s">
        <v>1775</v>
      </c>
      <c r="Z4" s="3721"/>
      <c r="AA4" s="3715" t="s">
        <v>1771</v>
      </c>
      <c r="AB4" s="3745" t="s">
        <v>1772</v>
      </c>
      <c r="AC4" s="3715" t="s">
        <v>1773</v>
      </c>
    </row>
    <row r="5" spans="1:29" ht="15">
      <c r="A5" s="358"/>
      <c r="B5" s="359"/>
      <c r="C5" s="3726" t="s">
        <v>1673</v>
      </c>
      <c r="D5" s="3727"/>
      <c r="E5" s="3724" t="s">
        <v>1674</v>
      </c>
      <c r="F5" s="3725"/>
      <c r="G5" s="3726" t="s">
        <v>1675</v>
      </c>
      <c r="H5" s="3727"/>
      <c r="I5" s="3726" t="s">
        <v>1676</v>
      </c>
      <c r="J5" s="3727"/>
      <c r="K5" s="559"/>
      <c r="L5" s="2715"/>
      <c r="M5" s="2716"/>
      <c r="N5" s="2716"/>
      <c r="O5" s="2716"/>
      <c r="P5" s="3739"/>
      <c r="Q5" s="3740"/>
      <c r="R5" s="3722"/>
      <c r="S5" s="3723"/>
      <c r="T5" s="3722"/>
      <c r="U5" s="3723"/>
      <c r="V5" s="3745"/>
      <c r="W5" s="3745"/>
      <c r="X5" s="1355"/>
      <c r="Y5" s="3722"/>
      <c r="Z5" s="3723"/>
      <c r="AA5" s="3716"/>
      <c r="AB5" s="3745"/>
      <c r="AC5" s="3716"/>
    </row>
    <row r="6" spans="1:29" ht="15.75" thickBot="1">
      <c r="A6" s="360"/>
      <c r="B6" s="361"/>
      <c r="C6" s="3728" t="s">
        <v>1677</v>
      </c>
      <c r="D6" s="3729"/>
      <c r="E6" s="3730" t="s">
        <v>1677</v>
      </c>
      <c r="F6" s="3731"/>
      <c r="G6" s="3728" t="s">
        <v>1677</v>
      </c>
      <c r="H6" s="3729"/>
      <c r="I6" s="3728" t="s">
        <v>1677</v>
      </c>
      <c r="J6" s="3729"/>
      <c r="K6" s="559" t="s">
        <v>1678</v>
      </c>
      <c r="L6" s="2715"/>
      <c r="M6" s="2716"/>
      <c r="N6" s="2716"/>
      <c r="O6" s="2716"/>
      <c r="P6" s="3741"/>
      <c r="Q6" s="3742"/>
      <c r="R6" s="3722"/>
      <c r="S6" s="3723"/>
      <c r="T6" s="3743"/>
      <c r="U6" s="3744"/>
      <c r="V6" s="3745"/>
      <c r="W6" s="3745"/>
      <c r="X6" s="1355"/>
      <c r="Y6" s="3743"/>
      <c r="Z6" s="3744"/>
      <c r="AA6" s="3717"/>
      <c r="AB6" s="3745"/>
      <c r="AC6" s="3717"/>
    </row>
    <row r="7" spans="1:29" s="108" customFormat="1" ht="15.75" thickBot="1">
      <c r="A7" s="362" t="s">
        <v>1679</v>
      </c>
      <c r="B7" s="363"/>
      <c r="C7" s="364">
        <f>'数据-取费表'!B2</f>
        <v>45379</v>
      </c>
      <c r="D7" s="365">
        <v>100</v>
      </c>
      <c r="E7" s="366">
        <f>C7</f>
        <v>45379</v>
      </c>
      <c r="F7" s="367">
        <f>SUMIF(58:58,YEAR(E7)&amp;"-"&amp;MONTH(E7),59:59)</f>
        <v>100</v>
      </c>
      <c r="G7" s="366">
        <f>C7</f>
        <v>45379</v>
      </c>
      <c r="H7" s="365">
        <f>SUMIF(58:58,YEAR(G7)&amp;"-"&amp;MONTH(G7),59:59)</f>
        <v>100</v>
      </c>
      <c r="I7" s="366">
        <f>C7</f>
        <v>45379</v>
      </c>
      <c r="J7" s="365">
        <f>SUMIF(58:58,YEAR(I7)&amp;"-"&amp;MONTH(I7),59:59)</f>
        <v>100</v>
      </c>
      <c r="K7" s="560"/>
      <c r="L7" s="2717"/>
      <c r="M7" s="2718"/>
      <c r="N7" s="2718"/>
      <c r="O7" s="2718"/>
      <c r="P7" s="3718" t="s">
        <v>1680</v>
      </c>
      <c r="Q7" s="3746"/>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32"/>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9" t="s">
        <v>1691</v>
      </c>
      <c r="Q15" s="1352" t="str">
        <f t="shared" si="6"/>
        <v>商业繁华度</v>
      </c>
      <c r="R15" s="705" t="s">
        <v>14</v>
      </c>
      <c r="S15" s="706">
        <f t="shared" si="0"/>
        <v>100</v>
      </c>
      <c r="T15" s="705" t="s">
        <v>14</v>
      </c>
      <c r="U15" s="706">
        <f t="shared" si="1"/>
        <v>100</v>
      </c>
      <c r="V15" s="705" t="s">
        <v>14</v>
      </c>
      <c r="W15" s="706">
        <f t="shared" si="2"/>
        <v>100</v>
      </c>
      <c r="X15" s="1355"/>
      <c r="Y15" s="37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0"/>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0"/>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0"/>
      <c r="Q18" s="1352"/>
      <c r="R18" s="705"/>
      <c r="S18" s="706"/>
      <c r="T18" s="705"/>
      <c r="U18" s="706"/>
      <c r="V18" s="705"/>
      <c r="W18" s="706"/>
      <c r="X18" s="1355"/>
      <c r="Y18" s="375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0"/>
      <c r="Q20" s="1352"/>
      <c r="R20" s="705"/>
      <c r="S20" s="706"/>
      <c r="T20" s="705"/>
      <c r="U20" s="706"/>
      <c r="V20" s="705"/>
      <c r="W20" s="706"/>
      <c r="X20" s="1355"/>
      <c r="Y20" s="375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0"/>
      <c r="Q22" s="1352"/>
      <c r="R22" s="705"/>
      <c r="S22" s="706"/>
      <c r="T22" s="705"/>
      <c r="U22" s="706"/>
      <c r="V22" s="705"/>
      <c r="W22" s="706"/>
      <c r="X22" s="1355"/>
      <c r="Y22" s="375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0"/>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0"/>
      <c r="Q24" s="1352"/>
      <c r="R24" s="705"/>
      <c r="S24" s="706"/>
      <c r="T24" s="705"/>
      <c r="U24" s="706"/>
      <c r="V24" s="705"/>
      <c r="W24" s="706"/>
      <c r="X24" s="1355"/>
      <c r="Y24" s="37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0"/>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0"/>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0"/>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0"/>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4" t="s">
        <v>1696</v>
      </c>
      <c r="Q32" s="1352" t="str">
        <f t="shared" si="11"/>
        <v>商业类型</v>
      </c>
      <c r="R32" s="705" t="s">
        <v>14</v>
      </c>
      <c r="S32" s="706">
        <f t="shared" si="12"/>
        <v>100</v>
      </c>
      <c r="T32" s="705" t="s">
        <v>14</v>
      </c>
      <c r="U32" s="706">
        <f t="shared" si="13"/>
        <v>100</v>
      </c>
      <c r="V32" s="705" t="s">
        <v>14</v>
      </c>
      <c r="W32" s="706">
        <f t="shared" si="14"/>
        <v>100</v>
      </c>
      <c r="X32" s="1355"/>
      <c r="Y32" s="37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55"/>
      <c r="Q33" s="707" t="str">
        <f t="shared" si="11"/>
        <v>项目建筑规模</v>
      </c>
      <c r="R33" s="708" t="s">
        <v>14</v>
      </c>
      <c r="S33" s="709">
        <f t="shared" si="12"/>
        <v>100</v>
      </c>
      <c r="T33" s="708" t="s">
        <v>14</v>
      </c>
      <c r="U33" s="709">
        <f t="shared" si="13"/>
        <v>100</v>
      </c>
      <c r="V33" s="708" t="s">
        <v>14</v>
      </c>
      <c r="W33" s="709">
        <f t="shared" si="14"/>
        <v>100</v>
      </c>
      <c r="X33" s="710"/>
      <c r="Y33" s="3757"/>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1786</v>
      </c>
      <c r="C36" s="425">
        <v>1</v>
      </c>
      <c r="D36" s="386">
        <v>100</v>
      </c>
      <c r="E36" s="425">
        <f>C36</f>
        <v>1</v>
      </c>
      <c r="F36" s="412">
        <f>LOOKUP(E36,110:110,111:111)-LOOKUP(C36,110:110,111:111)+100</f>
        <v>100</v>
      </c>
      <c r="G36" s="425">
        <f>C36</f>
        <v>1</v>
      </c>
      <c r="H36" s="412">
        <f>LOOKUP(G36,110:110,111:111)-LOOKUP(C36,110:110,111:111)+100</f>
        <v>100</v>
      </c>
      <c r="I36" s="425">
        <f>C36</f>
        <v>1</v>
      </c>
      <c r="J36" s="386">
        <f>LOOKUP(I36,110:110,111:111)-LOOKUP(C36,110:110,111:111)+100</f>
        <v>100</v>
      </c>
      <c r="K36" s="561"/>
      <c r="L36" s="2722"/>
      <c r="M36" s="2716"/>
      <c r="N36" s="2716"/>
      <c r="O36" s="2716"/>
      <c r="P36" s="3755"/>
      <c r="Q36" s="1352" t="str">
        <f t="shared" si="11"/>
        <v>成新度</v>
      </c>
      <c r="R36" s="705" t="s">
        <v>14</v>
      </c>
      <c r="S36" s="706">
        <f t="shared" si="12"/>
        <v>100</v>
      </c>
      <c r="T36" s="705" t="s">
        <v>14</v>
      </c>
      <c r="U36" s="706">
        <f t="shared" si="13"/>
        <v>100</v>
      </c>
      <c r="V36" s="705" t="s">
        <v>14</v>
      </c>
      <c r="W36" s="706">
        <f t="shared" si="14"/>
        <v>100</v>
      </c>
      <c r="X36" s="1355"/>
      <c r="Y36" s="3757"/>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5" t="s">
        <v>1696</v>
      </c>
      <c r="Q38" s="1352" t="str">
        <f t="shared" si="11"/>
        <v>业态</v>
      </c>
      <c r="R38" s="705" t="s">
        <v>14</v>
      </c>
      <c r="S38" s="706">
        <f t="shared" si="12"/>
        <v>100</v>
      </c>
      <c r="T38" s="705" t="s">
        <v>14</v>
      </c>
      <c r="U38" s="706">
        <f t="shared" si="13"/>
        <v>100</v>
      </c>
      <c r="V38" s="705" t="s">
        <v>14</v>
      </c>
      <c r="W38" s="706">
        <f t="shared" si="14"/>
        <v>100</v>
      </c>
      <c r="X38" s="1355"/>
      <c r="Y38" s="37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5">
      <c r="A47" s="430" t="s">
        <v>1708</v>
      </c>
      <c r="B47" s="431"/>
      <c r="C47" s="1154" t="s">
        <v>0</v>
      </c>
      <c r="D47" s="1155"/>
      <c r="E47" s="1156">
        <v>70000</v>
      </c>
      <c r="F47" s="1157"/>
      <c r="G47" s="1158">
        <f>E47</f>
        <v>70000</v>
      </c>
      <c r="H47" s="1159"/>
      <c r="I47" s="1156">
        <f>E47</f>
        <v>70000</v>
      </c>
      <c r="J47" s="1159"/>
      <c r="K47" s="714"/>
      <c r="L47" s="2724"/>
      <c r="M47" s="2725"/>
      <c r="N47" s="2716"/>
      <c r="O47" s="2725"/>
      <c r="P47" s="3750" t="str">
        <f>A47</f>
        <v>成交单价（元/平方米）</v>
      </c>
      <c r="Q47" s="3750"/>
      <c r="R47" s="3745">
        <f>E47</f>
        <v>70000</v>
      </c>
      <c r="S47" s="3745"/>
      <c r="T47" s="3745">
        <f>G47</f>
        <v>70000</v>
      </c>
      <c r="U47" s="3745"/>
      <c r="V47" s="3745">
        <f>I47</f>
        <v>70000</v>
      </c>
      <c r="W47" s="3745"/>
      <c r="X47" s="690"/>
      <c r="Y47" s="712"/>
      <c r="Z47" s="690"/>
      <c r="AA47" s="690"/>
      <c r="AB47" s="690"/>
      <c r="AC47" s="690"/>
    </row>
    <row r="48" spans="1:29" ht="15.75" thickBot="1">
      <c r="A48" s="437" t="s">
        <v>1793</v>
      </c>
      <c r="B48" s="438"/>
      <c r="C48" s="1160">
        <f>R49</f>
        <v>70000</v>
      </c>
      <c r="D48" s="2317" t="s">
        <v>2137</v>
      </c>
      <c r="E48" s="1161">
        <f>R48</f>
        <v>70000</v>
      </c>
      <c r="F48" s="2318"/>
      <c r="G48" s="1160">
        <f>T48</f>
        <v>70000</v>
      </c>
      <c r="H48" s="2318"/>
      <c r="I48" s="1161">
        <f>V48</f>
        <v>70000</v>
      </c>
      <c r="J48" s="2318"/>
      <c r="K48" s="2320">
        <f>F48+H48+J48</f>
        <v>0</v>
      </c>
      <c r="L48" s="2724"/>
      <c r="M48" s="2725"/>
      <c r="N48" s="2716"/>
      <c r="O48" s="2725"/>
      <c r="P48" s="3750" t="str">
        <f>A48</f>
        <v>比较价值（元/平方米）</v>
      </c>
      <c r="Q48" s="3750"/>
      <c r="R48" s="3751">
        <f>IF(F1="售价",ROUND(PRODUCT(R47,AA7:AA46),0),ROUND(PRODUCT(R47,AA7:AA46),1))</f>
        <v>70000</v>
      </c>
      <c r="S48" s="3751"/>
      <c r="T48" s="3751">
        <f>IF(F1="售价",ROUND(PRODUCT(T47,AB7:AB46),0),ROUND(PRODUCT(T47,AB7:AB46),1))</f>
        <v>70000</v>
      </c>
      <c r="U48" s="3751"/>
      <c r="V48" s="3751">
        <f>IF(F1="售价",ROUND(PRODUCT(V47,AC7:AC46),0),ROUND(PRODUCT(V47,AC7:AC46),1))</f>
        <v>70000</v>
      </c>
      <c r="W48" s="3751"/>
      <c r="X48" s="690"/>
      <c r="Y48" s="690"/>
      <c r="Z48" s="690"/>
      <c r="AA48" s="690"/>
      <c r="AB48" s="690"/>
      <c r="AC48" s="690"/>
    </row>
    <row r="49" spans="1:29" ht="15.75" thickBot="1">
      <c r="A49" s="441" t="s">
        <v>1794</v>
      </c>
      <c r="B49" s="442"/>
      <c r="C49" s="1163">
        <f>R49</f>
        <v>70000</v>
      </c>
      <c r="D49" s="1163"/>
      <c r="E49" s="1163"/>
      <c r="F49" s="1163"/>
      <c r="G49" s="1163"/>
      <c r="H49" s="1163"/>
      <c r="I49" s="1163"/>
      <c r="J49" s="1163"/>
      <c r="K49" s="715"/>
      <c r="L49" s="2724"/>
      <c r="M49" s="2725"/>
      <c r="N49" s="2716"/>
      <c r="O49" s="2725"/>
      <c r="P49" s="3747" t="str">
        <f>A49</f>
        <v>估价对象XX用房的比较价值（楼面单价，元/平方米）</v>
      </c>
      <c r="Q49" s="3748"/>
      <c r="R49" s="3749">
        <f>IF(F1="售价",ROUND(IF(D48="简单平均",AVERAGE(R48:V48),R48*F48+T48*H48+V48*J48),0),ROUND(IF(D48="简单平均",AVERAGE(R48:V48),R48*F48+T48*H48+V48*J48),1))</f>
        <v>70000</v>
      </c>
      <c r="S49" s="3749"/>
      <c r="T49" s="3749"/>
      <c r="U49" s="3749"/>
      <c r="V49" s="3749"/>
      <c r="W49" s="374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554.64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60000</v>
      </c>
      <c r="C3" s="354" t="s">
        <v>1768</v>
      </c>
      <c r="D3" s="353">
        <f>IF(D1="",'数据-汇总表'!E3,SUMIF('数据-汇总表'!$C19:$C33,D1,'数据-汇总表'!$E19:$E33))</f>
        <v>92.44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3" t="s">
        <v>1770</v>
      </c>
      <c r="D4" s="3734"/>
      <c r="E4" s="3735" t="s">
        <v>1771</v>
      </c>
      <c r="F4" s="3736"/>
      <c r="G4" s="3733" t="s">
        <v>1772</v>
      </c>
      <c r="H4" s="3734"/>
      <c r="I4" s="3733" t="s">
        <v>1773</v>
      </c>
      <c r="J4" s="3734"/>
      <c r="K4" s="559" t="s">
        <v>1774</v>
      </c>
      <c r="L4" s="2715"/>
      <c r="M4" s="2716"/>
      <c r="N4" s="2716"/>
      <c r="O4" s="2716"/>
      <c r="P4" s="3767" t="s">
        <v>1775</v>
      </c>
      <c r="Q4" s="3768"/>
      <c r="R4" s="3762" t="s">
        <v>1771</v>
      </c>
      <c r="S4" s="3763"/>
      <c r="T4" s="3762" t="s">
        <v>1772</v>
      </c>
      <c r="U4" s="3763"/>
      <c r="V4" s="3771" t="s">
        <v>1773</v>
      </c>
      <c r="W4" s="3771"/>
      <c r="X4" s="1958"/>
      <c r="Y4" s="3762" t="s">
        <v>1775</v>
      </c>
      <c r="Z4" s="3763"/>
      <c r="AA4" s="3761" t="s">
        <v>1771</v>
      </c>
      <c r="AB4" s="3761" t="s">
        <v>1772</v>
      </c>
      <c r="AC4" s="3764" t="s">
        <v>1773</v>
      </c>
    </row>
    <row r="5" spans="1:29" ht="15">
      <c r="A5" s="358"/>
      <c r="B5" s="359"/>
      <c r="C5" s="3726" t="s">
        <v>1673</v>
      </c>
      <c r="D5" s="3727"/>
      <c r="E5" s="3724" t="s">
        <v>1674</v>
      </c>
      <c r="F5" s="3725"/>
      <c r="G5" s="3726" t="s">
        <v>1675</v>
      </c>
      <c r="H5" s="3727"/>
      <c r="I5" s="3726" t="s">
        <v>1676</v>
      </c>
      <c r="J5" s="3727"/>
      <c r="K5" s="559"/>
      <c r="L5" s="2715"/>
      <c r="M5" s="2716"/>
      <c r="N5" s="2716"/>
      <c r="O5" s="2716"/>
      <c r="P5" s="3769"/>
      <c r="Q5" s="3740"/>
      <c r="R5" s="3722"/>
      <c r="S5" s="3723"/>
      <c r="T5" s="3722"/>
      <c r="U5" s="3723"/>
      <c r="V5" s="3745"/>
      <c r="W5" s="3745"/>
      <c r="X5" s="1355"/>
      <c r="Y5" s="3722"/>
      <c r="Z5" s="3723"/>
      <c r="AA5" s="3716"/>
      <c r="AB5" s="3716"/>
      <c r="AC5" s="3765"/>
    </row>
    <row r="6" spans="1:29" ht="15.75" thickBot="1">
      <c r="A6" s="360"/>
      <c r="B6" s="361"/>
      <c r="C6" s="3728" t="s">
        <v>1677</v>
      </c>
      <c r="D6" s="3729"/>
      <c r="E6" s="3730" t="s">
        <v>1677</v>
      </c>
      <c r="F6" s="3731"/>
      <c r="G6" s="3728" t="s">
        <v>1677</v>
      </c>
      <c r="H6" s="3729"/>
      <c r="I6" s="3728" t="s">
        <v>1677</v>
      </c>
      <c r="J6" s="3729"/>
      <c r="K6" s="559" t="s">
        <v>1678</v>
      </c>
      <c r="L6" s="2715"/>
      <c r="M6" s="2716"/>
      <c r="N6" s="2716"/>
      <c r="O6" s="2716"/>
      <c r="P6" s="3770"/>
      <c r="Q6" s="3742"/>
      <c r="R6" s="3722"/>
      <c r="S6" s="3723"/>
      <c r="T6" s="3743"/>
      <c r="U6" s="3744"/>
      <c r="V6" s="3745"/>
      <c r="W6" s="3745"/>
      <c r="X6" s="1355"/>
      <c r="Y6" s="3743"/>
      <c r="Z6" s="3744"/>
      <c r="AA6" s="3717"/>
      <c r="AB6" s="3717"/>
      <c r="AC6" s="3766"/>
    </row>
    <row r="7" spans="1:29" s="108" customFormat="1" ht="15.75" thickBot="1">
      <c r="A7" s="362" t="s">
        <v>1679</v>
      </c>
      <c r="B7" s="363"/>
      <c r="C7" s="364">
        <f>'数据-取费表'!B2</f>
        <v>45379</v>
      </c>
      <c r="D7" s="365">
        <v>100</v>
      </c>
      <c r="E7" s="366">
        <f>C7</f>
        <v>45379</v>
      </c>
      <c r="F7" s="367">
        <f>SUMIF(59:59,YEAR(E7)&amp;"-"&amp;MONTH(E7),60:60)</f>
        <v>100</v>
      </c>
      <c r="G7" s="366">
        <f>C7</f>
        <v>45379</v>
      </c>
      <c r="H7" s="365">
        <f>SUMIF(59:59,YEAR(G7)&amp;"-"&amp;MONTH(G7),60:60)</f>
        <v>100</v>
      </c>
      <c r="I7" s="366">
        <f>C7</f>
        <v>45379</v>
      </c>
      <c r="J7" s="365">
        <f>SUMIF(59:59,YEAR(I7)&amp;"-"&amp;MONTH(I7),60:60)</f>
        <v>100</v>
      </c>
      <c r="K7" s="560"/>
      <c r="L7" s="2717"/>
      <c r="M7" s="2718"/>
      <c r="N7" s="2718"/>
      <c r="O7" s="2718"/>
      <c r="P7" s="3772" t="s">
        <v>1680</v>
      </c>
      <c r="Q7" s="3746"/>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2"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2"/>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9" t="s">
        <v>1691</v>
      </c>
      <c r="Q15" s="1352" t="str">
        <f t="shared" si="6"/>
        <v>办公集聚程度</v>
      </c>
      <c r="R15" s="705" t="s">
        <v>14</v>
      </c>
      <c r="S15" s="706">
        <f t="shared" si="0"/>
        <v>100</v>
      </c>
      <c r="T15" s="705" t="s">
        <v>14</v>
      </c>
      <c r="U15" s="706">
        <f t="shared" si="1"/>
        <v>100</v>
      </c>
      <c r="V15" s="705" t="s">
        <v>14</v>
      </c>
      <c r="W15" s="706">
        <f t="shared" si="2"/>
        <v>100</v>
      </c>
      <c r="X15" s="1355"/>
      <c r="Y15" s="375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0"/>
      <c r="Q16" s="1352"/>
      <c r="R16" s="705"/>
      <c r="S16" s="706"/>
      <c r="T16" s="705"/>
      <c r="U16" s="706"/>
      <c r="V16" s="705"/>
      <c r="W16" s="706"/>
      <c r="X16" s="1355"/>
      <c r="Y16" s="375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0"/>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0"/>
      <c r="Q18" s="1352"/>
      <c r="R18" s="705"/>
      <c r="S18" s="706"/>
      <c r="T18" s="705"/>
      <c r="U18" s="706"/>
      <c r="V18" s="705"/>
      <c r="W18" s="706"/>
      <c r="X18" s="1355"/>
      <c r="Y18" s="375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0"/>
      <c r="Q20" s="1352"/>
      <c r="R20" s="705"/>
      <c r="S20" s="706"/>
      <c r="T20" s="705"/>
      <c r="U20" s="706"/>
      <c r="V20" s="705"/>
      <c r="W20" s="706"/>
      <c r="X20" s="1355"/>
      <c r="Y20" s="375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0"/>
      <c r="Q22" s="1352"/>
      <c r="R22" s="705"/>
      <c r="S22" s="706"/>
      <c r="T22" s="705"/>
      <c r="U22" s="706"/>
      <c r="V22" s="705"/>
      <c r="W22" s="706"/>
      <c r="X22" s="1355"/>
      <c r="Y22" s="375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0"/>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0"/>
      <c r="Q24" s="1352"/>
      <c r="R24" s="705"/>
      <c r="S24" s="706"/>
      <c r="T24" s="705"/>
      <c r="U24" s="706"/>
      <c r="V24" s="705"/>
      <c r="W24" s="706"/>
      <c r="X24" s="1355"/>
      <c r="Y24" s="375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0"/>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0"/>
      <c r="Q26" s="1352"/>
      <c r="R26" s="705"/>
      <c r="S26" s="706"/>
      <c r="T26" s="705"/>
      <c r="U26" s="706"/>
      <c r="V26" s="705"/>
      <c r="W26" s="706"/>
      <c r="X26" s="1355"/>
      <c r="Y26" s="375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0"/>
      <c r="Q27" s="1352" t="str">
        <f t="shared" ref="Q27:Q47" si="11">B27</f>
        <v>楼层</v>
      </c>
      <c r="R27" s="705" t="s">
        <v>14</v>
      </c>
      <c r="S27" s="706">
        <f>F27</f>
        <v>100</v>
      </c>
      <c r="T27" s="705" t="s">
        <v>14</v>
      </c>
      <c r="U27" s="706">
        <f>H27</f>
        <v>100</v>
      </c>
      <c r="V27" s="705" t="s">
        <v>14</v>
      </c>
      <c r="W27" s="706">
        <f>J27</f>
        <v>100</v>
      </c>
      <c r="X27" s="1355"/>
      <c r="Y27" s="375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0"/>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0"/>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0"/>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4" t="s">
        <v>1696</v>
      </c>
      <c r="Q33" s="1352" t="str">
        <f t="shared" si="11"/>
        <v>建筑类型</v>
      </c>
      <c r="R33" s="705" t="s">
        <v>14</v>
      </c>
      <c r="S33" s="706">
        <f t="shared" si="12"/>
        <v>100</v>
      </c>
      <c r="T33" s="705" t="s">
        <v>14</v>
      </c>
      <c r="U33" s="706">
        <f t="shared" si="13"/>
        <v>100</v>
      </c>
      <c r="V33" s="705" t="s">
        <v>14</v>
      </c>
      <c r="W33" s="706">
        <f t="shared" si="14"/>
        <v>100</v>
      </c>
      <c r="X33" s="1355"/>
      <c r="Y33" s="375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55"/>
      <c r="Q34" s="707" t="str">
        <f t="shared" si="11"/>
        <v>项目建筑规模</v>
      </c>
      <c r="R34" s="708" t="s">
        <v>14</v>
      </c>
      <c r="S34" s="709">
        <f t="shared" si="12"/>
        <v>100</v>
      </c>
      <c r="T34" s="708" t="s">
        <v>14</v>
      </c>
      <c r="U34" s="709">
        <f t="shared" si="13"/>
        <v>100</v>
      </c>
      <c r="V34" s="708" t="s">
        <v>14</v>
      </c>
      <c r="W34" s="709">
        <f t="shared" si="14"/>
        <v>100</v>
      </c>
      <c r="X34" s="710"/>
      <c r="Y34" s="3757"/>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2">
        <f t="shared" si="5"/>
        <v>1</v>
      </c>
    </row>
    <row r="37" spans="1:29" ht="15">
      <c r="A37" s="423"/>
      <c r="B37" s="375" t="s">
        <v>1786</v>
      </c>
      <c r="C37" s="425">
        <v>1</v>
      </c>
      <c r="D37" s="386">
        <v>100</v>
      </c>
      <c r="E37" s="425">
        <f>C37</f>
        <v>1</v>
      </c>
      <c r="F37" s="412">
        <f>LOOKUP(E37,111:111,112:112)-LOOKUP(C37,111:111,112:112)+100</f>
        <v>100</v>
      </c>
      <c r="G37" s="425">
        <f>C37</f>
        <v>1</v>
      </c>
      <c r="H37" s="412">
        <f>LOOKUP(G37,111:111,112:112)-LOOKUP(C37,111:111,112:112)+100</f>
        <v>100</v>
      </c>
      <c r="I37" s="425">
        <f>C37</f>
        <v>1</v>
      </c>
      <c r="J37" s="386">
        <f>LOOKUP(I37,111:111,112:112)-LOOKUP(C37,111:111,112:112)+100</f>
        <v>100</v>
      </c>
      <c r="K37" s="561"/>
      <c r="L37" s="2722"/>
      <c r="M37" s="2716"/>
      <c r="N37" s="2716"/>
      <c r="O37" s="2716"/>
      <c r="P37" s="3755"/>
      <c r="Q37" s="1352" t="str">
        <f t="shared" si="11"/>
        <v>成新度</v>
      </c>
      <c r="R37" s="705" t="s">
        <v>14</v>
      </c>
      <c r="S37" s="706">
        <f t="shared" si="12"/>
        <v>100</v>
      </c>
      <c r="T37" s="705" t="s">
        <v>14</v>
      </c>
      <c r="U37" s="706">
        <f t="shared" si="13"/>
        <v>100</v>
      </c>
      <c r="V37" s="705" t="s">
        <v>14</v>
      </c>
      <c r="W37" s="706">
        <f t="shared" si="14"/>
        <v>100</v>
      </c>
      <c r="X37" s="1355"/>
      <c r="Y37" s="375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5" t="s">
        <v>1696</v>
      </c>
      <c r="Q39" s="1352" t="str">
        <f t="shared" si="11"/>
        <v>物业管理</v>
      </c>
      <c r="R39" s="705" t="s">
        <v>14</v>
      </c>
      <c r="S39" s="706">
        <f t="shared" si="12"/>
        <v>100</v>
      </c>
      <c r="T39" s="705" t="s">
        <v>14</v>
      </c>
      <c r="U39" s="706">
        <f t="shared" si="13"/>
        <v>100</v>
      </c>
      <c r="V39" s="705" t="s">
        <v>14</v>
      </c>
      <c r="W39" s="706">
        <f t="shared" si="14"/>
        <v>100</v>
      </c>
      <c r="X39" s="1355"/>
      <c r="Y39" s="375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5"/>
      <c r="Q43" s="1352" t="str">
        <f t="shared" si="11"/>
        <v>内部装修</v>
      </c>
      <c r="R43" s="705" t="s">
        <v>14</v>
      </c>
      <c r="S43" s="706">
        <f t="shared" si="12"/>
        <v>100</v>
      </c>
      <c r="T43" s="705" t="s">
        <v>14</v>
      </c>
      <c r="U43" s="706">
        <f t="shared" si="13"/>
        <v>100</v>
      </c>
      <c r="V43" s="705" t="s">
        <v>14</v>
      </c>
      <c r="W43" s="706">
        <f t="shared" si="14"/>
        <v>100</v>
      </c>
      <c r="X43" s="1355"/>
      <c r="Y43" s="375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5"/>
      <c r="Q45" s="1343">
        <f t="shared" si="11"/>
        <v>111</v>
      </c>
      <c r="R45" s="701" t="s">
        <v>14</v>
      </c>
      <c r="S45" s="702">
        <f t="shared" si="12"/>
        <v>100</v>
      </c>
      <c r="T45" s="701" t="s">
        <v>14</v>
      </c>
      <c r="U45" s="702">
        <f t="shared" si="13"/>
        <v>100</v>
      </c>
      <c r="V45" s="701" t="s">
        <v>14</v>
      </c>
      <c r="W45" s="702">
        <f t="shared" si="14"/>
        <v>100</v>
      </c>
      <c r="X45" s="703"/>
      <c r="Y45" s="375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2">
        <f t="shared" si="5"/>
        <v>1</v>
      </c>
    </row>
    <row r="48" spans="1:29" ht="15">
      <c r="A48" s="430" t="s">
        <v>1708</v>
      </c>
      <c r="B48" s="431"/>
      <c r="C48" s="1154" t="s">
        <v>0</v>
      </c>
      <c r="D48" s="1155"/>
      <c r="E48" s="1156">
        <v>60000</v>
      </c>
      <c r="F48" s="1157"/>
      <c r="G48" s="1158">
        <f>E48</f>
        <v>60000</v>
      </c>
      <c r="H48" s="1159"/>
      <c r="I48" s="1156">
        <f>E48</f>
        <v>60000</v>
      </c>
      <c r="J48" s="436"/>
      <c r="K48" s="714"/>
      <c r="L48" s="2724"/>
      <c r="M48" s="2716"/>
      <c r="N48" s="2716"/>
      <c r="O48" s="2716"/>
      <c r="P48" s="3732" t="str">
        <f>A48</f>
        <v>成交单价（元/平方米）</v>
      </c>
      <c r="Q48" s="3750"/>
      <c r="R48" s="3751">
        <f>E48</f>
        <v>60000</v>
      </c>
      <c r="S48" s="3751"/>
      <c r="T48" s="3751">
        <f>G48</f>
        <v>60000</v>
      </c>
      <c r="U48" s="3751"/>
      <c r="V48" s="3751">
        <f>I48</f>
        <v>60000</v>
      </c>
      <c r="W48" s="3751"/>
      <c r="X48" s="397"/>
      <c r="Y48" s="712"/>
      <c r="Z48" s="397"/>
      <c r="AA48" s="397"/>
      <c r="AB48" s="397"/>
      <c r="AC48" s="578"/>
    </row>
    <row r="49" spans="1:29" ht="15.75" thickBot="1">
      <c r="A49" s="437" t="s">
        <v>1793</v>
      </c>
      <c r="B49" s="438"/>
      <c r="C49" s="1160">
        <f>R50</f>
        <v>60000</v>
      </c>
      <c r="D49" s="2317" t="s">
        <v>2137</v>
      </c>
      <c r="E49" s="1161">
        <f>R49</f>
        <v>60000</v>
      </c>
      <c r="F49" s="2318"/>
      <c r="G49" s="1160">
        <f>T49</f>
        <v>60000</v>
      </c>
      <c r="H49" s="2318"/>
      <c r="I49" s="1161">
        <f>V49</f>
        <v>60000</v>
      </c>
      <c r="J49" s="2318"/>
      <c r="K49" s="2320">
        <f>F49+H49+J49</f>
        <v>0</v>
      </c>
      <c r="L49" s="2724"/>
      <c r="M49" s="2716"/>
      <c r="N49" s="2716"/>
      <c r="O49" s="2716"/>
      <c r="P49" s="3732" t="str">
        <f>A49</f>
        <v>比较价值（元/平方米）</v>
      </c>
      <c r="Q49" s="3750"/>
      <c r="R49" s="3751">
        <f>IF(F1="售价",ROUND(PRODUCT(R48,AA7:AA47),0),ROUND(PRODUCT(R48,AA7:AA47),1))</f>
        <v>60000</v>
      </c>
      <c r="S49" s="3751"/>
      <c r="T49" s="3751">
        <f>IF(F1="售价",ROUND(PRODUCT(T48,AB7:AB47),0),ROUND(PRODUCT(T48,AB7:AB47),1))</f>
        <v>60000</v>
      </c>
      <c r="U49" s="3751"/>
      <c r="V49" s="3751">
        <f>IF(F1="售价",ROUND(PRODUCT(V48,AC7:AC47),0),ROUND(PRODUCT(V48,AC7:AC47),1))</f>
        <v>60000</v>
      </c>
      <c r="W49" s="3751"/>
      <c r="X49" s="397"/>
      <c r="Y49" s="397"/>
      <c r="Z49" s="397"/>
      <c r="AA49" s="397"/>
      <c r="AB49" s="397"/>
      <c r="AC49" s="578"/>
    </row>
    <row r="50" spans="1:29" ht="15.75" thickBot="1">
      <c r="A50" s="441" t="s">
        <v>1794</v>
      </c>
      <c r="B50" s="442"/>
      <c r="C50" s="1163">
        <f>R50</f>
        <v>60000</v>
      </c>
      <c r="D50" s="1163"/>
      <c r="E50" s="1163"/>
      <c r="F50" s="1163"/>
      <c r="G50" s="1163"/>
      <c r="H50" s="1163"/>
      <c r="I50" s="1163"/>
      <c r="J50" s="443"/>
      <c r="K50" s="715"/>
      <c r="L50" s="2724"/>
      <c r="M50" s="2716"/>
      <c r="N50" s="2716"/>
      <c r="O50" s="2716"/>
      <c r="P50" s="3773" t="str">
        <f>A50</f>
        <v>估价对象XX用房的比较价值（楼面单价，元/平方米）</v>
      </c>
      <c r="Q50" s="3774"/>
      <c r="R50" s="3775">
        <f>IF(F1="售价",ROUND(IF(D49="简单平均",AVERAGE(R49:V49),R49*F49+T49*H49+V49*J49),0),ROUND(IF(D49="简单平均",AVERAGE(R49:V49),R49*F49+T49*H49+V49*J49),1))</f>
        <v>60000</v>
      </c>
      <c r="S50" s="3775"/>
      <c r="T50" s="3775"/>
      <c r="U50" s="3775"/>
      <c r="V50" s="3775"/>
      <c r="W50" s="377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t="e">
        <f ca="1">结果表!H101</f>
        <v>#REF!</v>
      </c>
      <c r="E5" s="1491"/>
    </row>
    <row r="6" spans="1:5" ht="15.75">
      <c r="A6" s="1491"/>
      <c r="B6" s="3486"/>
      <c r="C6" s="1494" t="s">
        <v>911</v>
      </c>
      <c r="D6" s="850" t="e">
        <f ca="1">NUMBERSTRING(INT(D5*10000),2)&amp;"元整"</f>
        <v>#REF!</v>
      </c>
      <c r="E6" s="1491"/>
    </row>
    <row r="7" spans="1:5" ht="15.75">
      <c r="A7" s="1491"/>
      <c r="B7" s="3491"/>
      <c r="C7" s="1495" t="s">
        <v>912</v>
      </c>
      <c r="D7" s="851" t="e">
        <f ca="1">结果表!H102</f>
        <v>#REF!</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t="e">
        <f ca="1">结果表!H107</f>
        <v>#REF!</v>
      </c>
      <c r="E13" s="1491"/>
    </row>
    <row r="14" spans="1:5" ht="15.75">
      <c r="A14" s="1491"/>
      <c r="B14" s="3486"/>
      <c r="C14" s="1494" t="s">
        <v>911</v>
      </c>
      <c r="D14" s="850" t="e">
        <f ca="1">NUMBERSTRING(INT(D13*10000),2)&amp;"元整"</f>
        <v>#REF!</v>
      </c>
      <c r="E14" s="1491"/>
    </row>
    <row r="15" spans="1:5" ht="15">
      <c r="A15" s="1491"/>
      <c r="B15" s="3491"/>
      <c r="C15" s="1495" t="s">
        <v>921</v>
      </c>
      <c r="D15" s="859" t="e">
        <f ca="1">结果表!H108</f>
        <v>#REF!</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2209.09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913"/>
      <c r="M4" s="914"/>
      <c r="N4" s="914"/>
      <c r="O4" s="914"/>
      <c r="P4" s="3737" t="s">
        <v>1775</v>
      </c>
      <c r="Q4" s="3738"/>
      <c r="R4" s="3720" t="s">
        <v>1771</v>
      </c>
      <c r="S4" s="3721"/>
      <c r="T4" s="3720" t="s">
        <v>1772</v>
      </c>
      <c r="U4" s="3721"/>
      <c r="V4" s="3745" t="s">
        <v>1773</v>
      </c>
      <c r="W4" s="3745"/>
      <c r="X4" s="1355"/>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913"/>
      <c r="M5" s="914"/>
      <c r="N5" s="914"/>
      <c r="O5" s="914"/>
      <c r="P5" s="3739"/>
      <c r="Q5" s="3740"/>
      <c r="R5" s="3722"/>
      <c r="S5" s="3723"/>
      <c r="T5" s="3722"/>
      <c r="U5" s="3723"/>
      <c r="V5" s="3745"/>
      <c r="W5" s="3745"/>
      <c r="X5" s="1355"/>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913"/>
      <c r="M6" s="914"/>
      <c r="N6" s="914"/>
      <c r="O6" s="914"/>
      <c r="P6" s="3741"/>
      <c r="Q6" s="3742"/>
      <c r="R6" s="3722"/>
      <c r="S6" s="3723"/>
      <c r="T6" s="3743"/>
      <c r="U6" s="3744"/>
      <c r="V6" s="3745"/>
      <c r="W6" s="3745"/>
      <c r="X6" s="1355"/>
      <c r="Y6" s="3743"/>
      <c r="Z6" s="3744"/>
      <c r="AA6" s="3717"/>
      <c r="AB6" s="3717"/>
      <c r="AC6" s="3717"/>
    </row>
    <row r="7" spans="1:29" s="108" customFormat="1" ht="15.75" thickBot="1">
      <c r="A7" s="362" t="s">
        <v>1679</v>
      </c>
      <c r="B7" s="363"/>
      <c r="C7" s="364">
        <f>'数据-取费表'!B2</f>
        <v>45379</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46"/>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0"/>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1696</v>
      </c>
      <c r="Q29" s="1352" t="str">
        <f t="shared" si="11"/>
        <v>建筑类型</v>
      </c>
      <c r="R29" s="705" t="s">
        <v>14</v>
      </c>
      <c r="S29" s="706">
        <f t="shared" si="12"/>
        <v>100</v>
      </c>
      <c r="T29" s="705" t="s">
        <v>14</v>
      </c>
      <c r="U29" s="706">
        <f t="shared" si="13"/>
        <v>100</v>
      </c>
      <c r="V29" s="705" t="s">
        <v>14</v>
      </c>
      <c r="W29" s="706">
        <f t="shared" si="14"/>
        <v>100</v>
      </c>
      <c r="X29" s="1355"/>
      <c r="Y29" s="37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1696</v>
      </c>
      <c r="Q35" s="1352" t="str">
        <f t="shared" si="11"/>
        <v>市政基础设施</v>
      </c>
      <c r="R35" s="705" t="s">
        <v>14</v>
      </c>
      <c r="S35" s="706">
        <f t="shared" si="12"/>
        <v>100</v>
      </c>
      <c r="T35" s="705" t="s">
        <v>14</v>
      </c>
      <c r="U35" s="706">
        <f t="shared" si="13"/>
        <v>100</v>
      </c>
      <c r="V35" s="705" t="s">
        <v>14</v>
      </c>
      <c r="W35" s="706">
        <f t="shared" si="14"/>
        <v>100</v>
      </c>
      <c r="X35" s="1355"/>
      <c r="Y35" s="37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50" t="str">
        <f>A41</f>
        <v>成交单价（元/平方米）</v>
      </c>
      <c r="Q41" s="3750"/>
      <c r="R41" s="3751">
        <f>E41</f>
        <v>0</v>
      </c>
      <c r="S41" s="3751"/>
      <c r="T41" s="3751">
        <f>G41</f>
        <v>0</v>
      </c>
      <c r="U41" s="3751"/>
      <c r="V41" s="3751">
        <f>I41</f>
        <v>0</v>
      </c>
      <c r="W41" s="375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5"/>
      <c r="M4" s="2716"/>
      <c r="N4" s="2716"/>
      <c r="O4" s="2716"/>
      <c r="P4" s="3737" t="s">
        <v>1775</v>
      </c>
      <c r="Q4" s="3738"/>
      <c r="R4" s="3720" t="s">
        <v>1771</v>
      </c>
      <c r="S4" s="3721"/>
      <c r="T4" s="3720" t="s">
        <v>1772</v>
      </c>
      <c r="U4" s="3721"/>
      <c r="V4" s="3745" t="s">
        <v>1773</v>
      </c>
      <c r="W4" s="3745"/>
      <c r="X4" s="1355"/>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5"/>
      <c r="M5" s="2716"/>
      <c r="N5" s="2716"/>
      <c r="O5" s="2716"/>
      <c r="P5" s="3739"/>
      <c r="Q5" s="3740"/>
      <c r="R5" s="3722"/>
      <c r="S5" s="3723"/>
      <c r="T5" s="3722"/>
      <c r="U5" s="3723"/>
      <c r="V5" s="3745"/>
      <c r="W5" s="3745"/>
      <c r="X5" s="1355"/>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2715"/>
      <c r="M6" s="2716"/>
      <c r="N6" s="2716"/>
      <c r="O6" s="2716"/>
      <c r="P6" s="3741"/>
      <c r="Q6" s="3742"/>
      <c r="R6" s="3722"/>
      <c r="S6" s="3723"/>
      <c r="T6" s="3743"/>
      <c r="U6" s="3744"/>
      <c r="V6" s="3745"/>
      <c r="W6" s="3745"/>
      <c r="X6" s="1355"/>
      <c r="Y6" s="3743"/>
      <c r="Z6" s="3744"/>
      <c r="AA6" s="3717"/>
      <c r="AB6" s="3717"/>
      <c r="AC6" s="3717"/>
    </row>
    <row r="7" spans="1:29" s="108" customFormat="1" ht="15.75" thickBot="1">
      <c r="A7" s="362" t="s">
        <v>1679</v>
      </c>
      <c r="B7" s="363"/>
      <c r="C7" s="364">
        <f>'数据-取费表'!B2</f>
        <v>45379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46"/>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0"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0"/>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3"/>
      <c r="Q15" s="1352"/>
      <c r="R15" s="705"/>
      <c r="S15" s="706"/>
      <c r="T15" s="705"/>
      <c r="U15" s="706"/>
      <c r="V15" s="705"/>
      <c r="W15" s="706"/>
      <c r="X15" s="1355"/>
      <c r="Y15" s="375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3"/>
      <c r="Q17" s="1352"/>
      <c r="R17" s="705"/>
      <c r="S17" s="706"/>
      <c r="T17" s="705"/>
      <c r="U17" s="706"/>
      <c r="V17" s="705"/>
      <c r="W17" s="706"/>
      <c r="X17" s="1355"/>
      <c r="Y17" s="375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3"/>
      <c r="Q19" s="1352"/>
      <c r="R19" s="705"/>
      <c r="S19" s="706"/>
      <c r="T19" s="705"/>
      <c r="U19" s="706"/>
      <c r="V19" s="705"/>
      <c r="W19" s="706"/>
      <c r="X19" s="1355"/>
      <c r="Y19" s="375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3"/>
      <c r="Q21" s="1352"/>
      <c r="R21" s="705"/>
      <c r="S21" s="706"/>
      <c r="T21" s="705"/>
      <c r="U21" s="706"/>
      <c r="V21" s="705"/>
      <c r="W21" s="706"/>
      <c r="X21" s="1355"/>
      <c r="Y21" s="37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7" t="s">
        <v>1696</v>
      </c>
      <c r="Q32" s="1352" t="str">
        <f t="shared" si="11"/>
        <v>车位类型</v>
      </c>
      <c r="R32" s="705" t="s">
        <v>14</v>
      </c>
      <c r="S32" s="706">
        <f t="shared" si="12"/>
        <v>100</v>
      </c>
      <c r="T32" s="705" t="s">
        <v>14</v>
      </c>
      <c r="U32" s="706">
        <f t="shared" si="13"/>
        <v>100</v>
      </c>
      <c r="V32" s="705" t="s">
        <v>14</v>
      </c>
      <c r="W32" s="706">
        <f t="shared" si="14"/>
        <v>100</v>
      </c>
      <c r="X32" s="1355"/>
      <c r="Y32" s="37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50" t="str">
        <f>A37</f>
        <v>成交单价</v>
      </c>
      <c r="Q37" s="3750"/>
      <c r="R37" s="3751">
        <f>E37</f>
        <v>0</v>
      </c>
      <c r="S37" s="3751"/>
      <c r="T37" s="3751">
        <f>G37</f>
        <v>0</v>
      </c>
      <c r="U37" s="3751"/>
      <c r="V37" s="3751">
        <f>I37</f>
        <v>0</v>
      </c>
      <c r="W37" s="375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7" t="str">
        <f>A39</f>
        <v>估价对象XX用房的比较价值（楼面单价，元/平方米）</v>
      </c>
      <c r="Q39" s="3748"/>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5"/>
      <c r="M4" s="2716"/>
      <c r="N4" s="2716"/>
      <c r="O4" s="2716"/>
      <c r="P4" s="3737" t="s">
        <v>1775</v>
      </c>
      <c r="Q4" s="3738"/>
      <c r="R4" s="3720" t="s">
        <v>1771</v>
      </c>
      <c r="S4" s="3721"/>
      <c r="T4" s="3720" t="s">
        <v>1772</v>
      </c>
      <c r="U4" s="3721"/>
      <c r="V4" s="3745" t="s">
        <v>1773</v>
      </c>
      <c r="W4" s="3745"/>
      <c r="X4" s="1355"/>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5"/>
      <c r="M5" s="2716"/>
      <c r="N5" s="2716"/>
      <c r="O5" s="2716"/>
      <c r="P5" s="3739"/>
      <c r="Q5" s="3740"/>
      <c r="R5" s="3722"/>
      <c r="S5" s="3723"/>
      <c r="T5" s="3722"/>
      <c r="U5" s="3723"/>
      <c r="V5" s="3745"/>
      <c r="W5" s="3745"/>
      <c r="X5" s="1355"/>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2715"/>
      <c r="M6" s="2716"/>
      <c r="N6" s="2716"/>
      <c r="O6" s="2716"/>
      <c r="P6" s="3741"/>
      <c r="Q6" s="3742"/>
      <c r="R6" s="3722"/>
      <c r="S6" s="3723"/>
      <c r="T6" s="3743"/>
      <c r="U6" s="3744"/>
      <c r="V6" s="3745"/>
      <c r="W6" s="3745"/>
      <c r="X6" s="1355"/>
      <c r="Y6" s="3743"/>
      <c r="Z6" s="3744"/>
      <c r="AA6" s="3717"/>
      <c r="AB6" s="3717"/>
      <c r="AC6" s="3717"/>
    </row>
    <row r="7" spans="1:29" s="108" customFormat="1" ht="15.75" thickBot="1">
      <c r="A7" s="362" t="s">
        <v>1679</v>
      </c>
      <c r="B7" s="363"/>
      <c r="C7" s="364">
        <f>'数据-取费表'!B2</f>
        <v>45379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46"/>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0"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0"/>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3"/>
      <c r="Q15" s="1352"/>
      <c r="R15" s="705"/>
      <c r="S15" s="706"/>
      <c r="T15" s="705"/>
      <c r="U15" s="706"/>
      <c r="V15" s="705"/>
      <c r="W15" s="706"/>
      <c r="X15" s="1355"/>
      <c r="Y15" s="375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3"/>
      <c r="Q17" s="1352"/>
      <c r="R17" s="705"/>
      <c r="S17" s="706"/>
      <c r="T17" s="705"/>
      <c r="U17" s="706"/>
      <c r="V17" s="705"/>
      <c r="W17" s="706"/>
      <c r="X17" s="1355"/>
      <c r="Y17" s="375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3"/>
      <c r="Q19" s="1352"/>
      <c r="R19" s="705"/>
      <c r="S19" s="706"/>
      <c r="T19" s="705"/>
      <c r="U19" s="706"/>
      <c r="V19" s="705"/>
      <c r="W19" s="706"/>
      <c r="X19" s="1355"/>
      <c r="Y19" s="375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3"/>
      <c r="Q21" s="1352"/>
      <c r="R21" s="705"/>
      <c r="S21" s="706"/>
      <c r="T21" s="705"/>
      <c r="U21" s="706"/>
      <c r="V21" s="705"/>
      <c r="W21" s="706"/>
      <c r="X21" s="1355"/>
      <c r="Y21" s="37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7" t="s">
        <v>1696</v>
      </c>
      <c r="Q32" s="1352">
        <f t="shared" si="11"/>
        <v>111</v>
      </c>
      <c r="R32" s="705" t="s">
        <v>14</v>
      </c>
      <c r="S32" s="706">
        <f t="shared" si="12"/>
        <v>100</v>
      </c>
      <c r="T32" s="705" t="s">
        <v>14</v>
      </c>
      <c r="U32" s="706">
        <f t="shared" si="13"/>
        <v>100</v>
      </c>
      <c r="V32" s="705" t="s">
        <v>14</v>
      </c>
      <c r="W32" s="706">
        <f t="shared" si="14"/>
        <v>100</v>
      </c>
      <c r="X32" s="1355"/>
      <c r="Y32" s="37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50" t="str">
        <f>A35</f>
        <v>成交单价（元/平方米）</v>
      </c>
      <c r="Q35" s="3750"/>
      <c r="R35" s="3751">
        <f>E35</f>
        <v>0</v>
      </c>
      <c r="S35" s="3751"/>
      <c r="T35" s="3751">
        <f>G35</f>
        <v>0</v>
      </c>
      <c r="U35" s="3751"/>
      <c r="V35" s="3751">
        <f>I35</f>
        <v>0</v>
      </c>
      <c r="W35" s="375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7" t="str">
        <f>A37</f>
        <v>估价对象XX用房的比较价值（楼面单价，元/平方米）</v>
      </c>
      <c r="Q37" s="3748"/>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3" t="s">
        <v>1770</v>
      </c>
      <c r="D4" s="3734"/>
      <c r="E4" s="3735" t="s">
        <v>1771</v>
      </c>
      <c r="F4" s="3736"/>
      <c r="G4" s="3733" t="s">
        <v>1772</v>
      </c>
      <c r="H4" s="3734"/>
      <c r="I4" s="3733" t="s">
        <v>1773</v>
      </c>
      <c r="J4" s="3734"/>
      <c r="K4" s="559" t="s">
        <v>1774</v>
      </c>
      <c r="L4" s="2715"/>
      <c r="M4" s="2716"/>
      <c r="N4" s="2716"/>
      <c r="O4" s="2716"/>
      <c r="P4" s="3737" t="s">
        <v>1775</v>
      </c>
      <c r="Q4" s="3738"/>
      <c r="R4" s="3720" t="s">
        <v>1771</v>
      </c>
      <c r="S4" s="3721"/>
      <c r="T4" s="3720" t="s">
        <v>1772</v>
      </c>
      <c r="U4" s="3721"/>
      <c r="V4" s="3745" t="s">
        <v>1773</v>
      </c>
      <c r="W4" s="3745"/>
      <c r="X4" s="1355"/>
      <c r="Y4" s="3720" t="s">
        <v>1775</v>
      </c>
      <c r="Z4" s="3721"/>
      <c r="AA4" s="3715" t="s">
        <v>1771</v>
      </c>
      <c r="AB4" s="3716" t="s">
        <v>1772</v>
      </c>
      <c r="AC4" s="3715" t="s">
        <v>1773</v>
      </c>
    </row>
    <row r="5" spans="1:30" ht="15">
      <c r="A5" s="358"/>
      <c r="B5" s="359"/>
      <c r="C5" s="3726" t="s">
        <v>1673</v>
      </c>
      <c r="D5" s="3727"/>
      <c r="E5" s="3724" t="s">
        <v>1674</v>
      </c>
      <c r="F5" s="3725"/>
      <c r="G5" s="3726" t="s">
        <v>1675</v>
      </c>
      <c r="H5" s="3727"/>
      <c r="I5" s="3726" t="s">
        <v>1676</v>
      </c>
      <c r="J5" s="3727"/>
      <c r="K5" s="559"/>
      <c r="L5" s="2715"/>
      <c r="M5" s="2716"/>
      <c r="N5" s="2716"/>
      <c r="O5" s="2716"/>
      <c r="P5" s="3739"/>
      <c r="Q5" s="3740"/>
      <c r="R5" s="3722"/>
      <c r="S5" s="3723"/>
      <c r="T5" s="3722"/>
      <c r="U5" s="3723"/>
      <c r="V5" s="3745"/>
      <c r="W5" s="3745"/>
      <c r="X5" s="1355"/>
      <c r="Y5" s="3722"/>
      <c r="Z5" s="3723"/>
      <c r="AA5" s="3716"/>
      <c r="AB5" s="3716"/>
      <c r="AC5" s="3716"/>
    </row>
    <row r="6" spans="1:30" ht="15.75" thickBot="1">
      <c r="A6" s="360"/>
      <c r="B6" s="361"/>
      <c r="C6" s="3728" t="s">
        <v>1677</v>
      </c>
      <c r="D6" s="3729"/>
      <c r="E6" s="3730" t="s">
        <v>1677</v>
      </c>
      <c r="F6" s="3731"/>
      <c r="G6" s="3728" t="s">
        <v>1677</v>
      </c>
      <c r="H6" s="3729"/>
      <c r="I6" s="3728" t="s">
        <v>1677</v>
      </c>
      <c r="J6" s="3729"/>
      <c r="K6" s="559" t="s">
        <v>1678</v>
      </c>
      <c r="L6" s="2715"/>
      <c r="M6" s="2716"/>
      <c r="N6" s="2716"/>
      <c r="O6" s="2716"/>
      <c r="P6" s="3741"/>
      <c r="Q6" s="3742"/>
      <c r="R6" s="3722"/>
      <c r="S6" s="3723"/>
      <c r="T6" s="3743"/>
      <c r="U6" s="3744"/>
      <c r="V6" s="3745"/>
      <c r="W6" s="3745"/>
      <c r="X6" s="1355"/>
      <c r="Y6" s="3743"/>
      <c r="Z6" s="3744"/>
      <c r="AA6" s="3717"/>
      <c r="AB6" s="3717"/>
      <c r="AC6" s="3717"/>
    </row>
    <row r="7" spans="1:30" s="108" customFormat="1" ht="15.75" thickBot="1">
      <c r="A7" s="362" t="s">
        <v>1679</v>
      </c>
      <c r="B7" s="363"/>
      <c r="C7" s="364">
        <f>'数据-取费表'!B2</f>
        <v>45379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46"/>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20"/>
      <c r="L10" s="2719"/>
      <c r="M10" s="2720"/>
      <c r="N10" s="2720"/>
      <c r="O10" s="2773"/>
      <c r="P10" s="3750"/>
      <c r="Q10" s="1343" t="str">
        <f t="shared" si="6"/>
        <v>土地使用年限（年）</v>
      </c>
      <c r="R10" s="701" t="s">
        <v>14</v>
      </c>
      <c r="S10" s="702">
        <f t="shared" si="0"/>
        <v>129</v>
      </c>
      <c r="T10" s="701" t="s">
        <v>14</v>
      </c>
      <c r="U10" s="702">
        <f t="shared" si="1"/>
        <v>129</v>
      </c>
      <c r="V10" s="701" t="s">
        <v>14</v>
      </c>
      <c r="W10" s="702">
        <f t="shared" si="2"/>
        <v>129</v>
      </c>
      <c r="X10" s="703"/>
      <c r="Y10" s="3574"/>
      <c r="Z10" s="52" t="str">
        <f t="shared" si="7"/>
        <v>土地使用年限（年）</v>
      </c>
      <c r="AA10" s="704">
        <f t="shared" si="3"/>
        <v>0.77519379844961245</v>
      </c>
      <c r="AB10" s="704">
        <f t="shared" si="4"/>
        <v>0.77519379844961245</v>
      </c>
      <c r="AC10" s="704">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0"/>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0"/>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0"/>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2" t="s">
        <v>1691</v>
      </c>
      <c r="Q15" s="1352" t="str">
        <f t="shared" si="6"/>
        <v>居住社区成熟度</v>
      </c>
      <c r="R15" s="705" t="s">
        <v>14</v>
      </c>
      <c r="S15" s="706">
        <f t="shared" si="0"/>
        <v>100</v>
      </c>
      <c r="T15" s="705" t="s">
        <v>14</v>
      </c>
      <c r="U15" s="706">
        <f t="shared" si="1"/>
        <v>100</v>
      </c>
      <c r="V15" s="705" t="s">
        <v>14</v>
      </c>
      <c r="W15" s="706">
        <f t="shared" si="2"/>
        <v>100</v>
      </c>
      <c r="X15" s="1355"/>
      <c r="Y15" s="37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3"/>
      <c r="Q16" s="1352"/>
      <c r="R16" s="705"/>
      <c r="S16" s="706"/>
      <c r="T16" s="705"/>
      <c r="U16" s="706"/>
      <c r="V16" s="705"/>
      <c r="W16" s="706"/>
      <c r="X16" s="1355"/>
      <c r="Y16" s="375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3"/>
      <c r="Q18" s="1352"/>
      <c r="R18" s="705"/>
      <c r="S18" s="706"/>
      <c r="T18" s="705"/>
      <c r="U18" s="706"/>
      <c r="V18" s="705"/>
      <c r="W18" s="706"/>
      <c r="X18" s="1355"/>
      <c r="Y18" s="375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3"/>
      <c r="Q20" s="1352"/>
      <c r="R20" s="705"/>
      <c r="S20" s="706"/>
      <c r="T20" s="705"/>
      <c r="U20" s="706"/>
      <c r="V20" s="705"/>
      <c r="W20" s="706"/>
      <c r="X20" s="1355"/>
      <c r="Y20" s="375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3"/>
      <c r="Q22" s="1352"/>
      <c r="R22" s="705"/>
      <c r="S22" s="706"/>
      <c r="T22" s="705"/>
      <c r="U22" s="706"/>
      <c r="V22" s="705"/>
      <c r="W22" s="706"/>
      <c r="X22" s="1355"/>
      <c r="Y22" s="375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3"/>
      <c r="Q24" s="1352"/>
      <c r="R24" s="705"/>
      <c r="S24" s="706"/>
      <c r="T24" s="705"/>
      <c r="U24" s="706"/>
      <c r="V24" s="705"/>
      <c r="W24" s="706"/>
      <c r="X24" s="1355"/>
      <c r="Y24" s="375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3"/>
      <c r="Q26" s="1352"/>
      <c r="R26" s="705"/>
      <c r="S26" s="706"/>
      <c r="T26" s="705"/>
      <c r="U26" s="706"/>
      <c r="V26" s="705"/>
      <c r="W26" s="706"/>
      <c r="X26" s="1355"/>
      <c r="Y26" s="375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3"/>
      <c r="Q28" s="1343"/>
      <c r="R28" s="701"/>
      <c r="S28" s="702"/>
      <c r="T28" s="701"/>
      <c r="U28" s="702"/>
      <c r="V28" s="701"/>
      <c r="W28" s="702"/>
      <c r="X28" s="703"/>
      <c r="Y28" s="375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3"/>
      <c r="Q30" s="1343"/>
      <c r="R30" s="701"/>
      <c r="S30" s="702"/>
      <c r="T30" s="701"/>
      <c r="U30" s="702"/>
      <c r="V30" s="701"/>
      <c r="W30" s="702"/>
      <c r="X30" s="703"/>
      <c r="Y30" s="37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3"/>
      <c r="Q33" s="1352"/>
      <c r="R33" s="705"/>
      <c r="S33" s="706"/>
      <c r="T33" s="705"/>
      <c r="U33" s="706"/>
      <c r="V33" s="705"/>
      <c r="W33" s="706"/>
      <c r="X33" s="1355"/>
      <c r="Y33" s="37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6" t="s">
        <v>1696</v>
      </c>
      <c r="Q36" s="1352">
        <f t="shared" si="8"/>
        <v>111</v>
      </c>
      <c r="R36" s="705" t="s">
        <v>14</v>
      </c>
      <c r="S36" s="706">
        <f t="shared" si="10"/>
        <v>100</v>
      </c>
      <c r="T36" s="705" t="s">
        <v>14</v>
      </c>
      <c r="U36" s="706">
        <f t="shared" si="11"/>
        <v>100</v>
      </c>
      <c r="V36" s="705" t="s">
        <v>14</v>
      </c>
      <c r="W36" s="706">
        <f t="shared" si="12"/>
        <v>100</v>
      </c>
      <c r="X36" s="1355"/>
      <c r="Y36" s="375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7" t="s">
        <v>1696</v>
      </c>
      <c r="Q42" s="1352" t="str">
        <f t="shared" si="14"/>
        <v>工程地质条件</v>
      </c>
      <c r="R42" s="705" t="s">
        <v>14</v>
      </c>
      <c r="S42" s="706">
        <f t="shared" si="10"/>
        <v>100</v>
      </c>
      <c r="T42" s="705" t="s">
        <v>14</v>
      </c>
      <c r="U42" s="706">
        <f t="shared" si="11"/>
        <v>100</v>
      </c>
      <c r="V42" s="705" t="s">
        <v>14</v>
      </c>
      <c r="W42" s="706">
        <f t="shared" si="12"/>
        <v>100</v>
      </c>
      <c r="X42" s="1355"/>
      <c r="Y42" s="37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50" t="str">
        <f>A46</f>
        <v>成交单价</v>
      </c>
      <c r="Q46" s="3750"/>
      <c r="R46" s="3745">
        <f>E46</f>
        <v>0</v>
      </c>
      <c r="S46" s="3745"/>
      <c r="T46" s="3745">
        <f>G46</f>
        <v>0</v>
      </c>
      <c r="U46" s="3745"/>
      <c r="V46" s="3745">
        <f>I46</f>
        <v>0</v>
      </c>
      <c r="W46" s="374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0" t="str">
        <f>A47</f>
        <v>比较价值（元/平方米）</v>
      </c>
      <c r="Q47" s="3750"/>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7" t="str">
        <f>A48</f>
        <v>估价对象XX用房的比较价值（楼面单价，元/平方米）</v>
      </c>
      <c r="Q48" s="3748"/>
      <c r="R48" s="3779" t="e">
        <f>ROUND(IF(D47="简单平均",AVERAGE(R47:W47),R47*F47+T47*H47+V47*J47),0)</f>
        <v>#DIV/0!</v>
      </c>
      <c r="S48" s="3779"/>
      <c r="T48" s="3779"/>
      <c r="U48" s="3779"/>
      <c r="V48" s="3779"/>
      <c r="W48" s="37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3" t="s">
        <v>1887</v>
      </c>
      <c r="H55" s="378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2074.0700000000002</v>
      </c>
      <c r="F56" s="886" t="e">
        <f t="shared" ref="F56:F64" si="15">ROUND(B56*E56/10000,0)</f>
        <v>#DIV/0!</v>
      </c>
      <c r="G56" s="3732"/>
      <c r="H56" s="375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72.150000000000006</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62.870000000000005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2209.09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5"/>
      <c r="M4" s="2716"/>
      <c r="N4" s="2716"/>
      <c r="O4" s="2716"/>
      <c r="P4" s="3737" t="s">
        <v>1775</v>
      </c>
      <c r="Q4" s="3738"/>
      <c r="R4" s="3720" t="s">
        <v>1771</v>
      </c>
      <c r="S4" s="3721"/>
      <c r="T4" s="3720" t="s">
        <v>1772</v>
      </c>
      <c r="U4" s="3721"/>
      <c r="V4" s="3745" t="s">
        <v>1773</v>
      </c>
      <c r="W4" s="3745"/>
      <c r="X4" s="1355"/>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5"/>
      <c r="M5" s="2716"/>
      <c r="N5" s="2716"/>
      <c r="O5" s="2716"/>
      <c r="P5" s="3739"/>
      <c r="Q5" s="3740"/>
      <c r="R5" s="3722"/>
      <c r="S5" s="3723"/>
      <c r="T5" s="3722"/>
      <c r="U5" s="3723"/>
      <c r="V5" s="3745"/>
      <c r="W5" s="3745"/>
      <c r="X5" s="1355"/>
      <c r="Y5" s="3722"/>
      <c r="Z5" s="3723"/>
      <c r="AA5" s="3716"/>
      <c r="AB5" s="3716"/>
      <c r="AC5" s="3716"/>
    </row>
    <row r="6" spans="1:29" ht="15.75" thickBot="1">
      <c r="A6" s="360"/>
      <c r="B6" s="361"/>
      <c r="C6" s="3781" t="s">
        <v>1919</v>
      </c>
      <c r="D6" s="3782"/>
      <c r="E6" s="3783" t="s">
        <v>1919</v>
      </c>
      <c r="F6" s="3784"/>
      <c r="G6" s="3781" t="s">
        <v>1919</v>
      </c>
      <c r="H6" s="3782"/>
      <c r="I6" s="3781" t="s">
        <v>1919</v>
      </c>
      <c r="J6" s="3782"/>
      <c r="K6" s="559" t="s">
        <v>1678</v>
      </c>
      <c r="L6" s="2715"/>
      <c r="M6" s="2716"/>
      <c r="N6" s="2716"/>
      <c r="O6" s="2716"/>
      <c r="P6" s="3741"/>
      <c r="Q6" s="3742"/>
      <c r="R6" s="3722"/>
      <c r="S6" s="3723"/>
      <c r="T6" s="3743"/>
      <c r="U6" s="3744"/>
      <c r="V6" s="3745"/>
      <c r="W6" s="3745"/>
      <c r="X6" s="1355"/>
      <c r="Y6" s="3743"/>
      <c r="Z6" s="3744"/>
      <c r="AA6" s="3717"/>
      <c r="AB6" s="3717"/>
      <c r="AC6" s="3717"/>
    </row>
    <row r="7" spans="1:29" s="108" customFormat="1" ht="15.75" thickBot="1">
      <c r="A7" s="362" t="s">
        <v>1679</v>
      </c>
      <c r="B7" s="363"/>
      <c r="C7" s="364">
        <f>'数据-取费表'!B2</f>
        <v>45379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46"/>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20"/>
      <c r="L10" s="2719"/>
      <c r="M10" s="2720"/>
      <c r="N10" s="2720"/>
      <c r="O10" s="2773"/>
      <c r="P10" s="3750"/>
      <c r="Q10" s="1343" t="str">
        <f t="shared" si="6"/>
        <v>土地使用年限（年）</v>
      </c>
      <c r="R10" s="701" t="s">
        <v>14</v>
      </c>
      <c r="S10" s="702">
        <f t="shared" si="0"/>
        <v>129</v>
      </c>
      <c r="T10" s="701" t="s">
        <v>14</v>
      </c>
      <c r="U10" s="702">
        <f t="shared" si="1"/>
        <v>129</v>
      </c>
      <c r="V10" s="701" t="s">
        <v>14</v>
      </c>
      <c r="W10" s="702">
        <f t="shared" si="2"/>
        <v>129</v>
      </c>
      <c r="X10" s="703"/>
      <c r="Y10" s="3574"/>
      <c r="Z10" s="52" t="str">
        <f t="shared" si="7"/>
        <v>土地使用年限（年）</v>
      </c>
      <c r="AA10" s="704">
        <f t="shared" si="3"/>
        <v>0.77519379844961245</v>
      </c>
      <c r="AB10" s="704">
        <f t="shared" si="4"/>
        <v>0.77519379844961245</v>
      </c>
      <c r="AC10" s="704">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0"/>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3"/>
      <c r="Q16" s="1352"/>
      <c r="R16" s="705"/>
      <c r="S16" s="706"/>
      <c r="T16" s="705"/>
      <c r="U16" s="706"/>
      <c r="V16" s="705"/>
      <c r="W16" s="706"/>
      <c r="X16" s="1355"/>
      <c r="Y16" s="375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3"/>
      <c r="Q18" s="1352"/>
      <c r="R18" s="705"/>
      <c r="S18" s="706"/>
      <c r="T18" s="705"/>
      <c r="U18" s="706"/>
      <c r="V18" s="705"/>
      <c r="W18" s="706"/>
      <c r="X18" s="1355"/>
      <c r="Y18" s="375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3"/>
      <c r="Q20" s="1352"/>
      <c r="R20" s="705"/>
      <c r="S20" s="706"/>
      <c r="T20" s="705"/>
      <c r="U20" s="706"/>
      <c r="V20" s="705"/>
      <c r="W20" s="706"/>
      <c r="X20" s="1355"/>
      <c r="Y20" s="375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3"/>
      <c r="Q22" s="1352"/>
      <c r="R22" s="705"/>
      <c r="S22" s="706"/>
      <c r="T22" s="705"/>
      <c r="U22" s="706"/>
      <c r="V22" s="705"/>
      <c r="W22" s="706"/>
      <c r="X22" s="1355"/>
      <c r="Y22" s="375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3"/>
      <c r="Q24" s="1343"/>
      <c r="R24" s="701"/>
      <c r="S24" s="702"/>
      <c r="T24" s="701"/>
      <c r="U24" s="702"/>
      <c r="V24" s="701"/>
      <c r="W24" s="702"/>
      <c r="X24" s="703"/>
      <c r="Y24" s="375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3"/>
      <c r="Q26" s="1343"/>
      <c r="R26" s="701"/>
      <c r="S26" s="702"/>
      <c r="T26" s="701"/>
      <c r="U26" s="702"/>
      <c r="V26" s="701"/>
      <c r="W26" s="702"/>
      <c r="X26" s="703"/>
      <c r="Y26" s="37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3"/>
      <c r="Q29" s="1352"/>
      <c r="R29" s="705"/>
      <c r="S29" s="706"/>
      <c r="T29" s="705"/>
      <c r="U29" s="706"/>
      <c r="V29" s="705"/>
      <c r="W29" s="706"/>
      <c r="X29" s="1355"/>
      <c r="Y29" s="37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6" t="s">
        <v>1696</v>
      </c>
      <c r="Q32" s="1352">
        <f t="shared" si="8"/>
        <v>111</v>
      </c>
      <c r="R32" s="705" t="s">
        <v>14</v>
      </c>
      <c r="S32" s="706">
        <f t="shared" si="10"/>
        <v>100</v>
      </c>
      <c r="T32" s="705" t="s">
        <v>14</v>
      </c>
      <c r="U32" s="706">
        <f t="shared" si="11"/>
        <v>100</v>
      </c>
      <c r="V32" s="705" t="s">
        <v>14</v>
      </c>
      <c r="W32" s="706">
        <f t="shared" si="12"/>
        <v>100</v>
      </c>
      <c r="X32" s="1355"/>
      <c r="Y32" s="375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7" t="s">
        <v>1696</v>
      </c>
      <c r="Q37" s="1352" t="str">
        <f t="shared" si="14"/>
        <v>工程地质条件</v>
      </c>
      <c r="R37" s="705" t="s">
        <v>14</v>
      </c>
      <c r="S37" s="706">
        <f t="shared" si="10"/>
        <v>100</v>
      </c>
      <c r="T37" s="705" t="s">
        <v>14</v>
      </c>
      <c r="U37" s="706">
        <f t="shared" si="11"/>
        <v>100</v>
      </c>
      <c r="V37" s="705" t="s">
        <v>14</v>
      </c>
      <c r="W37" s="706">
        <f t="shared" si="12"/>
        <v>100</v>
      </c>
      <c r="X37" s="1355"/>
      <c r="Y37" s="375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50" t="str">
        <f>A41</f>
        <v>成交单价</v>
      </c>
      <c r="Q41" s="3750"/>
      <c r="R41" s="3745">
        <f>E41</f>
        <v>0</v>
      </c>
      <c r="S41" s="3745"/>
      <c r="T41" s="3745">
        <f>G41</f>
        <v>0</v>
      </c>
      <c r="U41" s="3745"/>
      <c r="V41" s="3745">
        <f>I41</f>
        <v>0</v>
      </c>
      <c r="W41" s="374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0" t="str">
        <f>A42</f>
        <v>比较价值（元/平方米）</v>
      </c>
      <c r="Q42" s="3750"/>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7" t="str">
        <f>A43</f>
        <v>估价对象XX用房的比较价值（楼面单价，元/平方米）</v>
      </c>
      <c r="Q43" s="3748"/>
      <c r="R43" s="3779" t="e">
        <f>ROUND(IF(D42="简单平均",AVERAGE(R42:W42),R42*F42+T42*H42+V42*J42),0)</f>
        <v>#DIV/0!</v>
      </c>
      <c r="S43" s="3779"/>
      <c r="T43" s="3779"/>
      <c r="U43" s="3779"/>
      <c r="V43" s="3779"/>
      <c r="W43" s="37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3" t="s">
        <v>1887</v>
      </c>
      <c r="H50" s="378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2074.0700000000002</v>
      </c>
      <c r="F51" s="639" t="e">
        <f t="shared" ref="F51:F60" si="15">ROUND(B51*E51/10000,0)</f>
        <v>#DIV/0!</v>
      </c>
      <c r="G51" s="3732"/>
      <c r="H51" s="375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72.150000000000006</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62.870000000000005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T47" sqref="T47:T48"/>
      <selection pane="bottomLeft" activeCell="T47" sqref="T47:T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8" t="s">
        <v>2083</v>
      </c>
      <c r="D1" s="3789"/>
      <c r="E1" s="3789"/>
      <c r="F1" s="3789"/>
      <c r="G1" s="3789"/>
      <c r="H1" s="3789"/>
      <c r="I1" s="3789"/>
      <c r="J1" s="3789"/>
      <c r="K1" s="3789"/>
      <c r="L1" s="3789"/>
      <c r="M1" s="3789"/>
      <c r="N1" s="3789"/>
      <c r="O1" s="3789"/>
      <c r="P1" s="3789"/>
      <c r="Q1" s="3789"/>
      <c r="R1" s="3789"/>
      <c r="S1" s="379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8" t="s">
        <v>2610</v>
      </c>
      <c r="B20" s="3791" t="s">
        <v>2631</v>
      </c>
      <c r="C20" s="3103" t="s">
        <v>2442</v>
      </c>
      <c r="D20" s="3104"/>
      <c r="E20" s="3105">
        <v>1</v>
      </c>
      <c r="F20" s="3106" t="s">
        <v>2443</v>
      </c>
      <c r="G20" s="3106"/>
    </row>
    <row r="21" spans="1:13" ht="19.5" customHeight="1">
      <c r="A21" s="3799"/>
      <c r="B21" s="3792"/>
      <c r="C21" s="3107" t="s">
        <v>2444</v>
      </c>
      <c r="D21" s="3108"/>
      <c r="E21" s="3109">
        <v>1</v>
      </c>
      <c r="F21" s="3106" t="s">
        <v>2445</v>
      </c>
      <c r="G21" s="3106"/>
    </row>
    <row r="22" spans="1:13" ht="19.5" customHeight="1">
      <c r="A22" s="3799"/>
      <c r="B22" s="3792"/>
      <c r="C22" s="3107" t="s">
        <v>2446</v>
      </c>
      <c r="D22" s="3108"/>
      <c r="E22" s="3109">
        <v>0.9</v>
      </c>
      <c r="F22" s="3106" t="s">
        <v>2447</v>
      </c>
      <c r="G22" s="3106"/>
    </row>
    <row r="23" spans="1:13" ht="19.5" customHeight="1">
      <c r="A23" s="3799"/>
      <c r="B23" s="3792"/>
      <c r="C23" s="3107" t="s">
        <v>2448</v>
      </c>
      <c r="D23" s="3108"/>
      <c r="E23" s="3109">
        <v>0.9</v>
      </c>
      <c r="F23" s="3106" t="s">
        <v>2449</v>
      </c>
      <c r="G23" s="3106"/>
    </row>
    <row r="24" spans="1:13" ht="19.5" customHeight="1">
      <c r="A24" s="3799"/>
      <c r="B24" s="3792"/>
      <c r="C24" s="3107" t="s">
        <v>2450</v>
      </c>
      <c r="D24" s="3108"/>
      <c r="E24" s="3109">
        <v>0.8</v>
      </c>
      <c r="F24" s="3106" t="s">
        <v>2451</v>
      </c>
      <c r="G24" s="3106"/>
    </row>
    <row r="25" spans="1:13" ht="19.5" customHeight="1" thickBot="1">
      <c r="A25" s="3800"/>
      <c r="B25" s="379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4" t="s">
        <v>2634</v>
      </c>
      <c r="B27" s="3791" t="s">
        <v>2615</v>
      </c>
      <c r="C27" s="3103" t="s">
        <v>2455</v>
      </c>
      <c r="D27" s="3104"/>
      <c r="E27" s="3105">
        <v>1</v>
      </c>
      <c r="F27" s="3106" t="s">
        <v>2456</v>
      </c>
      <c r="G27" s="3106"/>
    </row>
    <row r="28" spans="1:13" ht="19.5" customHeight="1">
      <c r="A28" s="3795"/>
      <c r="B28" s="3792"/>
      <c r="C28" s="3107" t="s">
        <v>2457</v>
      </c>
      <c r="D28" s="3108"/>
      <c r="E28" s="3109">
        <v>1</v>
      </c>
      <c r="F28" s="3106" t="s">
        <v>2458</v>
      </c>
      <c r="G28" s="3106"/>
    </row>
    <row r="29" spans="1:13" ht="19.5" customHeight="1">
      <c r="A29" s="3795"/>
      <c r="B29" s="3792"/>
      <c r="C29" s="3107" t="s">
        <v>2459</v>
      </c>
      <c r="D29" s="3108"/>
      <c r="E29" s="3109">
        <v>0.8</v>
      </c>
      <c r="F29" s="3106" t="s">
        <v>2460</v>
      </c>
      <c r="G29" s="3106"/>
    </row>
    <row r="30" spans="1:13" ht="19.5" customHeight="1">
      <c r="A30" s="3795"/>
      <c r="B30" s="3792"/>
      <c r="C30" s="3107" t="s">
        <v>2461</v>
      </c>
      <c r="D30" s="3108"/>
      <c r="E30" s="3109">
        <v>0.8</v>
      </c>
      <c r="F30" s="3106" t="s">
        <v>2462</v>
      </c>
      <c r="G30" s="3106"/>
    </row>
    <row r="31" spans="1:13" ht="19.5" customHeight="1">
      <c r="A31" s="3795"/>
      <c r="B31" s="3792"/>
      <c r="C31" s="3107" t="s">
        <v>2463</v>
      </c>
      <c r="D31" s="3108"/>
      <c r="E31" s="3109">
        <v>0.8</v>
      </c>
      <c r="F31" s="3106" t="s">
        <v>2464</v>
      </c>
      <c r="G31" s="3106"/>
    </row>
    <row r="32" spans="1:13" ht="19.5" customHeight="1">
      <c r="A32" s="3795"/>
      <c r="B32" s="3792"/>
      <c r="C32" s="3107" t="s">
        <v>2465</v>
      </c>
      <c r="D32" s="3108"/>
      <c r="E32" s="3109">
        <v>0.7</v>
      </c>
      <c r="F32" s="3106" t="s">
        <v>2466</v>
      </c>
      <c r="G32" s="3106"/>
    </row>
    <row r="33" spans="1:7" ht="19.5" customHeight="1">
      <c r="A33" s="3795"/>
      <c r="B33" s="3792"/>
      <c r="C33" s="3107" t="s">
        <v>2467</v>
      </c>
      <c r="D33" s="3108"/>
      <c r="E33" s="3109">
        <v>0.8</v>
      </c>
      <c r="F33" s="3106" t="s">
        <v>2468</v>
      </c>
      <c r="G33" s="3106"/>
    </row>
    <row r="34" spans="1:7" ht="19.5" customHeight="1">
      <c r="A34" s="3795"/>
      <c r="B34" s="3792"/>
      <c r="C34" s="3107" t="s">
        <v>2469</v>
      </c>
      <c r="D34" s="3108"/>
      <c r="E34" s="3109">
        <v>0.6</v>
      </c>
      <c r="F34" s="3106" t="s">
        <v>2470</v>
      </c>
      <c r="G34" s="3106"/>
    </row>
    <row r="35" spans="1:7" ht="19.5" customHeight="1">
      <c r="A35" s="3795"/>
      <c r="B35" s="3792"/>
      <c r="C35" s="3107" t="s">
        <v>2471</v>
      </c>
      <c r="D35" s="3108"/>
      <c r="E35" s="3109">
        <v>0.2</v>
      </c>
      <c r="F35" s="3106" t="s">
        <v>2472</v>
      </c>
      <c r="G35" s="3106"/>
    </row>
    <row r="36" spans="1:7" ht="19.5" customHeight="1">
      <c r="A36" s="3795"/>
      <c r="B36" s="3792"/>
      <c r="C36" s="3107" t="s">
        <v>2473</v>
      </c>
      <c r="D36" s="3108"/>
      <c r="E36" s="3109">
        <v>0.2</v>
      </c>
      <c r="F36" s="3106" t="s">
        <v>2474</v>
      </c>
      <c r="G36" s="3106"/>
    </row>
    <row r="37" spans="1:7" ht="19.5" customHeight="1">
      <c r="A37" s="3795"/>
      <c r="B37" s="3797" t="s">
        <v>2635</v>
      </c>
      <c r="C37" s="3107" t="s">
        <v>2475</v>
      </c>
      <c r="D37" s="3108"/>
      <c r="E37" s="3109">
        <v>0.6</v>
      </c>
      <c r="F37" s="3106" t="s">
        <v>2476</v>
      </c>
      <c r="G37" s="3106"/>
    </row>
    <row r="38" spans="1:7" ht="19.5" customHeight="1">
      <c r="A38" s="3795"/>
      <c r="B38" s="3792"/>
      <c r="C38" s="3107" t="s">
        <v>2477</v>
      </c>
      <c r="D38" s="3108"/>
      <c r="E38" s="3109">
        <v>0.6</v>
      </c>
      <c r="F38" s="3106" t="s">
        <v>2478</v>
      </c>
      <c r="G38" s="3106"/>
    </row>
    <row r="39" spans="1:7" ht="19.5" customHeight="1" thickBot="1">
      <c r="A39" s="3796"/>
      <c r="B39" s="379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8" t="s">
        <v>2613</v>
      </c>
      <c r="B41" s="3791" t="s">
        <v>2637</v>
      </c>
      <c r="C41" s="3103" t="s">
        <v>2482</v>
      </c>
      <c r="D41" s="3104"/>
      <c r="E41" s="3105">
        <v>1</v>
      </c>
      <c r="F41" s="3106" t="s">
        <v>2483</v>
      </c>
      <c r="G41" s="3106"/>
    </row>
    <row r="42" spans="1:7" ht="19.5" customHeight="1">
      <c r="A42" s="3799"/>
      <c r="B42" s="3792"/>
      <c r="C42" s="3107" t="s">
        <v>2484</v>
      </c>
      <c r="D42" s="3108"/>
      <c r="E42" s="3109">
        <v>1</v>
      </c>
      <c r="F42" s="3106" t="s">
        <v>2485</v>
      </c>
      <c r="G42" s="3106"/>
    </row>
    <row r="43" spans="1:7" ht="19.5" customHeight="1">
      <c r="A43" s="3799"/>
      <c r="B43" s="3801"/>
      <c r="C43" s="3107" t="s">
        <v>2486</v>
      </c>
      <c r="D43" s="3108"/>
      <c r="E43" s="3109">
        <v>1.5</v>
      </c>
      <c r="F43" s="3106" t="s">
        <v>2487</v>
      </c>
      <c r="G43" s="3106"/>
    </row>
    <row r="44" spans="1:7" ht="19.5" customHeight="1">
      <c r="A44" s="3799"/>
      <c r="B44" s="3118" t="s">
        <v>2638</v>
      </c>
      <c r="C44" s="3107" t="s">
        <v>2639</v>
      </c>
      <c r="D44" s="3108"/>
      <c r="E44" s="3109">
        <v>2</v>
      </c>
      <c r="F44" s="3106" t="s">
        <v>2488</v>
      </c>
      <c r="G44" s="3106"/>
    </row>
    <row r="45" spans="1:7" ht="19.5" customHeight="1">
      <c r="A45" s="3799"/>
      <c r="B45" s="3797" t="s">
        <v>2640</v>
      </c>
      <c r="C45" s="3107" t="s">
        <v>2489</v>
      </c>
      <c r="D45" s="3108"/>
      <c r="E45" s="3109">
        <v>1</v>
      </c>
      <c r="F45" s="3106" t="s">
        <v>2490</v>
      </c>
      <c r="G45" s="3106"/>
    </row>
    <row r="46" spans="1:7" ht="19.5" customHeight="1">
      <c r="A46" s="3799"/>
      <c r="B46" s="3792"/>
      <c r="C46" s="3107" t="s">
        <v>2491</v>
      </c>
      <c r="D46" s="3108"/>
      <c r="E46" s="3109">
        <v>1</v>
      </c>
      <c r="F46" s="3106" t="s">
        <v>2492</v>
      </c>
      <c r="G46" s="3106"/>
    </row>
    <row r="47" spans="1:7" ht="19.5" customHeight="1">
      <c r="A47" s="3799"/>
      <c r="B47" s="3792"/>
      <c r="C47" s="3107" t="s">
        <v>2493</v>
      </c>
      <c r="D47" s="3108"/>
      <c r="E47" s="3109">
        <v>1</v>
      </c>
      <c r="F47" s="3106" t="s">
        <v>2494</v>
      </c>
      <c r="G47" s="3106"/>
    </row>
    <row r="48" spans="1:7" ht="19.5" customHeight="1">
      <c r="A48" s="3799"/>
      <c r="B48" s="3792"/>
      <c r="C48" s="3107" t="s">
        <v>2495</v>
      </c>
      <c r="D48" s="3108"/>
      <c r="E48" s="3109">
        <v>1</v>
      </c>
      <c r="F48" s="3106" t="s">
        <v>2496</v>
      </c>
      <c r="G48" s="3106"/>
    </row>
    <row r="49" spans="1:7" ht="19.5" customHeight="1">
      <c r="A49" s="3799"/>
      <c r="B49" s="3792"/>
      <c r="C49" s="3107" t="s">
        <v>2497</v>
      </c>
      <c r="D49" s="3108"/>
      <c r="E49" s="3109">
        <v>1</v>
      </c>
      <c r="F49" s="3106" t="s">
        <v>2498</v>
      </c>
      <c r="G49" s="3106"/>
    </row>
    <row r="50" spans="1:7" ht="19.5" customHeight="1">
      <c r="A50" s="3799"/>
      <c r="B50" s="3792"/>
      <c r="C50" s="3107" t="s">
        <v>2499</v>
      </c>
      <c r="D50" s="3108"/>
      <c r="E50" s="3109">
        <v>1</v>
      </c>
      <c r="F50" s="3106" t="s">
        <v>2500</v>
      </c>
      <c r="G50" s="3106"/>
    </row>
    <row r="51" spans="1:7" ht="19.5" customHeight="1" thickBot="1">
      <c r="A51" s="3800"/>
      <c r="B51" s="379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7" t="s">
        <v>2654</v>
      </c>
      <c r="C73" s="3092" t="s">
        <v>2655</v>
      </c>
      <c r="D73" s="3092" t="s">
        <v>2656</v>
      </c>
      <c r="E73" s="3118">
        <v>0.2</v>
      </c>
      <c r="F73" s="3118">
        <v>25</v>
      </c>
    </row>
    <row r="74" spans="1:7" ht="24">
      <c r="A74" s="3118">
        <v>2</v>
      </c>
      <c r="B74" s="3792"/>
      <c r="C74" s="3092" t="s">
        <v>2657</v>
      </c>
      <c r="D74" s="3092" t="s">
        <v>2658</v>
      </c>
      <c r="E74" s="3118">
        <v>0.2</v>
      </c>
      <c r="F74" s="3118">
        <v>25</v>
      </c>
    </row>
    <row r="75" spans="1:7" ht="24">
      <c r="A75" s="3118">
        <v>3</v>
      </c>
      <c r="B75" s="3792"/>
      <c r="C75" s="3092" t="s">
        <v>2659</v>
      </c>
      <c r="D75" s="3092" t="s">
        <v>2660</v>
      </c>
      <c r="E75" s="3118">
        <v>0.2</v>
      </c>
      <c r="F75" s="3118">
        <v>25</v>
      </c>
    </row>
    <row r="76" spans="1:7" ht="13.5">
      <c r="A76" s="3118">
        <v>4</v>
      </c>
      <c r="B76" s="3792"/>
      <c r="C76" s="3092" t="s">
        <v>2661</v>
      </c>
      <c r="D76" s="3092" t="s">
        <v>2662</v>
      </c>
      <c r="E76" s="3118">
        <v>0.15</v>
      </c>
      <c r="F76" s="3118">
        <v>20</v>
      </c>
    </row>
    <row r="77" spans="1:7" ht="24">
      <c r="A77" s="3118">
        <v>5</v>
      </c>
      <c r="B77" s="3792"/>
      <c r="C77" s="3092" t="s">
        <v>2663</v>
      </c>
      <c r="D77" s="3092" t="s">
        <v>2664</v>
      </c>
      <c r="E77" s="3118">
        <v>0.15</v>
      </c>
      <c r="F77" s="3118">
        <v>20</v>
      </c>
    </row>
    <row r="78" spans="1:7" ht="24">
      <c r="A78" s="3118">
        <v>6</v>
      </c>
      <c r="B78" s="3792"/>
      <c r="C78" s="3092" t="s">
        <v>2665</v>
      </c>
      <c r="D78" s="3092" t="s">
        <v>2666</v>
      </c>
      <c r="E78" s="3118">
        <v>0.15</v>
      </c>
      <c r="F78" s="3118">
        <v>20</v>
      </c>
    </row>
    <row r="79" spans="1:7" ht="24">
      <c r="A79" s="3118">
        <v>7</v>
      </c>
      <c r="B79" s="3792"/>
      <c r="C79" s="3092" t="s">
        <v>2667</v>
      </c>
      <c r="D79" s="3092" t="s">
        <v>2668</v>
      </c>
      <c r="E79" s="3118">
        <v>0.15</v>
      </c>
      <c r="F79" s="3118">
        <v>20</v>
      </c>
    </row>
    <row r="80" spans="1:7" ht="24">
      <c r="A80" s="3118">
        <v>8</v>
      </c>
      <c r="B80" s="3792"/>
      <c r="C80" s="3092" t="s">
        <v>2669</v>
      </c>
      <c r="D80" s="3092" t="s">
        <v>2670</v>
      </c>
      <c r="E80" s="3118">
        <v>0.1</v>
      </c>
      <c r="F80" s="3118">
        <v>15</v>
      </c>
    </row>
    <row r="81" spans="1:6" ht="24">
      <c r="A81" s="3118">
        <v>9</v>
      </c>
      <c r="B81" s="3792"/>
      <c r="C81" s="3092" t="s">
        <v>2671</v>
      </c>
      <c r="D81" s="3092" t="s">
        <v>2672</v>
      </c>
      <c r="E81" s="3118">
        <v>0.1</v>
      </c>
      <c r="F81" s="3118">
        <v>15</v>
      </c>
    </row>
    <row r="82" spans="1:6" ht="24">
      <c r="A82" s="3118">
        <v>10</v>
      </c>
      <c r="B82" s="3792"/>
      <c r="C82" s="3092" t="s">
        <v>2673</v>
      </c>
      <c r="D82" s="3092" t="s">
        <v>2674</v>
      </c>
      <c r="E82" s="3118">
        <v>0.1</v>
      </c>
      <c r="F82" s="3118">
        <v>15</v>
      </c>
    </row>
    <row r="83" spans="1:6" ht="24">
      <c r="A83" s="3118">
        <v>11</v>
      </c>
      <c r="B83" s="3792"/>
      <c r="C83" s="3092" t="s">
        <v>2675</v>
      </c>
      <c r="D83" s="3092" t="s">
        <v>2676</v>
      </c>
      <c r="E83" s="3118">
        <v>0.1</v>
      </c>
      <c r="F83" s="3118">
        <v>15</v>
      </c>
    </row>
    <row r="84" spans="1:6" ht="24">
      <c r="A84" s="3118">
        <v>12</v>
      </c>
      <c r="B84" s="3792"/>
      <c r="C84" s="3092" t="s">
        <v>2677</v>
      </c>
      <c r="D84" s="3092" t="s">
        <v>2678</v>
      </c>
      <c r="E84" s="3118">
        <v>0.1</v>
      </c>
      <c r="F84" s="3118">
        <v>15</v>
      </c>
    </row>
    <row r="85" spans="1:6" ht="13.5">
      <c r="A85" s="3118">
        <v>13</v>
      </c>
      <c r="B85" s="3792"/>
      <c r="C85" s="3092" t="s">
        <v>2679</v>
      </c>
      <c r="D85" s="3092" t="s">
        <v>2680</v>
      </c>
      <c r="E85" s="3118">
        <v>0.1</v>
      </c>
      <c r="F85" s="3118">
        <v>15</v>
      </c>
    </row>
    <row r="86" spans="1:6" ht="13.5">
      <c r="A86" s="3118">
        <v>14</v>
      </c>
      <c r="B86" s="3792"/>
      <c r="C86" s="3092" t="s">
        <v>2681</v>
      </c>
      <c r="D86" s="3092" t="s">
        <v>2682</v>
      </c>
      <c r="E86" s="3118">
        <v>0.1</v>
      </c>
      <c r="F86" s="3118">
        <v>15</v>
      </c>
    </row>
    <row r="87" spans="1:6" ht="13.5">
      <c r="A87" s="3118">
        <v>15</v>
      </c>
      <c r="B87" s="3792"/>
      <c r="C87" s="3092" t="s">
        <v>2683</v>
      </c>
      <c r="D87" s="3092" t="s">
        <v>2684</v>
      </c>
      <c r="E87" s="3118">
        <v>0.1</v>
      </c>
      <c r="F87" s="3118">
        <v>15</v>
      </c>
    </row>
    <row r="88" spans="1:6" ht="24">
      <c r="A88" s="3118">
        <v>16</v>
      </c>
      <c r="B88" s="3792"/>
      <c r="C88" s="3092" t="s">
        <v>2685</v>
      </c>
      <c r="D88" s="3092" t="s">
        <v>2686</v>
      </c>
      <c r="E88" s="3118">
        <v>0.1</v>
      </c>
      <c r="F88" s="3118">
        <v>15</v>
      </c>
    </row>
    <row r="89" spans="1:6" ht="24">
      <c r="A89" s="3118">
        <v>17</v>
      </c>
      <c r="B89" s="3801"/>
      <c r="C89" s="3092" t="s">
        <v>2687</v>
      </c>
      <c r="D89" s="3092" t="s">
        <v>2688</v>
      </c>
      <c r="E89" s="3118">
        <v>0.1</v>
      </c>
      <c r="F89" s="3118">
        <v>15</v>
      </c>
    </row>
    <row r="90" spans="1:6" ht="13.5">
      <c r="A90" s="3118">
        <v>18</v>
      </c>
      <c r="B90" s="3797" t="s">
        <v>2689</v>
      </c>
      <c r="C90" s="3092" t="s">
        <v>2690</v>
      </c>
      <c r="D90" s="3092" t="s">
        <v>2691</v>
      </c>
      <c r="E90" s="3118">
        <v>0.2</v>
      </c>
      <c r="F90" s="3118">
        <v>25</v>
      </c>
    </row>
    <row r="91" spans="1:6" ht="24">
      <c r="A91" s="3118">
        <v>19</v>
      </c>
      <c r="B91" s="3792"/>
      <c r="C91" s="3092" t="s">
        <v>2692</v>
      </c>
      <c r="D91" s="3092" t="s">
        <v>2693</v>
      </c>
      <c r="E91" s="3118">
        <v>0.2</v>
      </c>
      <c r="F91" s="3118">
        <v>25</v>
      </c>
    </row>
    <row r="92" spans="1:6" ht="13.5">
      <c r="A92" s="3118">
        <v>20</v>
      </c>
      <c r="B92" s="3792"/>
      <c r="C92" s="3092" t="s">
        <v>2694</v>
      </c>
      <c r="D92" s="3092" t="s">
        <v>2695</v>
      </c>
      <c r="E92" s="3118">
        <v>0.15</v>
      </c>
      <c r="F92" s="3118">
        <v>20</v>
      </c>
    </row>
    <row r="93" spans="1:6" ht="13.5">
      <c r="A93" s="3118">
        <v>21</v>
      </c>
      <c r="B93" s="3792"/>
      <c r="C93" s="3092" t="s">
        <v>2696</v>
      </c>
      <c r="D93" s="3092" t="s">
        <v>2697</v>
      </c>
      <c r="E93" s="3118">
        <v>0.15</v>
      </c>
      <c r="F93" s="3118">
        <v>20</v>
      </c>
    </row>
    <row r="94" spans="1:6" ht="13.5">
      <c r="A94" s="3118">
        <v>22</v>
      </c>
      <c r="B94" s="3792"/>
      <c r="C94" s="3092" t="s">
        <v>2698</v>
      </c>
      <c r="D94" s="3092" t="s">
        <v>2699</v>
      </c>
      <c r="E94" s="3118">
        <v>0.15</v>
      </c>
      <c r="F94" s="3118">
        <v>20</v>
      </c>
    </row>
    <row r="95" spans="1:6" ht="36">
      <c r="A95" s="3118">
        <v>23</v>
      </c>
      <c r="B95" s="3792"/>
      <c r="C95" s="3092" t="s">
        <v>2700</v>
      </c>
      <c r="D95" s="3092" t="s">
        <v>2701</v>
      </c>
      <c r="E95" s="3118">
        <v>0.15</v>
      </c>
      <c r="F95" s="3118">
        <v>20</v>
      </c>
    </row>
    <row r="96" spans="1:6" ht="13.5">
      <c r="A96" s="3118">
        <v>24</v>
      </c>
      <c r="B96" s="3792"/>
      <c r="C96" s="3092" t="s">
        <v>2702</v>
      </c>
      <c r="D96" s="3092" t="s">
        <v>2703</v>
      </c>
      <c r="E96" s="3118">
        <v>0.1</v>
      </c>
      <c r="F96" s="3118">
        <v>15</v>
      </c>
    </row>
    <row r="97" spans="1:6" ht="13.5">
      <c r="A97" s="3118">
        <v>25</v>
      </c>
      <c r="B97" s="3792"/>
      <c r="C97" s="3092" t="s">
        <v>2704</v>
      </c>
      <c r="D97" s="3092" t="s">
        <v>2705</v>
      </c>
      <c r="E97" s="3118">
        <v>0.1</v>
      </c>
      <c r="F97" s="3118">
        <v>15</v>
      </c>
    </row>
    <row r="98" spans="1:6" ht="24">
      <c r="A98" s="3118">
        <v>26</v>
      </c>
      <c r="B98" s="3792"/>
      <c r="C98" s="3092" t="s">
        <v>2706</v>
      </c>
      <c r="D98" s="3092" t="s">
        <v>2707</v>
      </c>
      <c r="E98" s="3118">
        <v>0.1</v>
      </c>
      <c r="F98" s="3118">
        <v>15</v>
      </c>
    </row>
    <row r="99" spans="1:6" ht="24">
      <c r="A99" s="3118">
        <v>27</v>
      </c>
      <c r="B99" s="3792"/>
      <c r="C99" s="3092" t="s">
        <v>2708</v>
      </c>
      <c r="D99" s="3092" t="s">
        <v>2709</v>
      </c>
      <c r="E99" s="3118">
        <v>0.1</v>
      </c>
      <c r="F99" s="3118">
        <v>15</v>
      </c>
    </row>
    <row r="100" spans="1:6" ht="13.5">
      <c r="A100" s="3118">
        <v>28</v>
      </c>
      <c r="B100" s="3792"/>
      <c r="C100" s="3092" t="s">
        <v>2710</v>
      </c>
      <c r="D100" s="3092" t="s">
        <v>2711</v>
      </c>
      <c r="E100" s="3118">
        <v>0.1</v>
      </c>
      <c r="F100" s="3118">
        <v>15</v>
      </c>
    </row>
    <row r="101" spans="1:6" ht="13.5">
      <c r="A101" s="3118">
        <v>29</v>
      </c>
      <c r="B101" s="3792"/>
      <c r="C101" s="3092" t="s">
        <v>2712</v>
      </c>
      <c r="D101" s="3092" t="s">
        <v>2713</v>
      </c>
      <c r="E101" s="3118">
        <v>0.1</v>
      </c>
      <c r="F101" s="3118">
        <v>15</v>
      </c>
    </row>
    <row r="102" spans="1:6" ht="13.5">
      <c r="A102" s="3118">
        <v>30</v>
      </c>
      <c r="B102" s="3792"/>
      <c r="C102" s="3092" t="s">
        <v>2714</v>
      </c>
      <c r="D102" s="3092" t="s">
        <v>2715</v>
      </c>
      <c r="E102" s="3118">
        <v>0.1</v>
      </c>
      <c r="F102" s="3118">
        <v>15</v>
      </c>
    </row>
    <row r="103" spans="1:6" ht="24">
      <c r="A103" s="3118">
        <v>31</v>
      </c>
      <c r="B103" s="3792"/>
      <c r="C103" s="3092" t="s">
        <v>2716</v>
      </c>
      <c r="D103" s="3092" t="s">
        <v>2717</v>
      </c>
      <c r="E103" s="3118">
        <v>0.1</v>
      </c>
      <c r="F103" s="3118">
        <v>15</v>
      </c>
    </row>
    <row r="104" spans="1:6" ht="24">
      <c r="A104" s="3118">
        <v>32</v>
      </c>
      <c r="B104" s="3792"/>
      <c r="C104" s="3092" t="s">
        <v>2718</v>
      </c>
      <c r="D104" s="3092" t="s">
        <v>2719</v>
      </c>
      <c r="E104" s="3118">
        <v>0.1</v>
      </c>
      <c r="F104" s="3118">
        <v>15</v>
      </c>
    </row>
    <row r="105" spans="1:6" ht="24">
      <c r="A105" s="3118">
        <v>33</v>
      </c>
      <c r="B105" s="3792"/>
      <c r="C105" s="3092" t="s">
        <v>2720</v>
      </c>
      <c r="D105" s="3092" t="s">
        <v>2721</v>
      </c>
      <c r="E105" s="3118">
        <v>0.1</v>
      </c>
      <c r="F105" s="3118">
        <v>15</v>
      </c>
    </row>
    <row r="106" spans="1:6" ht="24">
      <c r="A106" s="3118">
        <v>34</v>
      </c>
      <c r="B106" s="3801"/>
      <c r="C106" s="3092" t="s">
        <v>2722</v>
      </c>
      <c r="D106" s="3092" t="s">
        <v>2723</v>
      </c>
      <c r="E106" s="3118">
        <v>0.1</v>
      </c>
      <c r="F106" s="3118">
        <v>15</v>
      </c>
    </row>
    <row r="107" spans="1:6" ht="24">
      <c r="A107" s="3118">
        <v>35</v>
      </c>
      <c r="B107" s="3797" t="s">
        <v>2724</v>
      </c>
      <c r="C107" s="3118" t="s">
        <v>2725</v>
      </c>
      <c r="D107" s="3092" t="s">
        <v>2726</v>
      </c>
      <c r="E107" s="3118">
        <v>0.15</v>
      </c>
      <c r="F107" s="3118">
        <v>20</v>
      </c>
    </row>
    <row r="108" spans="1:6" ht="13.5">
      <c r="A108" s="3118">
        <v>36</v>
      </c>
      <c r="B108" s="3792"/>
      <c r="C108" s="3118" t="s">
        <v>2727</v>
      </c>
      <c r="D108" s="3092" t="s">
        <v>2728</v>
      </c>
      <c r="E108" s="3118">
        <v>0.15</v>
      </c>
      <c r="F108" s="3118">
        <v>20</v>
      </c>
    </row>
    <row r="109" spans="1:6" ht="13.5">
      <c r="A109" s="3118">
        <v>37</v>
      </c>
      <c r="B109" s="3792"/>
      <c r="C109" s="3118" t="s">
        <v>2729</v>
      </c>
      <c r="D109" s="3092" t="s">
        <v>2730</v>
      </c>
      <c r="E109" s="3118">
        <v>0.15</v>
      </c>
      <c r="F109" s="3118">
        <v>20</v>
      </c>
    </row>
    <row r="110" spans="1:6" ht="13.5">
      <c r="A110" s="3118">
        <v>38</v>
      </c>
      <c r="B110" s="3792"/>
      <c r="C110" s="3118" t="s">
        <v>2731</v>
      </c>
      <c r="D110" s="3092" t="s">
        <v>2732</v>
      </c>
      <c r="E110" s="3118">
        <v>0.1</v>
      </c>
      <c r="F110" s="3118">
        <v>15</v>
      </c>
    </row>
    <row r="111" spans="1:6" ht="24">
      <c r="A111" s="3118">
        <v>39</v>
      </c>
      <c r="B111" s="3792"/>
      <c r="C111" s="3118" t="s">
        <v>2733</v>
      </c>
      <c r="D111" s="3092" t="s">
        <v>2734</v>
      </c>
      <c r="E111" s="3118">
        <v>0.1</v>
      </c>
      <c r="F111" s="3118">
        <v>15</v>
      </c>
    </row>
    <row r="112" spans="1:6" ht="24">
      <c r="A112" s="3118">
        <v>40</v>
      </c>
      <c r="B112" s="3801"/>
      <c r="C112" s="3118" t="s">
        <v>2735</v>
      </c>
      <c r="D112" s="3092" t="s">
        <v>2736</v>
      </c>
      <c r="E112" s="3118">
        <v>0.1</v>
      </c>
      <c r="F112" s="3118">
        <v>15</v>
      </c>
    </row>
    <row r="113" spans="1:6" ht="13.5">
      <c r="A113" s="3118">
        <v>41</v>
      </c>
      <c r="B113" s="3802" t="s">
        <v>2737</v>
      </c>
      <c r="C113" s="3118" t="s">
        <v>2738</v>
      </c>
      <c r="D113" s="3092" t="s">
        <v>2739</v>
      </c>
      <c r="E113" s="3118">
        <v>0.1</v>
      </c>
      <c r="F113" s="3118">
        <v>15</v>
      </c>
    </row>
    <row r="114" spans="1:6" ht="13.5">
      <c r="A114" s="3118">
        <v>42</v>
      </c>
      <c r="B114" s="3802"/>
      <c r="C114" s="3118" t="s">
        <v>2740</v>
      </c>
      <c r="D114" s="3092" t="s">
        <v>2741</v>
      </c>
      <c r="E114" s="3118">
        <v>0.1</v>
      </c>
      <c r="F114" s="3118">
        <v>15</v>
      </c>
    </row>
    <row r="115" spans="1:6" ht="24">
      <c r="A115" s="3118">
        <v>43</v>
      </c>
      <c r="B115" s="3802"/>
      <c r="C115" s="3118" t="s">
        <v>2742</v>
      </c>
      <c r="D115" s="3092" t="s">
        <v>2743</v>
      </c>
      <c r="E115" s="3118">
        <v>0.1</v>
      </c>
      <c r="F115" s="3118">
        <v>15</v>
      </c>
    </row>
    <row r="116" spans="1:6" ht="13.5">
      <c r="A116" s="3118">
        <v>44</v>
      </c>
      <c r="B116" s="3797" t="s">
        <v>2744</v>
      </c>
      <c r="C116" s="3118" t="s">
        <v>2745</v>
      </c>
      <c r="D116" s="3092" t="s">
        <v>2746</v>
      </c>
      <c r="E116" s="3118">
        <v>0.1</v>
      </c>
      <c r="F116" s="3118">
        <v>15</v>
      </c>
    </row>
    <row r="117" spans="1:6" ht="24">
      <c r="A117" s="3118">
        <v>45</v>
      </c>
      <c r="B117" s="3801"/>
      <c r="C117" s="3092" t="s">
        <v>2747</v>
      </c>
      <c r="D117" s="3092" t="s">
        <v>2748</v>
      </c>
      <c r="E117" s="3118">
        <v>0.1</v>
      </c>
      <c r="F117" s="3118">
        <v>15</v>
      </c>
    </row>
    <row r="118" spans="1:6" ht="24">
      <c r="A118" s="3118">
        <v>46</v>
      </c>
      <c r="B118" s="3797" t="s">
        <v>2749</v>
      </c>
      <c r="C118" s="3118" t="s">
        <v>2750</v>
      </c>
      <c r="D118" s="3092" t="s">
        <v>2751</v>
      </c>
      <c r="E118" s="3118">
        <v>0.1</v>
      </c>
      <c r="F118" s="3118">
        <v>15</v>
      </c>
    </row>
    <row r="119" spans="1:6" ht="24">
      <c r="A119" s="3118">
        <v>47</v>
      </c>
      <c r="B119" s="3801"/>
      <c r="C119" s="3118" t="s">
        <v>2752</v>
      </c>
      <c r="D119" s="3092" t="s">
        <v>2753</v>
      </c>
      <c r="E119" s="3118">
        <v>0.1</v>
      </c>
      <c r="F119" s="3118">
        <v>15</v>
      </c>
    </row>
    <row r="120" spans="1:6" ht="13.5">
      <c r="A120" s="3118">
        <v>48</v>
      </c>
      <c r="B120" s="3797" t="s">
        <v>2754</v>
      </c>
      <c r="C120" s="3118" t="s">
        <v>2755</v>
      </c>
      <c r="D120" s="3092" t="s">
        <v>2756</v>
      </c>
      <c r="E120" s="3118">
        <v>0.1</v>
      </c>
      <c r="F120" s="3118">
        <v>15</v>
      </c>
    </row>
    <row r="121" spans="1:6" ht="13.5">
      <c r="A121" s="3118">
        <v>49</v>
      </c>
      <c r="B121" s="3801"/>
      <c r="C121" s="3118" t="s">
        <v>2757</v>
      </c>
      <c r="D121" s="3092" t="s">
        <v>2758</v>
      </c>
      <c r="E121" s="3118">
        <v>0.1</v>
      </c>
      <c r="F121" s="3118">
        <v>15</v>
      </c>
    </row>
    <row r="122" spans="1:6" ht="24">
      <c r="A122" s="3118">
        <v>50</v>
      </c>
      <c r="B122" s="3802" t="s">
        <v>2759</v>
      </c>
      <c r="C122" s="3118" t="s">
        <v>2760</v>
      </c>
      <c r="D122" s="3092" t="s">
        <v>2761</v>
      </c>
      <c r="E122" s="3118">
        <v>0.1</v>
      </c>
      <c r="F122" s="3118">
        <v>15</v>
      </c>
    </row>
    <row r="123" spans="1:6" ht="24">
      <c r="A123" s="3118">
        <v>51</v>
      </c>
      <c r="B123" s="3802"/>
      <c r="C123" s="3118" t="s">
        <v>2762</v>
      </c>
      <c r="D123" s="3092" t="s">
        <v>2763</v>
      </c>
      <c r="E123" s="3118">
        <v>0.1</v>
      </c>
      <c r="F123" s="3118">
        <v>15</v>
      </c>
    </row>
    <row r="124" spans="1:6" ht="24">
      <c r="A124" s="3118">
        <v>52</v>
      </c>
      <c r="B124" s="3802" t="s">
        <v>2764</v>
      </c>
      <c r="C124" s="3118" t="s">
        <v>2765</v>
      </c>
      <c r="D124" s="3092" t="s">
        <v>2766</v>
      </c>
      <c r="E124" s="3118">
        <v>0.1</v>
      </c>
      <c r="F124" s="3118">
        <v>15</v>
      </c>
    </row>
    <row r="125" spans="1:6" ht="24">
      <c r="A125" s="3118">
        <v>53</v>
      </c>
      <c r="B125" s="380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2" t="s">
        <v>2772</v>
      </c>
      <c r="C127" s="3118" t="s">
        <v>2773</v>
      </c>
      <c r="D127" s="3092" t="s">
        <v>2774</v>
      </c>
      <c r="E127" s="3118">
        <v>0.1</v>
      </c>
      <c r="F127" s="3118">
        <v>15</v>
      </c>
    </row>
    <row r="128" spans="1:6" ht="13.5">
      <c r="A128" s="3118">
        <v>56</v>
      </c>
      <c r="B128" s="3802"/>
      <c r="C128" s="3118" t="s">
        <v>2775</v>
      </c>
      <c r="D128" s="3092" t="s">
        <v>2776</v>
      </c>
      <c r="E128" s="3118">
        <v>0.1</v>
      </c>
      <c r="F128" s="3118">
        <v>15</v>
      </c>
    </row>
    <row r="129" spans="1:6" ht="24">
      <c r="A129" s="3118">
        <v>57</v>
      </c>
      <c r="B129" s="3802"/>
      <c r="C129" s="3118" t="s">
        <v>2777</v>
      </c>
      <c r="D129" s="3092" t="s">
        <v>2778</v>
      </c>
      <c r="E129" s="3118">
        <v>0.1</v>
      </c>
      <c r="F129" s="3118">
        <v>15</v>
      </c>
    </row>
    <row r="130" spans="1:6" ht="24">
      <c r="A130" s="3118">
        <v>58</v>
      </c>
      <c r="B130" s="3802" t="s">
        <v>2779</v>
      </c>
      <c r="C130" s="3118" t="s">
        <v>2780</v>
      </c>
      <c r="D130" s="3092" t="s">
        <v>2781</v>
      </c>
      <c r="E130" s="3118">
        <v>0.1</v>
      </c>
      <c r="F130" s="3118">
        <v>15</v>
      </c>
    </row>
    <row r="131" spans="1:6" ht="13.5">
      <c r="A131" s="3118">
        <v>59</v>
      </c>
      <c r="B131" s="3802"/>
      <c r="C131" s="3118" t="s">
        <v>2782</v>
      </c>
      <c r="D131" s="3092" t="s">
        <v>2783</v>
      </c>
      <c r="E131" s="3118">
        <v>0.1</v>
      </c>
      <c r="F131" s="3118">
        <v>15</v>
      </c>
    </row>
    <row r="132" spans="1:6" ht="13.5">
      <c r="A132" s="3118">
        <v>60</v>
      </c>
      <c r="B132" s="3797" t="s">
        <v>2784</v>
      </c>
      <c r="C132" s="3118" t="s">
        <v>2785</v>
      </c>
      <c r="D132" s="3092" t="s">
        <v>2786</v>
      </c>
      <c r="E132" s="3118">
        <v>0.1</v>
      </c>
      <c r="F132" s="3118">
        <v>15</v>
      </c>
    </row>
    <row r="133" spans="1:6" ht="13.5">
      <c r="A133" s="3118">
        <v>61</v>
      </c>
      <c r="B133" s="380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2" t="s">
        <v>2792</v>
      </c>
      <c r="C135" s="3118" t="s">
        <v>2793</v>
      </c>
      <c r="D135" s="3092" t="s">
        <v>2794</v>
      </c>
      <c r="E135" s="3118">
        <v>0.1</v>
      </c>
      <c r="F135" s="3118">
        <v>15</v>
      </c>
    </row>
    <row r="136" spans="1:6" ht="13.5">
      <c r="A136" s="3118">
        <v>64</v>
      </c>
      <c r="B136" s="380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1.004</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0.95089999999999997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28926</v>
      </c>
      <c r="C2" s="2" t="s">
        <v>106</v>
      </c>
      <c r="D2" s="199"/>
      <c r="E2" s="199"/>
      <c r="F2" s="199"/>
      <c r="G2" s="199"/>
    </row>
    <row r="3" spans="1:7" s="200" customFormat="1" ht="18" customHeight="1" thickBot="1">
      <c r="A3" s="203" t="s">
        <v>58</v>
      </c>
      <c r="B3" s="204">
        <f ca="1">ROUND(B2*10000/'数据-汇总表'!E3,0)</f>
        <v>130941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44</v>
      </c>
      <c r="D10" s="845">
        <f>'数据-汇总表'!E6</f>
        <v>2209.09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44</v>
      </c>
      <c r="D19" s="849">
        <f>'数据-汇总表'!E3</f>
        <v>2209.09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994</v>
      </c>
      <c r="D34" s="217"/>
      <c r="E34" s="220"/>
      <c r="F34" s="257">
        <f>IF('数据-取费表'!B24=0,1,'数据-取费表'!N16)</f>
        <v>1</v>
      </c>
      <c r="G34" s="219" t="s">
        <v>89</v>
      </c>
    </row>
    <row r="35" spans="1:7" ht="13.5" customHeight="1">
      <c r="A35" s="780" t="s">
        <v>351</v>
      </c>
      <c r="B35" s="215" t="s">
        <v>33</v>
      </c>
      <c r="C35" s="220">
        <f>ROUND(C34*F35,0)</f>
        <v>30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44</v>
      </c>
      <c r="D37" s="217">
        <f>'数据-汇总表'!E3</f>
        <v>2209.09</v>
      </c>
      <c r="E37" s="249">
        <f>'数据-取费表'!B35</f>
        <v>200</v>
      </c>
      <c r="F37" s="259"/>
      <c r="G37" s="261" t="s">
        <v>92</v>
      </c>
    </row>
    <row r="38" spans="1:7" ht="13.5" customHeight="1">
      <c r="A38" s="780" t="s">
        <v>354</v>
      </c>
      <c r="B38" s="215" t="s">
        <v>36</v>
      </c>
      <c r="C38" s="220">
        <f>ROUND(C34*F38,0)</f>
        <v>20</v>
      </c>
      <c r="D38" s="220"/>
      <c r="E38" s="220"/>
      <c r="F38" s="259">
        <f>'数据-取费表'!B36</f>
        <v>0.02</v>
      </c>
      <c r="G38" s="219" t="s">
        <v>90</v>
      </c>
    </row>
    <row r="39" spans="1:7" s="214" customFormat="1" ht="13.5" customHeight="1">
      <c r="A39" s="777" t="s">
        <v>338</v>
      </c>
      <c r="B39" s="210" t="s">
        <v>77</v>
      </c>
      <c r="C39" s="232">
        <f>ROUND(C33*F20,0)</f>
        <v>22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38</v>
      </c>
      <c r="D42" s="238"/>
      <c r="E42" s="238"/>
      <c r="F42" s="239"/>
      <c r="G42" s="3667" t="s">
        <v>94</v>
      </c>
    </row>
    <row r="43" spans="1:7" ht="13.5" customHeight="1">
      <c r="A43" s="780" t="s">
        <v>347</v>
      </c>
      <c r="B43" s="215" t="s">
        <v>426</v>
      </c>
      <c r="C43" s="238">
        <f ca="1">ROUND(IF('数据-取费表'!B22&lt;=1,C39*F22*'数据-取费表'!B21/2,C39*(POWER((1+F22),'数据-取费表'!B21/2)-1)),0)</f>
        <v>1</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167</v>
      </c>
      <c r="D45" s="235">
        <f>C47</f>
        <v>3.0000000000000001E-3</v>
      </c>
      <c r="E45" s="236" t="s">
        <v>102</v>
      </c>
      <c r="F45" s="246"/>
      <c r="G45" s="247" t="s">
        <v>434</v>
      </c>
    </row>
    <row r="46" spans="1:7" s="214" customFormat="1" ht="13.5" customHeight="1">
      <c r="A46" s="780" t="s">
        <v>349</v>
      </c>
      <c r="B46" s="248" t="s">
        <v>427</v>
      </c>
      <c r="C46" s="249">
        <f>ROUND((C33+C39)*F27,0)</f>
        <v>167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1426</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1091</v>
      </c>
      <c r="D51" s="232"/>
      <c r="E51" s="232"/>
      <c r="F51" s="264"/>
      <c r="G51" s="234" t="s">
        <v>37</v>
      </c>
    </row>
    <row r="52" spans="1:7" s="208" customFormat="1" ht="16.5" thickBot="1">
      <c r="A52" s="265" t="s">
        <v>38</v>
      </c>
      <c r="B52" s="266"/>
      <c r="C52" s="267">
        <f ca="1">C31+C51</f>
        <v>28926</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2842</v>
      </c>
      <c r="B1" s="3805"/>
      <c r="C1" s="3805"/>
      <c r="D1" s="3805"/>
      <c r="E1" s="3805"/>
      <c r="F1" s="3805"/>
      <c r="G1" s="380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803"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80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2209.09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t="e">
        <f ca="1">结果表!D122</f>
        <v>#REF!</v>
      </c>
      <c r="E8" s="3498"/>
      <c r="F8" s="3498"/>
      <c r="G8" s="3498"/>
      <c r="H8" s="3498"/>
      <c r="I8" s="3498"/>
    </row>
    <row r="9" spans="1:9" ht="15">
      <c r="A9" s="3497" t="s">
        <v>927</v>
      </c>
      <c r="B9" s="3497"/>
      <c r="C9" s="3497"/>
      <c r="D9" s="3497" t="e">
        <f ca="1">结果表!D123</f>
        <v>#REF!</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7" t="s">
        <v>3184</v>
      </c>
      <c r="B1" s="3807"/>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8" t="s">
        <v>3235</v>
      </c>
      <c r="B1" s="3808"/>
      <c r="C1" s="3808"/>
      <c r="D1" s="3808"/>
      <c r="E1" s="3808"/>
      <c r="F1" s="380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45379</v>
      </c>
      <c r="B1" s="3210" t="s">
        <v>3374</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810" t="s">
        <v>2830</v>
      </c>
      <c r="S23" s="3811"/>
      <c r="T23" s="3811"/>
      <c r="U23" s="3811"/>
      <c r="V23" s="3811"/>
      <c r="W23" s="3811"/>
      <c r="X23" s="3165"/>
      <c r="Y23" s="3810" t="s">
        <v>2831</v>
      </c>
      <c r="Z23" s="3811"/>
      <c r="AA23" s="3811"/>
      <c r="AB23" s="3811"/>
      <c r="AC23" s="3811"/>
      <c r="AD23" s="3811"/>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83" priority="53">
      <formula>AND($C4-TODAY()&lt;30,TODAY()&lt;$C4)</formula>
    </cfRule>
  </conditionalFormatting>
  <conditionalFormatting sqref="C20:D20">
    <cfRule type="expression" dxfId="282" priority="52">
      <formula>AND($C20-TODAY()&lt;30,TODAY()&lt;$C20)</formula>
    </cfRule>
  </conditionalFormatting>
  <conditionalFormatting sqref="C20:D20 G4 C4:D5 C13:D13">
    <cfRule type="cellIs" dxfId="281" priority="54" stopIfTrue="1" operator="lessThan">
      <formula>$B$2</formula>
    </cfRule>
  </conditionalFormatting>
  <conditionalFormatting sqref="G5 G7 G9">
    <cfRule type="cellIs" dxfId="280" priority="51" stopIfTrue="1" operator="lessThan">
      <formula>$B$2</formula>
    </cfRule>
  </conditionalFormatting>
  <conditionalFormatting sqref="C6:D6 D14 D16">
    <cfRule type="expression" dxfId="279" priority="49">
      <formula>AND($C6-TODAY()&lt;30,TODAY()&lt;$C6)</formula>
    </cfRule>
  </conditionalFormatting>
  <conditionalFormatting sqref="G6 G8 G10 C6:D6 D7:D12 D14 D16">
    <cfRule type="cellIs" dxfId="278" priority="50" stopIfTrue="1" operator="lessThan">
      <formula>$B$2</formula>
    </cfRule>
  </conditionalFormatting>
  <conditionalFormatting sqref="D12">
    <cfRule type="expression" dxfId="277" priority="47">
      <formula>AND($C12-TODAY()&lt;30,TODAY()&lt;$C12)</formula>
    </cfRule>
  </conditionalFormatting>
  <conditionalFormatting sqref="D12">
    <cfRule type="cellIs" dxfId="276" priority="48" stopIfTrue="1" operator="lessThan">
      <formula>$B$2</formula>
    </cfRule>
  </conditionalFormatting>
  <conditionalFormatting sqref="C13:D13">
    <cfRule type="expression" dxfId="275" priority="45">
      <formula>AND($C13-TODAY()&lt;30,TODAY()&lt;$C13)</formula>
    </cfRule>
  </conditionalFormatting>
  <conditionalFormatting sqref="C13:D13">
    <cfRule type="cellIs" dxfId="274" priority="46" stopIfTrue="1" operator="lessThan">
      <formula>$B$2</formula>
    </cfRule>
  </conditionalFormatting>
  <conditionalFormatting sqref="D14">
    <cfRule type="expression" dxfId="273" priority="43">
      <formula>AND($C14-TODAY()&lt;30,TODAY()&lt;$C14)</formula>
    </cfRule>
  </conditionalFormatting>
  <conditionalFormatting sqref="D14">
    <cfRule type="cellIs" dxfId="272" priority="44" stopIfTrue="1" operator="lessThan">
      <formula>$B$2</formula>
    </cfRule>
  </conditionalFormatting>
  <conditionalFormatting sqref="G13">
    <cfRule type="cellIs" dxfId="271" priority="42" stopIfTrue="1" operator="lessThan">
      <formula>$B$2</formula>
    </cfRule>
  </conditionalFormatting>
  <conditionalFormatting sqref="B4:B11 F4:F11 B13 F13:F14">
    <cfRule type="cellIs" dxfId="270" priority="41" stopIfTrue="1" operator="equal">
      <formula>"已过期"</formula>
    </cfRule>
  </conditionalFormatting>
  <conditionalFormatting sqref="C7">
    <cfRule type="cellIs" dxfId="269" priority="38" stopIfTrue="1" operator="lessThan">
      <formula>$B$2</formula>
    </cfRule>
  </conditionalFormatting>
  <conditionalFormatting sqref="C7">
    <cfRule type="expression" dxfId="268" priority="37">
      <formula>AND($C7-TODAY()&lt;30,TODAY()&lt;$C7)</formula>
    </cfRule>
  </conditionalFormatting>
  <conditionalFormatting sqref="C8">
    <cfRule type="expression" dxfId="267" priority="35">
      <formula>AND($C8-TODAY()&lt;30,TODAY()&lt;$C8)</formula>
    </cfRule>
  </conditionalFormatting>
  <conditionalFormatting sqref="C8">
    <cfRule type="cellIs" dxfId="266" priority="36" stopIfTrue="1" operator="lessThan">
      <formula>$B$2</formula>
    </cfRule>
  </conditionalFormatting>
  <conditionalFormatting sqref="C11">
    <cfRule type="expression" dxfId="265" priority="33">
      <formula>AND($C11-TODAY()&lt;30,TODAY()&lt;$C11)</formula>
    </cfRule>
  </conditionalFormatting>
  <conditionalFormatting sqref="C11">
    <cfRule type="cellIs" dxfId="264" priority="34" stopIfTrue="1" operator="lessThan">
      <formula>$B$2</formula>
    </cfRule>
  </conditionalFormatting>
  <conditionalFormatting sqref="A16:C16">
    <cfRule type="cellIs" dxfId="263" priority="32" stopIfTrue="1" operator="equal">
      <formula>"已过期"</formula>
    </cfRule>
  </conditionalFormatting>
  <conditionalFormatting sqref="E16:G16">
    <cfRule type="cellIs" dxfId="262" priority="31" stopIfTrue="1" operator="equal">
      <formula>"已过期"</formula>
    </cfRule>
  </conditionalFormatting>
  <conditionalFormatting sqref="G11">
    <cfRule type="cellIs" dxfId="261" priority="30" stopIfTrue="1" operator="lessThan">
      <formula>$B$2</formula>
    </cfRule>
  </conditionalFormatting>
  <conditionalFormatting sqref="F12">
    <cfRule type="cellIs" dxfId="260" priority="29" stopIfTrue="1" operator="equal">
      <formula>"已过期"</formula>
    </cfRule>
  </conditionalFormatting>
  <conditionalFormatting sqref="G12">
    <cfRule type="cellIs" dxfId="259" priority="28" stopIfTrue="1" operator="lessThan">
      <formula>$B$2</formula>
    </cfRule>
  </conditionalFormatting>
  <conditionalFormatting sqref="C12">
    <cfRule type="cellIs" dxfId="258" priority="27" stopIfTrue="1" operator="lessThan">
      <formula>$B$2</formula>
    </cfRule>
  </conditionalFormatting>
  <conditionalFormatting sqref="C12">
    <cfRule type="expression" dxfId="257" priority="25">
      <formula>AND($C12-TODAY()&lt;30,TODAY()&lt;$C12)</formula>
    </cfRule>
  </conditionalFormatting>
  <conditionalFormatting sqref="C12">
    <cfRule type="cellIs" dxfId="256" priority="26" stopIfTrue="1" operator="lessThan">
      <formula>$B$2</formula>
    </cfRule>
  </conditionalFormatting>
  <conditionalFormatting sqref="B12">
    <cfRule type="cellIs" dxfId="255" priority="24" stopIfTrue="1" operator="equal">
      <formula>"已过期"</formula>
    </cfRule>
  </conditionalFormatting>
  <conditionalFormatting sqref="C9:C10">
    <cfRule type="expression" dxfId="254" priority="22">
      <formula>AND($C9-TODAY()&lt;30,TODAY()&lt;$C9)</formula>
    </cfRule>
  </conditionalFormatting>
  <conditionalFormatting sqref="C9:C10">
    <cfRule type="cellIs" dxfId="253" priority="23" stopIfTrue="1" operator="lessThan">
      <formula>$B$2</formula>
    </cfRule>
  </conditionalFormatting>
  <conditionalFormatting sqref="G21">
    <cfRule type="expression" dxfId="252" priority="20" stopIfTrue="1">
      <formula>AND(#REF!-TODAY()&lt;30,TODAY()&lt;#REF!)</formula>
    </cfRule>
  </conditionalFormatting>
  <conditionalFormatting sqref="G21">
    <cfRule type="cellIs" dxfId="251" priority="21" stopIfTrue="1" operator="lessThan">
      <formula>$B$2</formula>
    </cfRule>
  </conditionalFormatting>
  <conditionalFormatting sqref="C14">
    <cfRule type="expression" dxfId="250" priority="18">
      <formula>AND($C14-TODAY()&lt;30,TODAY()&lt;$C14)</formula>
    </cfRule>
  </conditionalFormatting>
  <conditionalFormatting sqref="C14">
    <cfRule type="cellIs" dxfId="249" priority="19" stopIfTrue="1" operator="lessThan">
      <formula>$B$2</formula>
    </cfRule>
  </conditionalFormatting>
  <conditionalFormatting sqref="C14">
    <cfRule type="expression" dxfId="248" priority="16">
      <formula>AND($C14-TODAY()&lt;30,TODAY()&lt;$C14)</formula>
    </cfRule>
  </conditionalFormatting>
  <conditionalFormatting sqref="C14">
    <cfRule type="cellIs" dxfId="247" priority="17" stopIfTrue="1" operator="lessThan">
      <formula>$B$2</formula>
    </cfRule>
  </conditionalFormatting>
  <conditionalFormatting sqref="B14">
    <cfRule type="cellIs" dxfId="246" priority="15" stopIfTrue="1" operator="equal">
      <formula>"已过期"</formula>
    </cfRule>
  </conditionalFormatting>
  <conditionalFormatting sqref="G14">
    <cfRule type="cellIs" dxfId="245" priority="14" stopIfTrue="1" operator="lessThan">
      <formula>$B$2</formula>
    </cfRule>
  </conditionalFormatting>
  <conditionalFormatting sqref="D15">
    <cfRule type="expression" dxfId="244" priority="12">
      <formula>AND($C15-TODAY()&lt;30,TODAY()&lt;$C15)</formula>
    </cfRule>
  </conditionalFormatting>
  <conditionalFormatting sqref="D15">
    <cfRule type="cellIs" dxfId="243" priority="13" stopIfTrue="1" operator="lessThan">
      <formula>$B$2</formula>
    </cfRule>
  </conditionalFormatting>
  <conditionalFormatting sqref="D15">
    <cfRule type="expression" dxfId="242" priority="10">
      <formula>AND($C15-TODAY()&lt;30,TODAY()&lt;$C15)</formula>
    </cfRule>
  </conditionalFormatting>
  <conditionalFormatting sqref="D15">
    <cfRule type="cellIs" dxfId="241" priority="11" stopIfTrue="1" operator="lessThan">
      <formula>$B$2</formula>
    </cfRule>
  </conditionalFormatting>
  <conditionalFormatting sqref="F15">
    <cfRule type="cellIs" dxfId="240" priority="9" stopIfTrue="1" operator="equal">
      <formula>"已过期"</formula>
    </cfRule>
  </conditionalFormatting>
  <conditionalFormatting sqref="C15">
    <cfRule type="expression" dxfId="239" priority="7">
      <formula>AND($C15-TODAY()&lt;30,TODAY()&lt;$C15)</formula>
    </cfRule>
  </conditionalFormatting>
  <conditionalFormatting sqref="C15">
    <cfRule type="cellIs" dxfId="238" priority="8" stopIfTrue="1" operator="lessThan">
      <formula>$B$2</formula>
    </cfRule>
  </conditionalFormatting>
  <conditionalFormatting sqref="C15">
    <cfRule type="expression" dxfId="237" priority="5">
      <formula>AND($C15-TODAY()&lt;30,TODAY()&lt;$C15)</formula>
    </cfRule>
  </conditionalFormatting>
  <conditionalFormatting sqref="C15">
    <cfRule type="cellIs" dxfId="236" priority="6" stopIfTrue="1" operator="lessThan">
      <formula>$B$2</formula>
    </cfRule>
  </conditionalFormatting>
  <conditionalFormatting sqref="B15">
    <cfRule type="cellIs" dxfId="235" priority="4" stopIfTrue="1" operator="equal">
      <formula>"已过期"</formula>
    </cfRule>
  </conditionalFormatting>
  <conditionalFormatting sqref="G15">
    <cfRule type="cellIs" dxfId="234" priority="3" stopIfTrue="1" operator="lessThan">
      <formula>$B$2</formula>
    </cfRule>
  </conditionalFormatting>
  <conditionalFormatting sqref="G20">
    <cfRule type="expression" dxfId="233" priority="1" stopIfTrue="1">
      <formula>AND(#REF!-TODAY()&lt;30,TODAY()&lt;#REF!)</formula>
    </cfRule>
  </conditionalFormatting>
  <conditionalFormatting sqref="G20">
    <cfRule type="cellIs" dxfId="23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162</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结果表(商业)</vt:lpstr>
      <vt:lpstr>结果表(仓储)</vt:lpstr>
      <vt:lpstr>结果表(办公)</vt:lpstr>
      <vt:lpstr>结果表</vt:lpstr>
      <vt:lpstr>成本法(仓储)</vt:lpstr>
      <vt:lpstr>成本法</vt:lpstr>
      <vt:lpstr>成本法 (元)</vt:lpstr>
      <vt:lpstr>基准地价修正</vt:lpstr>
      <vt:lpstr>基准地价修正(商业)</vt:lpstr>
      <vt:lpstr>基准地价修正(车库仓储)</vt:lpstr>
      <vt:lpstr>基准地价（汇总）</vt:lpstr>
      <vt:lpstr>假设开发法</vt:lpstr>
      <vt:lpstr>收益法</vt:lpstr>
      <vt:lpstr>收益法 (元)</vt:lpstr>
      <vt:lpstr>收益法 (元)车位</vt:lpstr>
      <vt:lpstr>收益法 (元)仓储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'基准地价修正(车库仓储)'!Print_Area</vt:lpstr>
      <vt:lpstr>'基准地价修正(商业)'!Print_Area</vt:lpstr>
      <vt:lpstr>假设开发法!Print_Area</vt:lpstr>
      <vt:lpstr>结果表!Print_Area</vt:lpstr>
      <vt:lpstr>'结果表(办公)'!Print_Area</vt:lpstr>
      <vt:lpstr>'结果表(仓储)'!Print_Area</vt:lpstr>
      <vt:lpstr>'结果表(商业)'!Print_Area</vt:lpstr>
      <vt:lpstr>收益法!Print_Area</vt:lpstr>
      <vt:lpstr>'收益法 (元)'!Print_Area</vt:lpstr>
      <vt:lpstr>'收益法 (元)仓储'!Print_Area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'基准地价修正(车库仓储)'!季度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2024-04-12T02:41:11Z</dcterms:modified>
</cp:coreProperties>
</file>