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G34" i="64"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E2" i="21"/>
  <c r="H23" i="31"/>
  <c r="C19" i="57"/>
  <c r="D20" i="57"/>
  <c r="E2" i="35"/>
  <c r="D5" i="61"/>
  <c r="F6" i="61"/>
  <c r="F5" i="61"/>
  <c r="F7" i="61"/>
  <c r="F4" i="61"/>
  <c r="E2" i="33"/>
  <c r="F3" i="61"/>
  <c r="D7" i="61"/>
  <c r="D4" i="61"/>
  <c r="E2" i="34"/>
  <c r="E2" i="37"/>
  <c r="E2" i="36"/>
  <c r="E2" i="11"/>
  <c r="D6" i="61"/>
  <c r="C20" i="57"/>
  <c r="D19" i="57"/>
  <c r="D3" i="61"/>
  <c r="C27" i="15" l="1"/>
  <c r="S399" i="3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G17" i="64" s="1"/>
  <c r="S33" i="31"/>
  <c r="S41" i="31"/>
  <c r="T41" i="31"/>
  <c r="G25" i="64" s="1"/>
  <c r="S34" i="31"/>
  <c r="T34" i="31"/>
  <c r="G18" i="64" s="1"/>
  <c r="T30" i="31"/>
  <c r="G14" i="64" s="1"/>
  <c r="S30" i="31"/>
  <c r="T39" i="31"/>
  <c r="G23" i="64" s="1"/>
  <c r="S39" i="31"/>
  <c r="T32" i="31"/>
  <c r="G16" i="64" s="1"/>
  <c r="S32" i="31"/>
  <c r="S40" i="31"/>
  <c r="T40" i="31"/>
  <c r="G24" i="64" s="1"/>
  <c r="T31" i="31"/>
  <c r="G15" i="64" s="1"/>
  <c r="S31" i="31"/>
  <c r="S37" i="31"/>
  <c r="T37" i="31"/>
  <c r="G21" i="64" s="1"/>
  <c r="T29" i="31"/>
  <c r="S29" i="31"/>
  <c r="S38" i="31"/>
  <c r="T38" i="31"/>
  <c r="G22" i="64" s="1"/>
  <c r="T35" i="31"/>
  <c r="G19" i="64" s="1"/>
  <c r="S35" i="31"/>
  <c r="S28" i="31"/>
  <c r="T28" i="31"/>
  <c r="S36" i="31"/>
  <c r="T36" i="31"/>
  <c r="G20" i="64" s="1"/>
  <c r="D6" i="59"/>
  <c r="C5" i="59"/>
  <c r="I47" i="40"/>
  <c r="J47" i="40" s="1"/>
  <c r="E47" i="40"/>
  <c r="F47" i="40" s="1"/>
  <c r="E46" i="40"/>
  <c r="F46" i="40" s="1"/>
  <c r="C43" i="40"/>
  <c r="C42" i="40"/>
  <c r="G13" i="64" l="1"/>
  <c r="D14" i="62"/>
  <c r="G12" i="64"/>
  <c r="G26" i="64"/>
  <c r="G33" i="64" s="1"/>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R25" i="31" l="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<sst xmlns="http://schemas.openxmlformats.org/spreadsheetml/2006/main" count="6985" uniqueCount="3105">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</sst>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185</v>
      </c>
    </row>
    <row r="20" spans="1:2">
      <c r="A20" s="1138" t="s">
        <v>912</v>
      </c>
      <c r="B20" s="1125" t="str">
        <f>'预评函-2（1）'!C7</f>
        <v>总价（万元）</v>
      </c>
    </row>
    <row r="21" spans="1:2">
      <c r="A21" s="1138" t="s">
        <v>875</v>
      </c>
      <c r="B21" s="1125">
        <f ca="1">'预评函-2（1）'!D9</f>
        <v>16458</v>
      </c>
    </row>
    <row r="22" spans="1:2">
      <c r="A22" s="1138" t="s">
        <v>876</v>
      </c>
      <c r="B22" s="1125" t="str">
        <f ca="1">'预评函-2（1）'!D8</f>
        <v>壹佰捌拾伍万元整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185</v>
      </c>
    </row>
    <row r="30" spans="1:2">
      <c r="A30" s="1138" t="s">
        <v>882</v>
      </c>
      <c r="B30" s="1125" t="str">
        <f ca="1">'预评函-2（1）'!D16</f>
        <v>壹佰捌拾伍万元整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114</v>
      </c>
    </row>
    <row r="38" spans="1:2">
      <c r="A38" s="1138" t="s">
        <v>890</v>
      </c>
      <c r="B38" s="1125">
        <f ca="1">'预评函-2（2）'!E4</f>
        <v>10188</v>
      </c>
    </row>
    <row r="39" spans="1:2">
      <c r="A39" s="1138" t="s">
        <v>891</v>
      </c>
      <c r="B39" s="1125" t="str">
        <f ca="1">'预评函-2（2）'!D5</f>
        <v>壹佰壹拾肆万元整</v>
      </c>
    </row>
    <row r="40" spans="1:2">
      <c r="A40" s="1138" t="s">
        <v>892</v>
      </c>
      <c r="B40" s="1125">
        <f ca="1">'预评函-2（2）'!F4</f>
        <v>70</v>
      </c>
    </row>
    <row r="41" spans="1:2">
      <c r="A41" s="1138" t="s">
        <v>893</v>
      </c>
      <c r="B41" s="1125">
        <f ca="1">'预评函-2（2）'!G4</f>
        <v>6270</v>
      </c>
    </row>
    <row r="42" spans="1:2" s="1135" customFormat="1" ht="15.75" thickBot="1">
      <c r="A42" s="1139" t="s">
        <v>894</v>
      </c>
      <c r="B42" s="1127" t="str">
        <f ca="1">'预评函-2（2）'!F5</f>
        <v>柒拾万元整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16458</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39" sqref="K39"/>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84.61</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142</v>
      </c>
      <c r="C5" s="2498">
        <f ca="1">ROUND(B5*10000/$B$1,0)</f>
        <v>16783</v>
      </c>
      <c r="D5" s="2498" t="e">
        <f ca="1">ROUND(B5*10000/$B$2,0)</f>
        <v>#DIV/0!</v>
      </c>
      <c r="E5" s="1561"/>
      <c r="F5" s="2499"/>
      <c r="G5" s="2499"/>
    </row>
    <row r="6" spans="1:9" ht="16.5">
      <c r="A6" s="2498" t="s">
        <v>981</v>
      </c>
      <c r="B6" s="2498">
        <f ca="1">SUM(G14:G23)</f>
        <v>185</v>
      </c>
      <c r="C6" s="2498">
        <f t="shared" ref="C6:C8" ca="1" si="0">ROUND(B6*10000/$B$1,0)</f>
        <v>21865</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典型户型修正!B29</f>
        <v>84.61</v>
      </c>
      <c r="C14" s="2834">
        <f>项目基本情况!C13</f>
        <v>0</v>
      </c>
      <c r="D14" s="2834">
        <f ca="1">典型户型修正!T29</f>
        <v>142</v>
      </c>
      <c r="E14" s="2834">
        <f ca="1">ROUND(D14*10000/B14,0)</f>
        <v>16783</v>
      </c>
      <c r="F14" s="2834" t="e">
        <f ca="1">ROUND(D14*10000/C14,0)</f>
        <v>#DIV/0!</v>
      </c>
      <c r="G14" s="2834">
        <f ca="1">IF('数据-取费表'!B3="万元",IF(A14="估价对象1（结果表）",结果表!D125,'结果表 (1修多)'!D129),IF(A14="估价对象1（结果表）",结果表!D125,'结果表 (1修多)'!D129)/10000)</f>
        <v>185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4" sqref="H24"/>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177</v>
      </c>
      <c r="D19" s="2640">
        <f ca="1">SUMIF(INDIRECT("'"&amp;D4&amp;"'"&amp;"!A:A"),结果表!B19,INDIRECT("'"&amp;D4&amp;"'"&amp;"!B:B"))</f>
        <v>193</v>
      </c>
      <c r="E19" s="2637" t="s">
        <v>1496</v>
      </c>
      <c r="F19" s="2638" t="s">
        <v>1495</v>
      </c>
      <c r="G19" s="2641">
        <f ca="1">ROUND(C19*$C$18+D19*$D$18,0)</f>
        <v>185</v>
      </c>
      <c r="H19" s="2642" t="str">
        <f>'数据-取费表'!B3</f>
        <v>万元</v>
      </c>
      <c r="I19" s="2690"/>
      <c r="J19" s="2765"/>
    </row>
    <row r="20" spans="1:36" ht="15">
      <c r="A20" s="2643"/>
      <c r="B20" s="1621" t="s">
        <v>1497</v>
      </c>
      <c r="C20" s="1846">
        <f ca="1">SUMIF(INDIRECT("'"&amp;C4&amp;"'"&amp;"!A:A"),结果表!B20,INDIRECT("'"&amp;C4&amp;"'"&amp;"!B:B"))</f>
        <v>15723</v>
      </c>
      <c r="D20" s="1849">
        <f ca="1">SUMIF(INDIRECT("'"&amp;D4&amp;"'"&amp;"!A:A"),结果表!B20,INDIRECT("'"&amp;D4&amp;"'"&amp;"!B:B"))</f>
        <v>17193</v>
      </c>
      <c r="E20" s="2643"/>
      <c r="F20" s="1621" t="s">
        <v>1497</v>
      </c>
      <c r="G20" s="2020">
        <f ca="1">ROUND(C20*$C$18+D20*$D$18,0)</f>
        <v>16458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9.0395480225988756E-2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16458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10188</v>
      </c>
      <c r="D34" s="2667">
        <f ca="1">IF(D33="自定义",ROUND(C34/C32,3),1-D35)</f>
        <v>0.61899999999999999</v>
      </c>
      <c r="E34" s="1362" t="s">
        <v>1510</v>
      </c>
      <c r="F34" s="2668">
        <v>2000</v>
      </c>
      <c r="G34" s="905"/>
      <c r="H34" s="905"/>
      <c r="I34" s="905"/>
      <c r="J34" s="2764"/>
    </row>
    <row r="35" spans="1:17" ht="15.75" thickBot="1">
      <c r="A35" s="1394"/>
      <c r="B35" s="2669" t="s">
        <v>1511</v>
      </c>
      <c r="C35" s="2670">
        <f ca="1">IF(D33="自定义",F35,ROUND(C32*D35,0))</f>
        <v>6270</v>
      </c>
      <c r="D35" s="2671">
        <f ca="1">IF(D33="自定义",ROUND(C35/C32,3),IF(D33="成本法成本比率",成本法!C56,IF(D33="收益法收益比率",收益法!J38,收益法!J41)))</f>
        <v>0.38100000000000001</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185</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10</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185</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185</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10</v>
      </c>
      <c r="E52" s="2019" t="s">
        <v>1553</v>
      </c>
      <c r="F52" s="2492">
        <f>'数据-取费表'!E29</f>
        <v>5.5000000000000007E-2</v>
      </c>
      <c r="G52" s="2493"/>
      <c r="H52" s="905"/>
      <c r="I52" s="2897"/>
      <c r="J52" s="2772"/>
      <c r="K52" s="2453">
        <v>1</v>
      </c>
      <c r="L52" s="3424" t="s">
        <v>2513</v>
      </c>
      <c r="M52" s="3424"/>
      <c r="N52" s="2455">
        <f ca="1">D48</f>
        <v>10</v>
      </c>
      <c r="O52" s="2453" t="str">
        <f>E48</f>
        <v>销售额×税（费）率</v>
      </c>
      <c r="P52" s="2456">
        <f>F48</f>
        <v>5.5000000000000007E-2</v>
      </c>
      <c r="Q52" s="1235"/>
    </row>
    <row r="53" spans="1:17" ht="12" customHeight="1">
      <c r="A53" s="2009" t="s">
        <v>1555</v>
      </c>
      <c r="B53" s="3495" t="s">
        <v>2591</v>
      </c>
      <c r="C53" s="3484"/>
      <c r="D53" s="1027">
        <f ca="1">ROUND(D45*'数据-取费表'!E29/(1+'数据-取费表'!F30),0)</f>
        <v>10</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10</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10</v>
      </c>
      <c r="P57" s="2464"/>
      <c r="Q57" s="1233">
        <f ca="1">O57/N49</f>
        <v>5.4054054054054057E-2</v>
      </c>
    </row>
    <row r="58" spans="1:17" ht="24.75">
      <c r="A58" s="2009" t="s">
        <v>1551</v>
      </c>
      <c r="B58" s="3495" t="s">
        <v>1569</v>
      </c>
      <c r="C58" s="3483"/>
      <c r="D58" s="12">
        <f ca="1">IF(H58="转让取得",C81,C97)</f>
        <v>105</v>
      </c>
      <c r="E58" s="2019" t="s">
        <v>1564</v>
      </c>
      <c r="F58" s="235" t="s">
        <v>48</v>
      </c>
      <c r="G58" s="2493"/>
      <c r="H58" s="2495" t="s">
        <v>1570</v>
      </c>
      <c r="I58" s="2899"/>
      <c r="J58" s="2772"/>
      <c r="K58" s="3424"/>
      <c r="L58" s="3424"/>
      <c r="M58" s="2461" t="s">
        <v>2518</v>
      </c>
      <c r="N58" s="2465"/>
      <c r="O58" s="2466" t="str">
        <f ca="1">IF(H19="元",NUMBERSTRING(INT(O57),2)&amp;"元整",NUMBERSTRING(INT(O57*10000),2)&amp;"元整")</f>
        <v>壹拾万元整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175</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壹佰柒拾伍万元整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15572</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176</v>
      </c>
      <c r="D63" s="47"/>
      <c r="E63" s="48"/>
      <c r="F63" s="2900"/>
      <c r="G63" s="2900"/>
      <c r="H63" s="2902"/>
      <c r="I63" s="31"/>
      <c r="K63" s="3443" t="s">
        <v>2521</v>
      </c>
      <c r="L63" s="2475" t="s">
        <v>2522</v>
      </c>
      <c r="M63" s="2475">
        <f ca="1">IF(N49&gt;10000,N49*0.5%,IF(AND(N49&gt;1000,N49&lt;=10000),N49*1%,IF(AND(N49&gt;100,N49&lt;=1000),N49*3%,IF(AND(N49&gt;10,N49&lt;=100),N49*5%,N49*8%))))</f>
        <v>5.55</v>
      </c>
      <c r="N63" s="2476">
        <f ca="1">ROUND(M63,1)</f>
        <v>5.6</v>
      </c>
      <c r="O63" s="2474"/>
      <c r="P63" s="2474"/>
      <c r="Q63" s="1235"/>
    </row>
    <row r="64" spans="1:17" ht="12.75">
      <c r="A64" s="49" t="s">
        <v>71</v>
      </c>
      <c r="B64" s="50" t="s">
        <v>1582</v>
      </c>
      <c r="C64" s="2704">
        <f ca="1">D45</f>
        <v>185</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1.6650000000000003</v>
      </c>
      <c r="N64" s="2476">
        <f t="shared" ref="N64:N65" ca="1" si="2">ROUND(M64,1)</f>
        <v>1.7</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1.85</v>
      </c>
      <c r="N65" s="2476">
        <f t="shared" ca="1" si="2"/>
        <v>1.9</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0.92500000000000004</v>
      </c>
      <c r="N66" s="2476">
        <f ca="1">IF(M66&gt;0.5,0.5,ROUND(M66,0))</f>
        <v>0.5</v>
      </c>
      <c r="O66" s="2474" t="s">
        <v>2527</v>
      </c>
      <c r="P66" s="2474"/>
      <c r="Q66" s="1235"/>
    </row>
    <row r="67" spans="1:36" ht="12.75">
      <c r="A67" s="53" t="s">
        <v>42</v>
      </c>
      <c r="B67" s="54" t="s">
        <v>1591</v>
      </c>
      <c r="C67" s="2707">
        <f ca="1">C63-C66</f>
        <v>176</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0.71250000000000002</v>
      </c>
      <c r="N67" s="2476">
        <f ca="1">ROUND(M67*0.9,1)</f>
        <v>0.6</v>
      </c>
      <c r="O67" s="2474"/>
      <c r="P67" s="2474"/>
      <c r="Q67" s="1235"/>
    </row>
    <row r="68" spans="1:36" ht="13.5" thickBot="1">
      <c r="A68" s="55" t="s">
        <v>46</v>
      </c>
      <c r="B68" s="56" t="s">
        <v>1593</v>
      </c>
      <c r="C68" s="2708">
        <f ca="1">IF(C67&lt;=0,0,ROUND(C67*D68,0))</f>
        <v>10</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9.25</v>
      </c>
      <c r="N68" s="2476">
        <f ca="1">ROUND(M68,1)</f>
        <v>9.3000000000000007</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20</v>
      </c>
      <c r="O69" s="2477">
        <f ca="1">N69/N49</f>
        <v>0.10810810810810811</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176</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175</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105</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176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175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105</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177</v>
      </c>
      <c r="D101" s="2726">
        <f ca="1">D19</f>
        <v>193</v>
      </c>
      <c r="E101" s="1388"/>
      <c r="F101" s="3468" t="str">
        <f>项目基本情况!I1</f>
        <v>北京市房地产</v>
      </c>
      <c r="G101" s="3470"/>
      <c r="H101" s="3472">
        <f>项目基本情况!C12</f>
        <v>112.38</v>
      </c>
      <c r="I101" s="3469"/>
      <c r="J101" s="2779"/>
    </row>
    <row r="102" spans="1:36" ht="12.75">
      <c r="A102" s="3485"/>
      <c r="B102" s="2234" t="s">
        <v>2569</v>
      </c>
      <c r="C102" s="2727">
        <f ca="1">C20</f>
        <v>15723</v>
      </c>
      <c r="D102" s="2728">
        <f ca="1">D20</f>
        <v>17193</v>
      </c>
      <c r="E102" s="1388"/>
      <c r="F102" s="3455" t="s">
        <v>2565</v>
      </c>
      <c r="G102" s="3456"/>
      <c r="H102" s="2736" t="str">
        <f>C106</f>
        <v>总价（万元）</v>
      </c>
      <c r="I102" s="2737">
        <f ca="1">H121</f>
        <v>185</v>
      </c>
      <c r="J102" s="2779"/>
    </row>
    <row r="103" spans="1:36" ht="12.75">
      <c r="A103" s="3485" t="s">
        <v>2570</v>
      </c>
      <c r="B103" s="2172" t="str">
        <f>B101</f>
        <v>总价（万元）</v>
      </c>
      <c r="C103" s="2731">
        <f ca="1">H121</f>
        <v>185</v>
      </c>
      <c r="D103" s="2729"/>
      <c r="E103" s="1388"/>
      <c r="F103" s="3455"/>
      <c r="G103" s="3456"/>
      <c r="H103" s="2736" t="s">
        <v>2538</v>
      </c>
      <c r="I103" s="52">
        <f ca="1">I121</f>
        <v>16458</v>
      </c>
      <c r="J103" s="2763"/>
    </row>
    <row r="104" spans="1:36" ht="13.5" thickBot="1">
      <c r="A104" s="3486"/>
      <c r="B104" s="2733" t="s">
        <v>2569</v>
      </c>
      <c r="C104" s="2734">
        <f ca="1">I121</f>
        <v>16458</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185</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16458</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185</v>
      </c>
      <c r="J110" s="2779"/>
    </row>
    <row r="111" spans="1:36" ht="12.75">
      <c r="A111" s="3457" t="s">
        <v>2543</v>
      </c>
      <c r="B111" s="3458"/>
      <c r="C111" s="2738" t="str">
        <f>C108</f>
        <v>总额（万元）</v>
      </c>
      <c r="D111" s="52">
        <f>C38</f>
        <v>0</v>
      </c>
      <c r="E111" s="1388"/>
      <c r="F111" s="3440"/>
      <c r="G111" s="3441"/>
      <c r="H111" s="2736" t="s">
        <v>2538</v>
      </c>
      <c r="I111" s="2740">
        <f ca="1">D113</f>
        <v>16458</v>
      </c>
      <c r="J111" s="2782"/>
    </row>
    <row r="112" spans="1:36" ht="26.25" customHeight="1">
      <c r="A112" s="3455" t="str">
        <f>IF(项目基本情况!F5="已注销","——","3.房地产抵押价值")</f>
        <v>3.房地产抵押价值</v>
      </c>
      <c r="B112" s="3456"/>
      <c r="C112" s="2736" t="str">
        <f>B101</f>
        <v>总价（万元）</v>
      </c>
      <c r="D112" s="2737">
        <f ca="1">IF(A112="——","——",D106-D108)</f>
        <v>185</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16458</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114</v>
      </c>
      <c r="E121" s="2019">
        <f ca="1">ROUND(IF(B32="楼面单价",C34,IF(H19="元",D121/B121,D121*10000/B121)),0)</f>
        <v>10188</v>
      </c>
      <c r="F121" s="2019">
        <f ca="1">ROUND(IF(B32="总价",C35,IF('数据-取费表'!B3="万元",G121*B121/10000,G121*B121)),0)</f>
        <v>70</v>
      </c>
      <c r="G121" s="2019">
        <f ca="1">ROUND(IF(B32="楼面单价",C35,IF(H19="元",F121/B121,F121*10000/B121)),0)</f>
        <v>6270</v>
      </c>
      <c r="H121" s="2019">
        <f ca="1">ROUND(IF(B32="总价",C32,IF('数据-取费表'!B3="万元",I121*B121/10000,I121*B121)),0)</f>
        <v>185</v>
      </c>
      <c r="I121" s="52">
        <f ca="1">ROUND(IF(B32="楼面单价",C32,IF(H19="元",H121/B121,H121*10000/B121)),0)</f>
        <v>16458</v>
      </c>
      <c r="J121" s="2763"/>
    </row>
    <row r="122" spans="1:16" ht="12.75">
      <c r="A122" s="3448" t="s">
        <v>2555</v>
      </c>
      <c r="B122" s="3444"/>
      <c r="C122" s="3444"/>
      <c r="D122" s="3479" t="str">
        <f ca="1">IF(H19="元",NUMBERSTRING(INT(D121),2)&amp;"元整",NUMBERSTRING(INT(D121*10000),2)&amp;"元整")</f>
        <v>壹佰壹拾肆万元整</v>
      </c>
      <c r="E122" s="3480"/>
      <c r="F122" s="3479" t="str">
        <f ca="1">IF(H19="元",NUMBERSTRING(INT(F121),2)&amp;"元整",NUMBERSTRING(INT(F121*10000),2)&amp;"元整")</f>
        <v>柒拾万元整</v>
      </c>
      <c r="G122" s="3480"/>
      <c r="H122" s="3479" t="str">
        <f ca="1">IF(H19="元",NUMBERSTRING(INT(H121),2)&amp;"元整",NUMBERSTRING(INT(H121*10000),2)&amp;"元整")</f>
        <v>壹佰捌拾伍万元整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185</v>
      </c>
      <c r="E125" s="3481"/>
      <c r="F125" s="3481"/>
      <c r="G125" s="3481"/>
      <c r="H125" s="3481"/>
      <c r="I125" s="3469"/>
      <c r="J125" s="2779"/>
    </row>
    <row r="126" spans="1:16" ht="12.75">
      <c r="A126" s="3448" t="s">
        <v>2555</v>
      </c>
      <c r="B126" s="3444"/>
      <c r="C126" s="3444"/>
      <c r="D126" s="3520">
        <f ca="1">I111</f>
        <v>16458</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16458</v>
      </c>
      <c r="D33" s="2480" t="s">
        <v>1649</v>
      </c>
      <c r="E33" s="905"/>
      <c r="F33" s="905"/>
      <c r="G33" s="905"/>
      <c r="H33" s="905"/>
      <c r="I33" s="905"/>
      <c r="J33" s="2764"/>
    </row>
    <row r="34" spans="1:16" ht="15">
      <c r="A34" s="1439" t="s">
        <v>1650</v>
      </c>
      <c r="B34" s="2695" t="s">
        <v>1651</v>
      </c>
      <c r="C34" s="2696">
        <f ca="1">典型户型修正!B2</f>
        <v>2366</v>
      </c>
      <c r="D34" s="2697" t="str">
        <f>IF('数据-取费表'!B3="万元","万元","元")</f>
        <v>万元</v>
      </c>
      <c r="E34" s="905"/>
      <c r="F34" s="905"/>
      <c r="G34" s="905"/>
      <c r="H34" s="905"/>
      <c r="I34" s="905"/>
      <c r="J34" s="2764"/>
    </row>
    <row r="35" spans="1:16" ht="15.75" thickBot="1">
      <c r="A35" s="1440"/>
      <c r="B35" s="2698" t="s">
        <v>1652</v>
      </c>
      <c r="C35" s="2647">
        <f ca="1">典型户型修正!B3</f>
        <v>16338</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2366</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124</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2366</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2366</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124</v>
      </c>
      <c r="E54" s="2019" t="s">
        <v>1553</v>
      </c>
      <c r="F54" s="2492">
        <f>'数据-取费表'!E29</f>
        <v>5.5000000000000007E-2</v>
      </c>
      <c r="G54" s="2493"/>
      <c r="H54" s="905"/>
      <c r="I54" s="2897"/>
      <c r="J54" s="2772"/>
      <c r="K54" s="2430">
        <v>1</v>
      </c>
      <c r="L54" s="3536" t="s">
        <v>1554</v>
      </c>
      <c r="M54" s="3536"/>
      <c r="N54" s="2432">
        <f ca="1">D50</f>
        <v>124</v>
      </c>
      <c r="O54" s="2430" t="str">
        <f>E50</f>
        <v>销售额×税（费）率</v>
      </c>
      <c r="P54" s="2433">
        <f>F50</f>
        <v>5.5000000000000007E-2</v>
      </c>
    </row>
    <row r="55" spans="1:17" ht="12" customHeight="1">
      <c r="A55" s="2009" t="s">
        <v>1555</v>
      </c>
      <c r="B55" s="3495" t="s">
        <v>2591</v>
      </c>
      <c r="C55" s="3484"/>
      <c r="D55" s="1027">
        <f ca="1">ROUND(D47*'数据-取费表'!E29/(1+'数据-取费表'!F30),0)</f>
        <v>124</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124</v>
      </c>
      <c r="E56" s="264" t="s">
        <v>1558</v>
      </c>
      <c r="F56" s="2492">
        <f>'数据-取费表'!E29</f>
        <v>5.5000000000000007E-2</v>
      </c>
      <c r="G56" s="2493"/>
      <c r="H56" s="2898"/>
      <c r="I56" s="2897"/>
      <c r="J56" s="2772"/>
      <c r="K56" s="2430">
        <v>3</v>
      </c>
      <c r="L56" s="3536" t="s">
        <v>1559</v>
      </c>
      <c r="M56" s="3536"/>
      <c r="N56" s="2432">
        <f t="shared" ca="1" si="1"/>
        <v>1341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24</v>
      </c>
      <c r="O57" s="2436" t="str">
        <f>E61</f>
        <v>销售额×税（费）率</v>
      </c>
      <c r="P57" s="2437">
        <f>F61</f>
        <v>0.01</v>
      </c>
    </row>
    <row r="58" spans="1:17" ht="24.75">
      <c r="A58" s="3448" t="s">
        <v>1563</v>
      </c>
      <c r="B58" s="3444"/>
      <c r="C58" s="3444"/>
      <c r="D58" s="12">
        <f ca="1">IF(H58="个人住宅",D59,D60)</f>
        <v>1341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1490</v>
      </c>
      <c r="P59" s="2441"/>
      <c r="Q59" s="1233">
        <f ca="1">O59/N51</f>
        <v>0.62975486052409124</v>
      </c>
    </row>
    <row r="60" spans="1:17" ht="24.75">
      <c r="A60" s="2009" t="s">
        <v>1551</v>
      </c>
      <c r="B60" s="3495" t="s">
        <v>1569</v>
      </c>
      <c r="C60" s="3483"/>
      <c r="D60" s="12">
        <f ca="1">IF(H60="转让取得",C83,C99)</f>
        <v>1341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壹仟肆佰玖拾万元整</v>
      </c>
      <c r="P60" s="2444"/>
    </row>
    <row r="61" spans="1:17" ht="26.25" thickBot="1">
      <c r="A61" s="3511" t="s">
        <v>1572</v>
      </c>
      <c r="B61" s="3512"/>
      <c r="C61" s="3512"/>
      <c r="D61" s="69">
        <f ca="1">IF(H61="非个人房产","——",IF(H61="个人住宅（满五唯一有凭证）",0,IF(H61="个人其他（无凭证）",ROUND(D47*F61,0),ROUND(C69*F61,0))))</f>
        <v>24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876</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捌佰柒拾陆万元整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77950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2253</v>
      </c>
      <c r="D65" s="47"/>
      <c r="E65" s="48"/>
      <c r="F65" s="2899"/>
      <c r="G65" s="2899"/>
      <c r="H65" s="2894"/>
      <c r="I65" s="905"/>
      <c r="J65" s="2764"/>
      <c r="K65" s="3532" t="s">
        <v>1580</v>
      </c>
      <c r="L65" s="1234" t="s">
        <v>1581</v>
      </c>
      <c r="M65" s="1234">
        <f ca="1">IF(N51&gt;10000,N51*0.5%,IF(AND(N51&gt;1000,N51&lt;=10000),N51*1%,IF(AND(N51&gt;100,N51&lt;=1000),N51*3%,IF(AND(N51&gt;10,N51&lt;=100),N51*5%,N51*8%))))</f>
        <v>23.66</v>
      </c>
      <c r="N65" s="235">
        <f ca="1">ROUND(M65,1)</f>
        <v>23.7</v>
      </c>
      <c r="O65" s="2451"/>
    </row>
    <row r="66" spans="1:36" ht="12.75">
      <c r="A66" s="49" t="s">
        <v>71</v>
      </c>
      <c r="B66" s="50" t="s">
        <v>1582</v>
      </c>
      <c r="C66" s="2704">
        <f ca="1">D47</f>
        <v>2366</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11.83</v>
      </c>
      <c r="N66" s="235">
        <f t="shared" ref="N66:N67" ca="1" si="2">ROUND(M66,1)</f>
        <v>11.8</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2.3660000000000001</v>
      </c>
      <c r="N67" s="235">
        <f t="shared" ca="1" si="2"/>
        <v>2.4</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11.83</v>
      </c>
      <c r="N68" s="235">
        <f ca="1">IF(M68&gt;0.5,0.5,ROUND(M68,0))</f>
        <v>0.5</v>
      </c>
      <c r="O68" s="2451" t="s">
        <v>1590</v>
      </c>
    </row>
    <row r="69" spans="1:36" ht="12.75">
      <c r="A69" s="53" t="s">
        <v>42</v>
      </c>
      <c r="B69" s="54" t="s">
        <v>1591</v>
      </c>
      <c r="C69" s="2707">
        <f ca="1">C65-C68</f>
        <v>2253</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124</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47.32</v>
      </c>
      <c r="N70" s="235">
        <f ca="1">ROUND(M70,1)</f>
        <v>47.3</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88</v>
      </c>
      <c r="O71" s="2452">
        <f ca="1">N71/N51</f>
        <v>3.7193575655114115E-2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2253</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2242</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203.81818181818181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1341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2253</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2242</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203.81818181818181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1341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2366</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16338</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2366</v>
      </c>
      <c r="D107" s="2732"/>
      <c r="E107" s="1388"/>
      <c r="F107" s="3491" t="s">
        <v>2539</v>
      </c>
      <c r="G107" s="3492"/>
      <c r="H107" s="2738" t="str">
        <f>C112</f>
        <v>总额（万元）</v>
      </c>
      <c r="I107" s="2737">
        <f>SUMIF(I108:I110,"&lt;9E307")</f>
        <v>0</v>
      </c>
      <c r="J107" s="2779"/>
    </row>
    <row r="108" spans="1:36" ht="15" thickBot="1">
      <c r="A108" s="3486"/>
      <c r="B108" s="2733" t="s">
        <v>2531</v>
      </c>
      <c r="C108" s="2734">
        <f ca="1">I125</f>
        <v>16338</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2366</v>
      </c>
      <c r="E110" s="1388"/>
      <c r="F110" s="3457" t="s">
        <v>2542</v>
      </c>
      <c r="G110" s="3458"/>
      <c r="H110" s="2738" t="str">
        <f>C115</f>
        <v>总额（万元）</v>
      </c>
      <c r="I110" s="52">
        <f>C40</f>
        <v>0</v>
      </c>
      <c r="J110" s="2763"/>
    </row>
    <row r="111" spans="1:36" ht="12.75">
      <c r="A111" s="3455"/>
      <c r="B111" s="3456"/>
      <c r="C111" s="2736" t="s">
        <v>2545</v>
      </c>
      <c r="D111" s="52">
        <f ca="1">I125</f>
        <v>16338</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2366</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16338</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2366</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16338</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2366</v>
      </c>
      <c r="I125" s="52">
        <f ca="1">C35</f>
        <v>16338</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贰仟叁佰陆拾陆万元整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2366</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16338</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15723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20707</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60066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177732</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177732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1043934</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24271</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23564</v>
      </c>
      <c r="D42" s="104"/>
      <c r="E42" s="104"/>
      <c r="F42" s="105"/>
      <c r="G42" s="3561" t="s">
        <v>1745</v>
      </c>
    </row>
    <row r="43" spans="1:123" ht="13.5" customHeight="1">
      <c r="A43" s="92" t="s">
        <v>1685</v>
      </c>
      <c r="B43" s="93" t="s">
        <v>1714</v>
      </c>
      <c r="C43" s="104">
        <f ca="1">ROUND(IF('数据-取费表'!B24&lt;=1,C39*F22*'数据-取费表'!B23/2,C39*(POWER((1+F22),'数据-取费表'!B23/2)-1)),0)</f>
        <v>707</v>
      </c>
      <c r="D43" s="104"/>
      <c r="E43" s="104"/>
      <c r="F43" s="105"/>
      <c r="G43" s="3562"/>
    </row>
    <row r="44" spans="1:123" ht="13.5" customHeight="1">
      <c r="A44" s="92" t="s">
        <v>1687</v>
      </c>
      <c r="B44" s="93" t="s">
        <v>1716</v>
      </c>
      <c r="C44" s="104">
        <f ca="1">ROUND(IF('数据-取费表'!B24&lt;=1,C40*F22*'数据-取费表'!B23/2,C40*(POWER((1+F22),'数据-取费表'!B23/2)-1)),4)</f>
        <v>1.2999999999999999E-3</v>
      </c>
      <c r="D44" s="104"/>
      <c r="E44" s="104"/>
      <c r="F44" s="105"/>
      <c r="G44" s="3563"/>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821560</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722973</v>
      </c>
      <c r="D51" s="99"/>
      <c r="E51" s="99"/>
      <c r="F51" s="126"/>
      <c r="G51" s="100" t="s">
        <v>1759</v>
      </c>
    </row>
    <row r="52" spans="1:123" s="88" customFormat="1" ht="16.5" thickBot="1">
      <c r="A52" s="127" t="s">
        <v>1760</v>
      </c>
      <c r="B52" s="128"/>
      <c r="C52" s="129">
        <f ca="1">C31+C51</f>
        <v>1766907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0.40899999999999997</v>
      </c>
    </row>
    <row r="57" spans="1:123">
      <c r="B57" s="135" t="s">
        <v>1763</v>
      </c>
      <c r="C57" s="137">
        <f ca="1">1-C56</f>
        <v>0.59099999999999997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234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G33" sqref="G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193</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17193</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722973</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821560</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6901</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 ca="1">IF(项目基本情况!B7="自然人","——",IF(K19="按租金收入计税",ROUND(J6*M19/(1+'数据-取费表'!F30),0),ROUND(C29*M19*0.7,0)))</f>
        <v>6901</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4108</v>
      </c>
      <c r="K22" s="1258"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24271</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821560</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24398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46993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4108</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0.54300000000000004</v>
      </c>
      <c r="K38" s="906"/>
      <c r="L38" s="901"/>
      <c r="M38" s="901"/>
    </row>
    <row r="39" spans="1:18" ht="18" customHeight="1" thickTop="1">
      <c r="A39" s="1020" t="s">
        <v>22</v>
      </c>
      <c r="B39" s="1035" t="s">
        <v>1885</v>
      </c>
      <c r="C39" s="243">
        <f ca="1">C5-C30</f>
        <v>86490</v>
      </c>
      <c r="D39" s="1036" t="s">
        <v>1886</v>
      </c>
      <c r="E39" s="1037"/>
      <c r="F39" s="1038"/>
      <c r="G39" s="652"/>
      <c r="H39" s="901"/>
      <c r="I39" s="280" t="s">
        <v>1887</v>
      </c>
      <c r="J39" s="136">
        <f ca="1">1-J38</f>
        <v>0.45699999999999996</v>
      </c>
      <c r="K39" s="906"/>
      <c r="L39" s="901"/>
      <c r="M39" s="901"/>
    </row>
    <row r="40" spans="1:18" s="652" customFormat="1" ht="18" customHeight="1">
      <c r="A40" s="232" t="s">
        <v>23</v>
      </c>
      <c r="B40" s="233" t="s">
        <v>1888</v>
      </c>
      <c r="C40" s="234">
        <f ca="1">ROUND(C39*(1-((1+F42)/(1+F40))^F41)/(F40-F42),0)</f>
        <v>1896899</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0.38100000000000001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0.61899999999999999</v>
      </c>
      <c r="K42" s="905"/>
      <c r="L42" s="908"/>
      <c r="M42" s="908"/>
      <c r="Q42" s="656"/>
    </row>
    <row r="43" spans="1:18" s="652" customFormat="1" ht="18" customHeight="1" thickBot="1">
      <c r="A43" s="271" t="s">
        <v>24</v>
      </c>
      <c r="B43" s="272" t="s">
        <v>1891</v>
      </c>
      <c r="C43" s="273">
        <f ca="1">ROUND(C40/F43,0)</f>
        <v>16879</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1896899</v>
      </c>
      <c r="R45" s="1007" t="s">
        <v>1900</v>
      </c>
    </row>
    <row r="46" spans="1:18" s="652" customFormat="1" ht="18" customHeight="1" thickBot="1">
      <c r="A46" s="649"/>
      <c r="D46" s="649"/>
      <c r="E46" s="649"/>
      <c r="F46" s="649"/>
      <c r="K46" s="653"/>
      <c r="O46" s="1004" t="s">
        <v>768</v>
      </c>
      <c r="P46" s="1005" t="s">
        <v>1901</v>
      </c>
      <c r="Q46" s="1006">
        <f ca="1">J61</f>
        <v>35288</v>
      </c>
      <c r="R46" s="1007" t="s">
        <v>1902</v>
      </c>
    </row>
    <row r="47" spans="1:18" s="652" customFormat="1" ht="21.75" thickBot="1">
      <c r="A47" s="1454" t="s">
        <v>1903</v>
      </c>
      <c r="C47" s="950">
        <f ca="1">IF(C2="元",C69-C40,ROUND((C69-C40)/10000,0))</f>
        <v>-308</v>
      </c>
      <c r="D47" s="1455" t="str">
        <f>C2</f>
        <v>万元</v>
      </c>
      <c r="E47" s="649"/>
      <c r="F47" s="649"/>
      <c r="I47" s="1456" t="s">
        <v>1904</v>
      </c>
      <c r="J47" s="980"/>
      <c r="K47" s="981"/>
      <c r="L47" s="994">
        <f ca="1">IF(M48="住宅",0,IF(L49&gt;J52,L61,J61))</f>
        <v>35288</v>
      </c>
      <c r="O47" s="1008" t="s">
        <v>769</v>
      </c>
      <c r="P47" s="1005" t="s">
        <v>1905</v>
      </c>
      <c r="Q47" s="1006">
        <f ca="1">C29</f>
        <v>821560</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193</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37120846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1896899</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0.33400000000000002</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722973</v>
      </c>
      <c r="D57" s="941"/>
      <c r="E57" s="942"/>
      <c r="F57" s="949"/>
      <c r="I57" s="1474" t="s">
        <v>1936</v>
      </c>
      <c r="J57" s="992" t="s">
        <v>3037</v>
      </c>
      <c r="K57" s="1460" t="s">
        <v>1937</v>
      </c>
      <c r="L57" s="821" t="str">
        <f>IF(L49&lt;J52,"——",L49-J52)</f>
        <v>——</v>
      </c>
      <c r="O57" s="1008" t="s">
        <v>770</v>
      </c>
      <c r="P57" s="1005" t="s">
        <v>1938</v>
      </c>
      <c r="Q57" s="1009">
        <f>L53</f>
        <v>0</v>
      </c>
      <c r="R57" s="1007"/>
    </row>
    <row r="58" spans="1:18" s="652" customFormat="1" ht="29.25" thickBot="1">
      <c r="A58" s="948"/>
      <c r="B58" s="235" t="s">
        <v>1868</v>
      </c>
      <c r="C58" s="104">
        <f ca="1">C29</f>
        <v>821560</v>
      </c>
      <c r="D58" s="941"/>
      <c r="E58" s="942"/>
      <c r="F58" s="949"/>
      <c r="I58" s="1475" t="s">
        <v>1939</v>
      </c>
      <c r="J58" s="991">
        <f>IF(OR(M48="住宅",J52&lt;L49,J57="是"),"——",J52-L49)</f>
        <v>20.020000000000003</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73842</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69011</v>
      </c>
      <c r="D60" s="1255" t="s">
        <v>1873</v>
      </c>
      <c r="E60" s="1258" t="s">
        <v>1874</v>
      </c>
      <c r="F60" s="2743" t="str">
        <f>IF(项目基本情况!B7="企业","——",IF('数据-取费表'!B10="住宅",IF(F50*F51*F52/12/(1+'数据-取费表'!F30)&gt;100000,4%,2.5%),IF(F50*F51*F52/12/(1+'数据-取费表'!F30)&gt;100000,12%,7%)))</f>
        <v>——</v>
      </c>
      <c r="I60" s="1475" t="s">
        <v>1946</v>
      </c>
      <c r="J60" s="991">
        <f ca="1">IF(OR(M48="住宅",J52&lt;L49,J57="是"),"——",ROUND(C29*J59,0))</f>
        <v>328624</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190</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 ca="1">IF(OR(M48="住宅",J52&lt;L49,J57="是"),"0",ROUND(J60/(1+J53)^J54,0))</f>
        <v>35288</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69011</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1896899</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4108</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37120846</v>
      </c>
      <c r="R65" s="1011" t="s">
        <v>1962</v>
      </c>
    </row>
    <row r="66" spans="1:18" s="652" customFormat="1" ht="20.25" thickBot="1">
      <c r="A66" s="253" t="s">
        <v>20</v>
      </c>
      <c r="B66" s="235" t="s">
        <v>1840</v>
      </c>
      <c r="C66" s="13">
        <f ca="1">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39497</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86490</v>
      </c>
      <c r="R67" s="1007" t="s">
        <v>1900</v>
      </c>
    </row>
    <row r="68" spans="1:18" ht="15.75" thickBot="1">
      <c r="A68" s="248" t="s">
        <v>22</v>
      </c>
      <c r="B68" s="41" t="s">
        <v>1850</v>
      </c>
      <c r="C68" s="250">
        <f ca="1">C49-C59</f>
        <v>-73842</v>
      </c>
      <c r="D68" s="1255" t="s">
        <v>1851</v>
      </c>
      <c r="E68" s="1257"/>
      <c r="F68" s="268"/>
      <c r="H68" s="652"/>
      <c r="I68" s="652"/>
      <c r="J68" s="652"/>
      <c r="K68" s="652"/>
      <c r="L68" s="652"/>
      <c r="M68" s="652"/>
      <c r="O68" s="1008" t="s">
        <v>776</v>
      </c>
      <c r="P68" s="1012" t="s">
        <v>1966</v>
      </c>
      <c r="Q68" s="1006">
        <f ca="1">C13</f>
        <v>722973</v>
      </c>
      <c r="R68" s="1007" t="s">
        <v>1900</v>
      </c>
    </row>
    <row r="69" spans="1:18" ht="15.75" thickBot="1">
      <c r="A69" s="232" t="s">
        <v>23</v>
      </c>
      <c r="B69" s="233" t="s">
        <v>1888</v>
      </c>
      <c r="C69" s="234">
        <f ca="1">ROUND(C68*(1-((1+F71)/(1+F69))^F70)/(F69-F71),0)</f>
        <v>-1181372</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-10512</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190</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1" sqref="D1:M1048576"/>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2366</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16338</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3095</v>
      </c>
      <c r="C18" s="3330" t="s">
        <v>3096</v>
      </c>
      <c r="D18" s="3331" t="s">
        <v>3097</v>
      </c>
      <c r="E18" s="3331" t="s">
        <v>3098</v>
      </c>
      <c r="F18" s="3331" t="s">
        <v>3099</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2366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16338</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16338</v>
      </c>
      <c r="S25" s="13">
        <f ca="1">SUM(S27:S10000)</f>
        <v>23660867</v>
      </c>
      <c r="T25" s="13">
        <f ca="1">SUM(T27:T10000)</f>
        <v>2366</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16458</v>
      </c>
      <c r="S27" s="600">
        <f ca="1">ROUND(R27*B27,0)</f>
        <v>1849550</v>
      </c>
      <c r="T27" s="600">
        <f ca="1">ROUND(R27*B27/10000,0)</f>
        <v>185</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16451</v>
      </c>
      <c r="S28" s="250">
        <f ca="1">ROUND(R28*B28,0)</f>
        <v>1391919</v>
      </c>
      <c r="T28" s="859">
        <f ca="1">ROUND(R28*B28/10000,0)</f>
        <v>139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1</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16774</v>
      </c>
      <c r="S29" s="250">
        <f t="shared" ref="S29:S92" ca="1" si="27">ROUND(R29*B29,0)</f>
        <v>1419248</v>
      </c>
      <c r="T29" s="859">
        <f t="shared" ref="T29:T92" ca="1" si="28">ROUND(R29*B29/10000,0)</f>
        <v>142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16129</v>
      </c>
      <c r="S30" s="250">
        <f t="shared" ca="1" si="27"/>
        <v>1319191</v>
      </c>
      <c r="T30" s="859">
        <f t="shared" ca="1" si="28"/>
        <v>132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16129</v>
      </c>
      <c r="S31" s="250">
        <f t="shared" ca="1" si="27"/>
        <v>1699513</v>
      </c>
      <c r="T31" s="859">
        <f t="shared" ca="1" si="28"/>
        <v>170</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1</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16129</v>
      </c>
      <c r="S32" s="250">
        <f t="shared" ca="1" si="27"/>
        <v>1364675</v>
      </c>
      <c r="T32" s="859">
        <f t="shared" ca="1" si="28"/>
        <v>136</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16129</v>
      </c>
      <c r="S33" s="250">
        <f t="shared" ca="1" si="27"/>
        <v>1699513</v>
      </c>
      <c r="T33" s="859">
        <f t="shared" ca="1" si="28"/>
        <v>170</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1</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16129</v>
      </c>
      <c r="S34" s="250">
        <f t="shared" ca="1" si="27"/>
        <v>1364675</v>
      </c>
      <c r="T34" s="859">
        <f t="shared" ca="1" si="28"/>
        <v>136</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1</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16129</v>
      </c>
      <c r="S35" s="250">
        <f t="shared" ca="1" si="27"/>
        <v>1410158</v>
      </c>
      <c r="T35" s="859">
        <f t="shared" ca="1" si="28"/>
        <v>141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16129</v>
      </c>
      <c r="S36" s="250">
        <f t="shared" ca="1" si="27"/>
        <v>1699513</v>
      </c>
      <c r="T36" s="859">
        <f t="shared" ca="1" si="28"/>
        <v>170</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1</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16129</v>
      </c>
      <c r="S37" s="250">
        <f t="shared" ca="1" si="27"/>
        <v>1410158</v>
      </c>
      <c r="T37" s="859">
        <f t="shared" ca="1" si="28"/>
        <v>141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1</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16129</v>
      </c>
      <c r="S38" s="250">
        <f t="shared" ca="1" si="27"/>
        <v>1410158</v>
      </c>
      <c r="T38" s="859">
        <f t="shared" ca="1" si="28"/>
        <v>141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16458</v>
      </c>
      <c r="S39" s="250">
        <f t="shared" ca="1" si="27"/>
        <v>1849550</v>
      </c>
      <c r="T39" s="859">
        <f t="shared" ca="1" si="28"/>
        <v>185</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16787</v>
      </c>
      <c r="S40" s="250">
        <f t="shared" ca="1" si="27"/>
        <v>1886523</v>
      </c>
      <c r="T40" s="859">
        <f t="shared" ca="1" si="28"/>
        <v>189</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16787</v>
      </c>
      <c r="S41" s="250">
        <f t="shared" ca="1" si="27"/>
        <v>1886523</v>
      </c>
      <c r="T41" s="859">
        <f t="shared" ca="1" si="28"/>
        <v>189</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4"/>
  <sheetViews>
    <sheetView topLeftCell="B1" workbookViewId="0">
      <selection activeCell="G29" sqref="G29"/>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3101</v>
      </c>
    </row>
    <row r="3" spans="1:9">
      <c r="B3" s="3323" t="s">
        <v>3102</v>
      </c>
    </row>
    <row r="4" spans="1:9">
      <c r="B4" s="3323" t="s">
        <v>3103</v>
      </c>
    </row>
    <row r="10" spans="1:9">
      <c r="B10" s="3328" t="s">
        <v>3046</v>
      </c>
      <c r="C10" s="3328" t="s">
        <v>3045</v>
      </c>
      <c r="D10" s="3328" t="s">
        <v>3090</v>
      </c>
      <c r="E10" s="3328" t="s">
        <v>3047</v>
      </c>
      <c r="F10" s="3328" t="s">
        <v>3092</v>
      </c>
      <c r="G10" s="3328" t="s">
        <v>3089</v>
      </c>
      <c r="H10" s="3328" t="s">
        <v>3091</v>
      </c>
      <c r="I10" s="3328" t="s">
        <v>3088</v>
      </c>
    </row>
    <row r="11" spans="1:9">
      <c r="A11" s="3324">
        <v>1</v>
      </c>
      <c r="B11" s="3328" t="s">
        <v>3049</v>
      </c>
      <c r="C11" s="3328" t="s">
        <v>3050</v>
      </c>
      <c r="D11" s="3328">
        <v>112.38</v>
      </c>
      <c r="E11" s="3328" t="s">
        <v>3048</v>
      </c>
      <c r="F11" s="3328" t="s">
        <v>3093</v>
      </c>
      <c r="G11" s="3328">
        <f ca="1">典型户型修正!T27</f>
        <v>185</v>
      </c>
      <c r="H11" s="3328">
        <f ca="1">典型户型修正!R27</f>
        <v>16458</v>
      </c>
      <c r="I11" s="3328"/>
    </row>
    <row r="12" spans="1:9">
      <c r="A12" s="3324">
        <v>2</v>
      </c>
      <c r="B12" s="3328" t="s">
        <v>3051</v>
      </c>
      <c r="C12" s="3328" t="s">
        <v>3052</v>
      </c>
      <c r="D12" s="3328">
        <v>84.61</v>
      </c>
      <c r="E12" s="3328" t="s">
        <v>3053</v>
      </c>
      <c r="F12" s="3328" t="s">
        <v>3100</v>
      </c>
      <c r="G12" s="3328">
        <f ca="1">典型户型修正!T28</f>
        <v>139</v>
      </c>
      <c r="H12" s="3328">
        <f ca="1">典型户型修正!R28</f>
        <v>16451</v>
      </c>
      <c r="I12" s="3328"/>
    </row>
    <row r="13" spans="1:9">
      <c r="A13" s="3324">
        <v>3</v>
      </c>
      <c r="B13" s="3328" t="s">
        <v>3054</v>
      </c>
      <c r="C13" s="3328" t="s">
        <v>3055</v>
      </c>
      <c r="D13" s="3328">
        <v>84.61</v>
      </c>
      <c r="E13" s="3328" t="s">
        <v>3053</v>
      </c>
      <c r="F13" s="3328" t="s">
        <v>3094</v>
      </c>
      <c r="G13" s="3328">
        <f ca="1">典型户型修正!T29</f>
        <v>142</v>
      </c>
      <c r="H13" s="3328">
        <f ca="1">典型户型修正!R29</f>
        <v>16774</v>
      </c>
      <c r="I13" s="3328"/>
    </row>
    <row r="14" spans="1:9">
      <c r="A14" s="3324">
        <v>4</v>
      </c>
      <c r="B14" s="3328" t="s">
        <v>3056</v>
      </c>
      <c r="C14" s="3328" t="s">
        <v>3057</v>
      </c>
      <c r="D14" s="3328">
        <v>81.790000000000006</v>
      </c>
      <c r="E14" s="3328" t="s">
        <v>3058</v>
      </c>
      <c r="F14" s="3328" t="s">
        <v>3093</v>
      </c>
      <c r="G14" s="3328">
        <f ca="1">典型户型修正!T30</f>
        <v>132</v>
      </c>
      <c r="H14" s="3328">
        <f ca="1">典型户型修正!R30</f>
        <v>16129</v>
      </c>
      <c r="I14" s="3328"/>
    </row>
    <row r="15" spans="1:9">
      <c r="A15" s="3324">
        <v>5</v>
      </c>
      <c r="B15" s="3328" t="s">
        <v>3059</v>
      </c>
      <c r="C15" s="3328" t="s">
        <v>3060</v>
      </c>
      <c r="D15" s="3328">
        <v>105.37</v>
      </c>
      <c r="E15" s="3328" t="s">
        <v>3053</v>
      </c>
      <c r="F15" s="3328" t="s">
        <v>3093</v>
      </c>
      <c r="G15" s="3328">
        <f ca="1">典型户型修正!T31</f>
        <v>170</v>
      </c>
      <c r="H15" s="3328">
        <f ca="1">典型户型修正!R31</f>
        <v>16129</v>
      </c>
      <c r="I15" s="3328"/>
    </row>
    <row r="16" spans="1:9">
      <c r="A16" s="3324">
        <v>6</v>
      </c>
      <c r="B16" s="3328" t="s">
        <v>3061</v>
      </c>
      <c r="C16" s="3328" t="s">
        <v>3062</v>
      </c>
      <c r="D16" s="3328">
        <v>84.61</v>
      </c>
      <c r="E16" s="3328" t="s">
        <v>3053</v>
      </c>
      <c r="F16" s="3328" t="s">
        <v>3093</v>
      </c>
      <c r="G16" s="3328">
        <f ca="1">典型户型修正!T32</f>
        <v>136</v>
      </c>
      <c r="H16" s="3328">
        <f ca="1">典型户型修正!R32</f>
        <v>16129</v>
      </c>
      <c r="I16" s="3328"/>
    </row>
    <row r="17" spans="1:9">
      <c r="A17" s="3324">
        <v>7</v>
      </c>
      <c r="B17" s="3328" t="s">
        <v>3063</v>
      </c>
      <c r="C17" s="3328" t="s">
        <v>3064</v>
      </c>
      <c r="D17" s="3328">
        <v>105.37</v>
      </c>
      <c r="E17" s="3328" t="s">
        <v>3058</v>
      </c>
      <c r="F17" s="3328" t="s">
        <v>3093</v>
      </c>
      <c r="G17" s="3328">
        <f ca="1">典型户型修正!T33</f>
        <v>170</v>
      </c>
      <c r="H17" s="3328">
        <f ca="1">典型户型修正!R33</f>
        <v>16129</v>
      </c>
      <c r="I17" s="3328"/>
    </row>
    <row r="18" spans="1:9">
      <c r="A18" s="3324">
        <v>8</v>
      </c>
      <c r="B18" s="3328" t="s">
        <v>3065</v>
      </c>
      <c r="C18" s="3328" t="s">
        <v>3066</v>
      </c>
      <c r="D18" s="3328">
        <v>84.61</v>
      </c>
      <c r="E18" s="3328" t="s">
        <v>3053</v>
      </c>
      <c r="F18" s="3328" t="s">
        <v>3093</v>
      </c>
      <c r="G18" s="3328">
        <f ca="1">典型户型修正!T34</f>
        <v>136</v>
      </c>
      <c r="H18" s="3328">
        <f ca="1">典型户型修正!R34</f>
        <v>16129</v>
      </c>
      <c r="I18" s="3328"/>
    </row>
    <row r="19" spans="1:9">
      <c r="A19" s="3324">
        <v>9</v>
      </c>
      <c r="B19" s="3328" t="s">
        <v>3067</v>
      </c>
      <c r="C19" s="3328" t="s">
        <v>3068</v>
      </c>
      <c r="D19" s="3328">
        <v>87.43</v>
      </c>
      <c r="E19" s="3328" t="s">
        <v>3053</v>
      </c>
      <c r="F19" s="3328" t="s">
        <v>3093</v>
      </c>
      <c r="G19" s="3328">
        <f ca="1">典型户型修正!T35</f>
        <v>141</v>
      </c>
      <c r="H19" s="3328">
        <f ca="1">典型户型修正!R35</f>
        <v>16129</v>
      </c>
      <c r="I19" s="3328"/>
    </row>
    <row r="20" spans="1:9">
      <c r="A20" s="3324">
        <v>10</v>
      </c>
      <c r="B20" s="3328" t="s">
        <v>3069</v>
      </c>
      <c r="C20" s="3328" t="s">
        <v>3070</v>
      </c>
      <c r="D20" s="3328">
        <v>105.37</v>
      </c>
      <c r="E20" s="3328" t="s">
        <v>3071</v>
      </c>
      <c r="F20" s="3328" t="s">
        <v>3093</v>
      </c>
      <c r="G20" s="3328">
        <f ca="1">典型户型修正!T36</f>
        <v>170</v>
      </c>
      <c r="H20" s="3328">
        <f ca="1">典型户型修正!R36</f>
        <v>16129</v>
      </c>
      <c r="I20" s="3328"/>
    </row>
    <row r="21" spans="1:9">
      <c r="A21" s="3324">
        <v>11</v>
      </c>
      <c r="B21" s="3328" t="s">
        <v>3072</v>
      </c>
      <c r="C21" s="3328" t="s">
        <v>3073</v>
      </c>
      <c r="D21" s="3328">
        <v>87.43</v>
      </c>
      <c r="E21" s="3328" t="s">
        <v>3058</v>
      </c>
      <c r="F21" s="3328" t="s">
        <v>3093</v>
      </c>
      <c r="G21" s="3328">
        <f ca="1">典型户型修正!T37</f>
        <v>141</v>
      </c>
      <c r="H21" s="3328">
        <f ca="1">典型户型修正!R37</f>
        <v>16129</v>
      </c>
      <c r="I21" s="3328"/>
    </row>
    <row r="22" spans="1:9">
      <c r="A22" s="3324">
        <v>12</v>
      </c>
      <c r="B22" s="3328" t="s">
        <v>3074</v>
      </c>
      <c r="C22" s="3328" t="s">
        <v>3075</v>
      </c>
      <c r="D22" s="3328">
        <v>87.43</v>
      </c>
      <c r="E22" s="3328" t="s">
        <v>3058</v>
      </c>
      <c r="F22" s="3328" t="s">
        <v>3093</v>
      </c>
      <c r="G22" s="3328">
        <f ca="1">典型户型修正!T38</f>
        <v>141</v>
      </c>
      <c r="H22" s="3328">
        <f ca="1">典型户型修正!R38</f>
        <v>16129</v>
      </c>
      <c r="I22" s="3328"/>
    </row>
    <row r="23" spans="1:9">
      <c r="A23" s="3324">
        <v>13</v>
      </c>
      <c r="B23" s="3328" t="s">
        <v>3076</v>
      </c>
      <c r="C23" s="3328" t="s">
        <v>3077</v>
      </c>
      <c r="D23" s="3328">
        <v>112.38</v>
      </c>
      <c r="E23" s="3328" t="s">
        <v>3078</v>
      </c>
      <c r="F23" s="3328" t="s">
        <v>3093</v>
      </c>
      <c r="G23" s="3328">
        <f ca="1">典型户型修正!T39</f>
        <v>185</v>
      </c>
      <c r="H23" s="3328">
        <f ca="1">典型户型修正!R39</f>
        <v>16458</v>
      </c>
      <c r="I23" s="3328"/>
    </row>
    <row r="24" spans="1:9">
      <c r="A24" s="3324">
        <v>14</v>
      </c>
      <c r="B24" s="3328" t="s">
        <v>3079</v>
      </c>
      <c r="C24" s="3328" t="s">
        <v>3080</v>
      </c>
      <c r="D24" s="3328">
        <v>112.38</v>
      </c>
      <c r="E24" s="3328" t="s">
        <v>3104</v>
      </c>
      <c r="F24" s="3328" t="s">
        <v>3093</v>
      </c>
      <c r="G24" s="3328">
        <f ca="1">典型户型修正!T40</f>
        <v>189</v>
      </c>
      <c r="H24" s="3328">
        <f ca="1">典型户型修正!R40</f>
        <v>16787</v>
      </c>
      <c r="I24" s="3328"/>
    </row>
    <row r="25" spans="1:9">
      <c r="A25" s="3324">
        <v>15</v>
      </c>
      <c r="B25" s="3328" t="s">
        <v>3081</v>
      </c>
      <c r="C25" s="3328" t="s">
        <v>3082</v>
      </c>
      <c r="D25" s="3328">
        <v>112.38</v>
      </c>
      <c r="E25" s="3328" t="s">
        <v>3083</v>
      </c>
      <c r="F25" s="3328" t="s">
        <v>3093</v>
      </c>
      <c r="G25" s="3328">
        <f ca="1">典型户型修正!T41</f>
        <v>189</v>
      </c>
      <c r="H25" s="3328">
        <f ca="1">典型户型修正!R41</f>
        <v>16787</v>
      </c>
      <c r="I25" s="3328"/>
    </row>
    <row r="26" spans="1:9">
      <c r="B26" s="3738" t="s">
        <v>3087</v>
      </c>
      <c r="C26" s="3739"/>
      <c r="D26" s="3328">
        <f t="shared" ref="D26:G26" si="0">SUM(D11:D25)</f>
        <v>1448.15</v>
      </c>
      <c r="E26" s="3328">
        <f t="shared" si="0"/>
        <v>0</v>
      </c>
      <c r="F26" s="3328"/>
      <c r="G26" s="3328">
        <f t="shared" ca="1" si="0"/>
        <v>2366</v>
      </c>
      <c r="H26" s="3328"/>
      <c r="I26" s="3328">
        <f>SUM(I11:I25)</f>
        <v>0</v>
      </c>
    </row>
    <row r="33" spans="7:7">
      <c r="G33" s="3324">
        <f ca="1">G26/D26*10000</f>
        <v>16338.086524186028</v>
      </c>
    </row>
    <row r="34" spans="7:7">
      <c r="G34" s="3324">
        <f>2364/D26*10000</f>
        <v>16324.275800158823</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185</v>
      </c>
      <c r="E7" s="1286"/>
    </row>
    <row r="8" spans="1:5" ht="14.25">
      <c r="A8" s="1286"/>
      <c r="B8" s="3332"/>
      <c r="C8" s="1294" t="s">
        <v>924</v>
      </c>
      <c r="D8" s="1295" t="str">
        <f ca="1">IF('数据-取费表'!B3="万元",NUMBERSTRING(INT(D7*10000),2)&amp;"元整",NUMBERSTRING(INT(D7),2)&amp;"元整")</f>
        <v>壹佰捌拾伍万元整</v>
      </c>
      <c r="E8" s="1286"/>
    </row>
    <row r="9" spans="1:5" ht="14.25">
      <c r="A9" s="1286"/>
      <c r="B9" s="3332"/>
      <c r="C9" s="1296" t="s">
        <v>1020</v>
      </c>
      <c r="D9" s="1293">
        <f ca="1">IF('数据-取费表'!E3="否",结果表!I103,'结果表 (1修多)'!I105)</f>
        <v>16458</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185</v>
      </c>
      <c r="E15" s="1286"/>
    </row>
    <row r="16" spans="1:5" ht="14.25">
      <c r="A16" s="1286"/>
      <c r="B16" s="3339"/>
      <c r="C16" s="1294" t="s">
        <v>924</v>
      </c>
      <c r="D16" s="1293" t="str">
        <f ca="1">IF('数据-取费表'!B3="万元",NUMBERSTRING(INT(D15*10000),2)&amp;"元整",NUMBERSTRING(INT(D15),2)&amp;"元整")</f>
        <v>壹佰捌拾伍万元整</v>
      </c>
      <c r="E16" s="1286"/>
    </row>
    <row r="17" spans="1:5" ht="14.25">
      <c r="A17" s="1286"/>
      <c r="B17" s="3339"/>
      <c r="C17" s="1296" t="s">
        <v>1020</v>
      </c>
      <c r="D17" s="1293">
        <f ca="1">IF('数据-取费表'!E3="否",结果表!I111,'结果表 (1修多)'!I113)</f>
        <v>16458</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185</v>
      </c>
      <c r="E28" s="1286"/>
    </row>
    <row r="29" spans="1:5" ht="14.25">
      <c r="A29" s="1286"/>
      <c r="B29" s="3341"/>
      <c r="C29" s="1305" t="s">
        <v>924</v>
      </c>
      <c r="D29" s="1306" t="str">
        <f ca="1">IF('数据-取费表'!B3="万元",NUMBERSTRING(INT(D28*10000),2)&amp;"元整",NUMBERSTRING(INT(D28),2)&amp;"元整")</f>
        <v>壹佰捌拾伍万元整</v>
      </c>
      <c r="E29" s="1286"/>
    </row>
    <row r="30" spans="1:5" ht="14.25">
      <c r="A30" s="1286"/>
      <c r="B30" s="3342"/>
      <c r="C30" s="1296" t="s">
        <v>927</v>
      </c>
      <c r="D30" s="1307">
        <f ca="1">IF('数据-取费表'!E3="否",结果表!I103,'结果表 (1修多)'!I105)</f>
        <v>16458</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185</v>
      </c>
      <c r="E36" s="1286"/>
    </row>
    <row r="37" spans="1:5" ht="14.25">
      <c r="A37" s="1286"/>
      <c r="B37" s="3343"/>
      <c r="C37" s="1305" t="s">
        <v>924</v>
      </c>
      <c r="D37" s="1310" t="str">
        <f ca="1">IF('数据-取费表'!B3="万元",NUMBERSTRING(INT(D36*10000),2)&amp;"元整",NUMBERSTRING(INT(D36),2)&amp;"元整")</f>
        <v>壹佰捌拾伍万元整</v>
      </c>
      <c r="E37" s="1286"/>
    </row>
    <row r="38" spans="1:5" ht="14.25">
      <c r="A38" s="1286"/>
      <c r="B38" s="3343"/>
      <c r="C38" s="1296" t="s">
        <v>928</v>
      </c>
      <c r="D38" s="1307">
        <f ca="1">IF('数据-取费表'!E3="否",结果表!D113,'结果表 (1修多)'!D117)</f>
        <v>16458</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114</v>
      </c>
      <c r="E4" s="776">
        <f ca="1">IF('数据-取费表'!E3="否",结果表!E121,'结果表 (1修多)'!E125)</f>
        <v>10188</v>
      </c>
      <c r="F4" s="776">
        <f ca="1">IF('数据-取费表'!E3="否",结果表!F121,'结果表 (1修多)'!F125)</f>
        <v>70</v>
      </c>
      <c r="G4" s="776">
        <f ca="1">IF('数据-取费表'!E3="否",结果表!G121,'结果表 (1修多)'!G125)</f>
        <v>6270</v>
      </c>
      <c r="H4" s="776">
        <f ca="1">IF('数据-取费表'!E3="否",结果表!H121,'结果表 (1修多)'!H125)</f>
        <v>185</v>
      </c>
      <c r="I4" s="776">
        <f ca="1">IF('数据-取费表'!E3="否",结果表!I121,'结果表 (1修多)'!I125)</f>
        <v>16458</v>
      </c>
    </row>
    <row r="5" spans="1:9" ht="15">
      <c r="A5" s="3357" t="s">
        <v>1030</v>
      </c>
      <c r="B5" s="3357"/>
      <c r="C5" s="3357"/>
      <c r="D5" s="3355" t="str">
        <f ca="1">IF('数据-取费表'!E3="否",结果表!D122,'结果表 (1修多)'!D126)</f>
        <v>壹佰壹拾肆万元整</v>
      </c>
      <c r="E5" s="3355"/>
      <c r="F5" s="3355" t="str">
        <f ca="1">IF('数据-取费表'!E3="否",结果表!F122,'结果表 (1修多)'!F126)</f>
        <v>柒拾万元整</v>
      </c>
      <c r="G5" s="3355"/>
      <c r="H5" s="3355" t="str">
        <f ca="1">IF('数据-取费表'!E3="否",结果表!H122,'结果表 (1修多)'!H126)</f>
        <v>壹佰捌拾伍万元整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185</v>
      </c>
      <c r="E8" s="3356"/>
      <c r="F8" s="3356"/>
      <c r="G8" s="3356"/>
      <c r="H8" s="3356"/>
      <c r="I8" s="3356"/>
    </row>
    <row r="9" spans="1:9" ht="15">
      <c r="A9" s="3357" t="s">
        <v>1030</v>
      </c>
      <c r="B9" s="3357"/>
      <c r="C9" s="3357"/>
      <c r="D9" s="3355">
        <f ca="1">IF('数据-取费表'!E3="否",结果表!D126,'结果表 (1修多)'!D130)</f>
        <v>16458</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44733</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2022-06-21T08:44:28Z</dcterms:modified>
</cp:coreProperties>
</file>