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G20" i="9"/>
  <c r="R24" i="31"/>
  <c r="S24" i="31"/>
  <c r="R25" i="31"/>
  <c r="S25" i="31"/>
  <c r="R26" i="31"/>
  <c r="S26" i="31"/>
  <c r="R27" i="31"/>
  <c r="S27" i="31"/>
  <c r="R28" i="31"/>
  <c r="S28" i="31"/>
  <c r="R29" i="31"/>
  <c r="S29" i="31"/>
  <c r="R30" i="31"/>
  <c r="S30" i="31"/>
  <c r="S22" i="31"/>
  <c r="B20" i="31"/>
  <c r="D21" i="66"/>
  <c r="C21" i="66"/>
  <c r="B21" i="66"/>
  <c r="D20" i="66"/>
  <c r="D19" i="66"/>
  <c r="D18" i="66"/>
  <c r="D17" i="66"/>
  <c r="D16" i="66"/>
  <c r="D15" i="66"/>
  <c r="C2" i="69"/>
  <c r="T11" i="31"/>
  <c r="B25" i="31"/>
  <c r="B20" i="66"/>
  <c r="B30" i="31"/>
  <c r="B19" i="66"/>
  <c r="D36" i="68"/>
  <c r="B26" i="31"/>
  <c r="B15" i="66"/>
  <c r="D37" i="68"/>
  <c r="B29" i="31"/>
  <c r="B18" i="66"/>
  <c r="D34" i="68"/>
  <c r="B28" i="31"/>
  <c r="B17" i="66"/>
  <c r="D31" i="68"/>
  <c r="B27" i="31"/>
  <c r="B16" i="66"/>
  <c r="B4" i="69"/>
  <c r="E19" i="4"/>
  <c r="D33" i="68"/>
  <c r="B24" i="31"/>
  <c r="D32" i="68"/>
  <c r="D35" i="68"/>
  <c r="D38" i="68"/>
  <c r="F11" i="39"/>
  <c r="AA11" i="39"/>
  <c r="D122" i="39"/>
  <c r="E122" i="39"/>
  <c r="F122" i="39"/>
  <c r="F41" i="39"/>
  <c r="AA41" i="39"/>
  <c r="D124" i="39"/>
  <c r="E124" i="39"/>
  <c r="F42" i="39"/>
  <c r="AA42" i="39"/>
  <c r="F43" i="39"/>
  <c r="AA43" i="39"/>
  <c r="F44" i="39"/>
  <c r="AA44" i="39"/>
  <c r="D83" i="39"/>
  <c r="E83" i="39"/>
  <c r="F83" i="39"/>
  <c r="F13" i="39"/>
  <c r="AA13"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46"/>
  <c r="B73" i="39"/>
  <c r="E9" i="39"/>
  <c r="F9" i="39"/>
  <c r="AA9" i="39"/>
  <c r="C40" i="39"/>
  <c r="E40" i="39"/>
  <c r="F40" i="39"/>
  <c r="AA40" i="39"/>
  <c r="F6" i="1"/>
  <c r="D6" i="1"/>
  <c r="G6" i="1"/>
  <c r="H11" i="39"/>
  <c r="AB11" i="39"/>
  <c r="H41" i="39"/>
  <c r="AB41" i="39"/>
  <c r="H42" i="39"/>
  <c r="AB42" i="39"/>
  <c r="H43" i="39"/>
  <c r="AB43" i="39"/>
  <c r="H44" i="39"/>
  <c r="AB44" i="39"/>
  <c r="H13" i="39"/>
  <c r="AB13" i="39"/>
  <c r="G9" i="39"/>
  <c r="H9" i="39"/>
  <c r="AB9" i="39"/>
  <c r="G40" i="39"/>
  <c r="H40" i="39"/>
  <c r="AB40" i="39"/>
  <c r="J11" i="39"/>
  <c r="AC11" i="39"/>
  <c r="J41" i="39"/>
  <c r="AC41" i="39"/>
  <c r="J42" i="39"/>
  <c r="AC42" i="39"/>
  <c r="J43" i="39"/>
  <c r="AC43" i="39"/>
  <c r="J44" i="39"/>
  <c r="AC44" i="39"/>
  <c r="J13" i="39"/>
  <c r="AC13" i="39"/>
  <c r="I9" i="39"/>
  <c r="J9" i="39"/>
  <c r="AC9" i="39"/>
  <c r="I40" i="39"/>
  <c r="J40" i="39"/>
  <c r="AC40" i="39"/>
  <c r="A6" i="1"/>
  <c r="G1" i="15"/>
  <c r="I13" i="3"/>
  <c r="F19" i="6"/>
  <c r="E19" i="6"/>
  <c r="K6" i="1"/>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BA5" i="3"/>
  <c r="E20" i="6"/>
  <c r="E21" i="6"/>
  <c r="E22" i="6"/>
  <c r="E23" i="6"/>
  <c r="E24" i="6"/>
  <c r="E25" i="6"/>
  <c r="E26" i="6"/>
  <c r="E27" i="6"/>
  <c r="BQ5" i="3"/>
  <c r="BS5" i="3"/>
  <c r="F28" i="6"/>
  <c r="BR5" i="3"/>
  <c r="BT5" i="3"/>
  <c r="G28" i="6"/>
  <c r="E28" i="6"/>
  <c r="K19" i="6"/>
  <c r="L19" i="6"/>
  <c r="M19" i="6"/>
  <c r="I19" i="6"/>
  <c r="H19" i="6"/>
  <c r="R19" i="6"/>
  <c r="R6" i="1"/>
  <c r="B52" i="1"/>
  <c r="F34" i="15"/>
  <c r="M6" i="1"/>
  <c r="K14" i="1"/>
  <c r="M14" i="1"/>
  <c r="S6" i="1"/>
  <c r="A7" i="1"/>
  <c r="S7" i="1"/>
  <c r="A8" i="1"/>
  <c r="S8" i="1"/>
  <c r="A9" i="1"/>
  <c r="S9" i="1"/>
  <c r="A10" i="1"/>
  <c r="S10" i="1"/>
  <c r="A11" i="1"/>
  <c r="S11" i="1"/>
  <c r="A12" i="1"/>
  <c r="S12" i="1"/>
  <c r="A13" i="1"/>
  <c r="S13" i="1"/>
  <c r="S16" i="1"/>
  <c r="T4" i="1"/>
  <c r="T6" i="1"/>
  <c r="F15" i="15"/>
  <c r="F17" i="15"/>
  <c r="F18" i="15"/>
  <c r="F20" i="15"/>
  <c r="H1" i="65"/>
  <c r="B22" i="1"/>
  <c r="C2" i="65"/>
  <c r="I1" i="65"/>
  <c r="F23" i="15"/>
  <c r="F21" i="15"/>
  <c r="C42" i="1"/>
  <c r="F28" i="15"/>
  <c r="C28" i="15"/>
  <c r="J50" i="15"/>
  <c r="J51" i="15"/>
  <c r="M47" i="15"/>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E21" i="12"/>
  <c r="E6" i="6"/>
  <c r="E22" i="12"/>
  <c r="F23" i="12"/>
  <c r="F24" i="12"/>
  <c r="B24" i="1"/>
  <c r="F29" i="12"/>
  <c r="Q16" i="1"/>
  <c r="F25" i="12"/>
  <c r="C25" i="12"/>
  <c r="C17" i="9"/>
  <c r="D17" i="9"/>
  <c r="C18" i="9"/>
  <c r="D18" i="9"/>
  <c r="J36" i="15"/>
  <c r="L51" i="15"/>
  <c r="L57" i="15"/>
  <c r="L47" i="15"/>
  <c r="L58" i="15"/>
  <c r="L59" i="15"/>
  <c r="L60" i="15"/>
  <c r="J57" i="15"/>
  <c r="J55" i="15"/>
  <c r="J58" i="15"/>
  <c r="J59" i="15"/>
  <c r="B3" i="15"/>
  <c r="C8" i="12"/>
  <c r="E7" i="39"/>
  <c r="I48" i="39"/>
  <c r="I7" i="39"/>
  <c r="G7" i="3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44"/>
  <c r="F7" i="1"/>
  <c r="L49" i="44"/>
  <c r="M48" i="44"/>
  <c r="J51" i="44"/>
  <c r="J52" i="44"/>
  <c r="J54" i="44"/>
  <c r="I4" i="65"/>
  <c r="E20" i="46"/>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C26" i="31"/>
  <c r="E26" i="31"/>
  <c r="G26" i="31"/>
  <c r="I26" i="31"/>
  <c r="K26" i="31"/>
  <c r="M26" i="31"/>
  <c r="C27" i="31"/>
  <c r="E27" i="31"/>
  <c r="G27" i="31"/>
  <c r="I27" i="31"/>
  <c r="K27" i="31"/>
  <c r="M27" i="31"/>
  <c r="C28" i="31"/>
  <c r="E28" i="31"/>
  <c r="G28" i="31"/>
  <c r="I28" i="31"/>
  <c r="K28" i="31"/>
  <c r="M28" i="31"/>
  <c r="C29" i="31"/>
  <c r="E29" i="31"/>
  <c r="G29" i="31"/>
  <c r="I29" i="31"/>
  <c r="K29" i="31"/>
  <c r="M29" i="31"/>
  <c r="C30" i="31"/>
  <c r="E30" i="31"/>
  <c r="G30" i="31"/>
  <c r="I30" i="31"/>
  <c r="K30" i="31"/>
  <c r="M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I25" i="31"/>
  <c r="K25" i="31"/>
  <c r="M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H10" i="39"/>
  <c r="AB10" i="39"/>
  <c r="H36" i="39"/>
  <c r="AB36" i="39"/>
  <c r="J10" i="39"/>
  <c r="AC10"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Q26" i="31"/>
  <c r="Q27" i="31"/>
  <c r="Q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S44" i="39"/>
  <c r="U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M18" i="15"/>
  <c r="A18" i="64"/>
  <c r="B74" i="63"/>
  <c r="C53" i="10"/>
  <c r="A25" i="64"/>
  <c r="A18" i="51"/>
  <c r="B14" i="63"/>
  <c r="F3" i="35"/>
  <c r="K1" i="43"/>
  <c r="K1" i="12"/>
  <c r="H22" i="46"/>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M29" i="44"/>
  <c r="M8" i="44"/>
  <c r="F10" i="44"/>
  <c r="M26" i="44"/>
  <c r="F28" i="44"/>
  <c r="M28" i="44"/>
  <c r="M22" i="15"/>
  <c r="F40" i="44"/>
  <c r="F8" i="44"/>
  <c r="M23" i="15"/>
  <c r="M31" i="44"/>
  <c r="F9" i="44"/>
  <c r="F45" i="44"/>
  <c r="M30" i="44"/>
  <c r="M29" i="15"/>
  <c r="F43" i="44"/>
  <c r="M24" i="44"/>
  <c r="F38" i="44"/>
  <c r="J15" i="15"/>
  <c r="Q74" i="15"/>
  <c r="Q75" i="15"/>
  <c r="I54" i="15"/>
  <c r="I55" i="44"/>
  <c r="L60" i="44"/>
  <c r="Q63" i="44"/>
  <c r="L59" i="44"/>
  <c r="Q75" i="44"/>
  <c r="J58" i="44"/>
  <c r="J56" i="44"/>
  <c r="J59" i="44"/>
  <c r="J60"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Q51" i="15"/>
  <c r="F65" i="15"/>
  <c r="G66" i="36"/>
  <c r="J18" i="36"/>
  <c r="AE8" i="1"/>
  <c r="AE7"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29" i="6"/>
  <c r="L20" i="6"/>
  <c r="E58" i="40"/>
  <c r="E63" i="39"/>
  <c r="E16" i="6"/>
  <c r="F24" i="43"/>
  <c r="E60" i="40"/>
  <c r="E65" i="39"/>
  <c r="K26" i="6"/>
  <c r="M26" i="6"/>
  <c r="I26" i="6"/>
  <c r="S26" i="6"/>
  <c r="K24" i="6"/>
  <c r="M24" i="6"/>
  <c r="I24" i="6"/>
  <c r="S24" i="6"/>
  <c r="K22" i="6"/>
  <c r="K20" i="6"/>
  <c r="K23" i="6"/>
  <c r="M23" i="6"/>
  <c r="I23" i="6"/>
  <c r="S23" i="6"/>
  <c r="K25" i="6"/>
  <c r="M25" i="6"/>
  <c r="I25" i="6"/>
  <c r="S25" i="6"/>
  <c r="K21" i="6"/>
  <c r="E30" i="6"/>
  <c r="E31"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K27"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T7" i="1"/>
  <c r="C43" i="37"/>
  <c r="B3" i="37"/>
  <c r="B2" i="37"/>
  <c r="C42" i="37"/>
  <c r="C49" i="34"/>
  <c r="E54" i="34"/>
  <c r="F54" i="34"/>
  <c r="I54" i="34"/>
  <c r="J54" i="34"/>
  <c r="E53" i="34"/>
  <c r="F53" i="34"/>
  <c r="I52" i="21"/>
  <c r="J52" i="21"/>
  <c r="E48" i="21"/>
  <c r="R49" i="21"/>
  <c r="G52" i="21"/>
  <c r="H52" i="21"/>
  <c r="G53" i="21"/>
  <c r="H53" i="21"/>
  <c r="G67" i="40"/>
  <c r="H65" i="40"/>
  <c r="B2" i="66"/>
  <c r="E68" i="39"/>
  <c r="E63" i="40"/>
  <c r="B4" i="46"/>
  <c r="B3" i="46"/>
  <c r="T10" i="1"/>
  <c r="T9" i="1"/>
  <c r="T11" i="1"/>
  <c r="T8" i="1"/>
  <c r="T12" i="1"/>
  <c r="O16" i="1"/>
  <c r="C13" i="43"/>
  <c r="L16" i="1"/>
  <c r="N16" i="1"/>
  <c r="C29" i="43"/>
  <c r="D13" i="11"/>
  <c r="C13" i="11"/>
  <c r="I27" i="6"/>
  <c r="S19" i="6"/>
  <c r="S27" i="6"/>
  <c r="C22" i="4"/>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65" i="40"/>
  <c r="H67" i="40"/>
  <c r="C16" i="44"/>
  <c r="C20" i="44"/>
  <c r="C17" i="44"/>
  <c r="B3" i="67"/>
  <c r="B4" i="67"/>
  <c r="T16" i="1"/>
  <c r="H27" i="6"/>
  <c r="R20" i="6"/>
  <c r="R7" i="1"/>
  <c r="R24" i="6"/>
  <c r="D16" i="6"/>
  <c r="D30" i="6"/>
  <c r="R23" i="6"/>
  <c r="R25" i="6"/>
  <c r="R21" i="6"/>
  <c r="R8"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D19" i="9"/>
  <c r="C44" i="44"/>
  <c r="C45" i="44"/>
  <c r="B2" i="44"/>
  <c r="B4" i="44"/>
  <c r="Q70" i="15"/>
  <c r="Q69" i="15"/>
  <c r="C58" i="15"/>
  <c r="C57" i="15"/>
  <c r="C66" i="15"/>
  <c r="C67" i="15"/>
  <c r="C70" i="15"/>
  <c r="Q70" i="44"/>
  <c r="Q49" i="44"/>
  <c r="Q55" i="44"/>
  <c r="Q58" i="44"/>
  <c r="Q64" i="44"/>
  <c r="B4" i="12"/>
  <c r="L44" i="9"/>
  <c r="B5" i="12"/>
  <c r="B3" i="43"/>
  <c r="B5" i="43"/>
  <c r="B4" i="43"/>
  <c r="J9" i="40"/>
  <c r="F9" i="40"/>
  <c r="H9" i="40"/>
  <c r="D21"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9" i="9"/>
  <c r="C98"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B3" i="39"/>
  <c r="R22" i="31"/>
  <c r="B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<sst xmlns="http://schemas.openxmlformats.org/spreadsheetml/2006/main" count="7100" uniqueCount="3140">
  <si>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</si>
  <si>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</si>
  <si>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</si>
  <si>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</si>
  <si>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</si>
  <si>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</si>
  <si>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</si>
  <si>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</si>
  <si>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</si>
  <si>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</si>
  <si>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</si>
  <si>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</si>
  <si>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</si>
  <si>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</si>
  <si>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</si>
  <si>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</si>
  <si>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</si>
  <si>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</si>
  <si>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</si>
  <si>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</si>
  <si>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</si>
  <si>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</si>
  <si>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</si>
  <si>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</si>
  <si>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</si>
  <si>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</si>
  <si>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</si>
  <si>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</si>
  <si>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</si>
  <si>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</si>
  <si>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</si>
  <si>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</si>
  <si>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</si>
  <si>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</si>
  <si>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</si>
  <si>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</si>
  <si>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</si>
  <si>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</si>
  <si>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</si>
  <si>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</si>
  <si>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</si>
  <si>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</si>
  <si>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</si>
  <si>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</si>
  <si>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</si>
  <si>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</si>
  <si>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</si>
  <si>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</si>
  <si>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</si>
  <si>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</si>
  <si>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</si>
  <si>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</si>
  <si>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</si>
  <si>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</si>
  <si>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</si>
  <si>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</si>
  <si>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</si>
  <si>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</si>
  <si>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</si>
  <si>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</si>
  <si>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</si>
  <si>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</si>
  <si>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</si>
  <si>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</si>
  <si>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</si>
  <si>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</si>
  <si>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</si>
  <si>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</si>
  <si>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</si>
  <si>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</si>
  <si>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</si>
  <si>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</si>
  <si>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</si>
  <si>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</si>
  <si>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</si>
  <si>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</si>
  <si>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</si>
  <si>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</si>
  <si>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</si>
  <si>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</si>
  <si>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</si>
  <si>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</si>
  <si>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</si>
  <si>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</si>
  <si>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</si>
  <si>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</si>
  <si>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</si>
  <si>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</si>
  <si>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</si>
  <si>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</si>
  <si>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</si>
  <si>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</si>
  <si>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</si>
  <si>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</si>
  <si>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</si>
  <si>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</si>
  <si>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</si>
  <si>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</si>
  <si>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</si>
  <si>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</si>
  <si>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</si>
  <si>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</si>
  <si>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</si>
  <si>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</si>
  <si>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</si>
  <si>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</si>
  <si>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</si>
  <si>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</si>
  <si>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</si>
  <si>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</si>
  <si>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</si>
  <si>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</si>
  <si>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</si>
  <si>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</si>
  <si>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</si>
  <si>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</si>
  <si>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</si>
  <si>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</si>
  <si>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</si>
  <si>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</si>
  <si>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</si>
  <si>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</si>
  <si>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</si>
  <si>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</si>
  <si>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</si>
  <si>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</si>
  <si>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</si>
  <si>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</si>
  <si>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</si>
  <si>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</si>
  <si>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</si>
  <si>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</si>
  <si>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</si>
  <si>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</si>
  <si>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</si>
  <si>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</si>
  <si>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</si>
  <si>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</si>
  <si>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</si>
  <si>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</si>
  <si>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</si>
  <si>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</si>
  <si>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</si>
  <si>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</si>
  <si>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</si>
  <si>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</si>
  <si>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</si>
  <si>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</si>
  <si>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</si>
  <si>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</si>
  <si>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</si>
  <si>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</si>
  <si>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</si>
  <si>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</si>
  <si>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</si>
  <si>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</si>
  <si>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</si>
  <si>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</si>
  <si>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</si>
  <si>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</si>
  <si>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</si>
  <si>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</si>
  <si>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</si>
  <si>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</si>
  <si>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</si>
  <si>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</si>
  <si>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</si>
  <si>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</si>
  <si>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</si>
  <si>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</si>
  <si>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</si>
  <si>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</si>
  <si>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</si>
  <si>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</si>
  <si>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</si>
  <si>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</si>
  <si>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</si>
  <si>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</si>
  <si>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</si>
  <si>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</si>
  <si>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</si>
  <si>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</si>
  <si>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</si>
  <si>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</si>
  <si>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</si>
  <si>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</si>
  <si>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</si>
  <si>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</si>
  <si>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</si>
  <si>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</si>
  <si>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</si>
  <si>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</si>
  <si>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</si>
  <si>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</si>
  <si>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</si>
  <si>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</si>
  <si>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</si>
  <si>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</si>
  <si>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</si>
  <si>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</si>
  <si>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</si>
  <si>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</si>
  <si>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</si>
  <si>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</si>
  <si>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</si>
  <si>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</si>
  <si>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</si>
  <si>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</si>
  <si>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</si>
  <si>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</si>
  <si>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</si>
  <si>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</si>
  <si>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</si>
  <si>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</si>
  <si>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</si>
  <si>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</si>
  <si>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</si>
  <si>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</si>
  <si>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</si>
  <si>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</si>
  <si>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</si>
  <si>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</si>
  <si>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</si>
  <si>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</si>
  <si>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</si>
  <si>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</si>
  <si>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</si>
  <si>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</si>
  <si>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</si>
  <si>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</si>
  <si>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</si>
  <si>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</si>
  <si>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</si>
  <si>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</si>
  <si>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</si>
  <si>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</si>
  <si>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</si>
  <si>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</si>
  <si>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</si>
  <si>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</si>
  <si>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</si>
  <si>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</si>
  <si>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</si>
  <si>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</si>
  <si>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</si>
  <si>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</si>
  <si>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</si>
  <si>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</si>
  <si>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</si>
  <si>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</si>
  <si>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</si>
  <si>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</si>
  <si>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</si>
  <si>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</si>
  <si>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</si>
  <si>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</si>
  <si>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</si>
  <si>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</si>
  <si>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</si>
  <si>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</si>
  <si>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</si>
  <si>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</si>
  <si>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</si>
  <si>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</si>
  <si>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</si>
  <si>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</si>
  <si>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</si>
  <si>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</si>
  <si>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</si>
  <si>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</si>
  <si>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</si>
  <si>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</si>
  <si>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</si>
  <si>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</si>
  <si>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</si>
  <si>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</si>
  <si>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</si>
  <si>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</si>
  <si>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</si>
  <si>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</si>
  <si>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</si>
  <si>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</si>
  <si>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</si>
  <si>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</si>
  <si>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</si>
  <si>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</si>
  <si>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</si>
  <si>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</si>
  <si>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</si>
  <si>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</si>
  <si>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</si>
  <si>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</si>
  <si>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</si>
  <si>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</si>
  <si>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</si>
  <si>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</si>
  <si>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</si>
  <si>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</si>
  <si>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</si>
  <si>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</si>
  <si>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</si>
  <si>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</si>
  <si>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</si>
  <si>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</si>
  <si>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</si>
  <si>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</si>
  <si>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</si>
  <si>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</si>
  <si>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</si>
  <si>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</si>
  <si>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</si>
  <si>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</si>
  <si>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</si>
  <si>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</si>
  <si>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</si>
  <si>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</si>
  <si>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</si>
  <si>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</si>
  <si>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</si>
  <si>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</si>
  <si>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</si>
  <si>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</si>
  <si>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</si>
  <si>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</si>
  <si>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</si>
  <si>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</si>
  <si>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</si>
  <si>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</si>
  <si>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</si>
  <si>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</si>
  <si>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</si>
  <si>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</si>
  <si>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</si>
  <si>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</si>
  <si>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</si>
  <si>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</si>
  <si>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</si>
  <si>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</si>
  <si>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</si>
  <si>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</si>
  <si>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</si>
  <si>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</si>
  <si>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</si>
  <si>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</si>
  <si>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</si>
  <si>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</si>
  <si>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</si>
  <si>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</si>
  <si>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</si>
  <si>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</si>
  <si>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</si>
  <si>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</si>
  <si>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</si>
  <si>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</si>
  <si>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</si>
  <si>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</si>
  <si>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</si>
  <si>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</si>
  <si>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</si>
  <si>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</si>
  <si>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</si>
  <si>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</si>
  <si>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</si>
  <si>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</si>
  <si>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</si>
  <si>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</si>
  <si>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</si>
  <si>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</si>
  <si>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</si>
  <si>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</si>
  <si>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</si>
  <si>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</si>
  <si>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</si>
  <si>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</si>
  <si>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</si>
  <si>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</si>
  <si>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</si>
  <si>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</si>
  <si>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</si>
  <si>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</si>
  <si>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</si>
  <si>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</si>
  <si>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</si>
  <si>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</si>
  <si>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</si>
  <si>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</si>
  <si>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</si>
  <si>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</si>
  <si>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</si>
  <si>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</si>
  <si>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</si>
  <si>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</si>
  <si>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</si>
  <si>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</si>
  <si>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</si>
  <si>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</si>
  <si>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</si>
  <si>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</si>
  <si>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</si>
  <si>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</si>
  <si>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</si>
  <si>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</si>
  <si>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</si>
  <si>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</si>
  <si>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</si>
  <si>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</si>
  <si>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</si>
  <si>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</si>
  <si>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</si>
  <si>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</si>
  <si>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</si>
  <si>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</si>
  <si>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</si>
  <si>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</si>
  <si>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</si>
  <si>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</si>
  <si>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</si>
  <si>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</si>
  <si>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</si>
  <si>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</si>
  <si>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</si>
  <si>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</si>
  <si>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</si>
  <si>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</si>
  <si>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</si>
  <si>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</si>
  <si>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</si>
  <si>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</si>
  <si>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</si>
  <si>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</si>
  <si>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</si>
  <si>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</si>
  <si>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</si>
  <si>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</si>
  <si>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</si>
  <si>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</si>
  <si>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</si>
  <si>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</si>
  <si>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</si>
  <si>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</si>
  <si>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</si>
  <si>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</si>
  <si>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</si>
  <si>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</si>
  <si>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</si>
  <si>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</si>
  <si>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</si>
  <si>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</si>
  <si>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</si>
  <si>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</si>
  <si>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</si>
  <si>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</si>
  <si>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</si>
  <si>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</si>
  <si>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</si>
  <si>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</si>
  <si>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</si>
  <si>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</si>
  <si>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</si>
  <si>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</si>
  <si>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</si>
  <si>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</si>
  <si>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</si>
  <si>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</si>
  <si>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</si>
  <si>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</si>
  <si>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</si>
  <si>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</si>
  <si>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</si>
  <si>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</si>
  <si>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</si>
  <si>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</si>
  <si>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</si>
  <si>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</si>
  <si>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</si>
  <si>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</si>
  <si>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</si>
  <si>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</si>
  <si>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</si>
  <si>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</si>
  <si>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</si>
  <si>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</si>
  <si>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</si>
  <si>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</si>
  <si>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</si>
  <si>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</si>
  <si>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</si>
  <si>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</si>
  <si>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</si>
  <si>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</si>
  <si>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</si>
  <si>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</si>
  <si>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</si>
  <si>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</si>
  <si>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</si>
  <si>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</si>
  <si>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</si>
  <si>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</si>
  <si>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</si>
  <si>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</si>
  <si>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</si>
  <si>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</si>
  <si>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</si>
  <si>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</si>
  <si>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</si>
  <si>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</si>
  <si>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</si>
  <si>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</si>
  <si>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</si>
  <si>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</si>
  <si>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</si>
  <si>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</si>
  <si>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</si>
  <si>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</si>
  <si>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</si>
  <si>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</si>
  <si>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</si>
  <si>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</si>
  <si>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</si>
  <si>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</si>
  <si>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</si>
  <si>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</si>
  <si>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</si>
  <si>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</si>
  <si>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</si>
  <si>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</si>
  <si>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</si>
  <si>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</si>
  <si>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</si>
  <si>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</si>
  <si>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</si>
  <si>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</si>
  <si>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</si>
  <si>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</si>
  <si>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</si>
  <si>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</si>
  <si>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</si>
  <si>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</si>
  <si>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</si>
  <si>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</si>
  <si>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</si>
  <si>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</si>
  <si>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</si>
  <si>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</si>
  <si>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</si>
  <si>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</si>
  <si>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</si>
  <si>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</si>
  <si>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</si>
  <si>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</si>
  <si>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</si>
  <si>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</si>
  <si>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</si>
  <si>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</si>
  <si>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</si>
  <si>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</si>
  <si>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</si>
  <si>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</si>
  <si>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</si>
  <si>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</si>
  <si>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</si>
  <si>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</si>
  <si>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</si>
  <si>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</si>
  <si>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</si>
  <si>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</si>
  <si>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</si>
  <si>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</si>
  <si>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</si>
  <si>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</si>
  <si>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</si>
  <si>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</si>
  <si>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</si>
  <si>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</si>
  <si>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</si>
  <si>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</si>
  <si>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</si>
  <si>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</si>
  <si>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</si>
  <si>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</si>
  <si>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</si>
  <si>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</si>
  <si>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</si>
  <si>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</si>
  <si>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</si>
  <si>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</si>
  <si>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</si>
  <si>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</si>
  <si>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</si>
  <si>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</si>
  <si>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</si>
  <si>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</si>
  <si>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</si>
  <si>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</si>
  <si>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</si>
  <si>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</si>
  <si>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</si>
  <si>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</si>
  <si>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</si>
  <si>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</si>
  <si>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</si>
  <si>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</si>
  <si>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</si>
  <si>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</si>
  <si>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</si>
  <si>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</si>
  <si>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</si>
  <si>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</si>
  <si>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</si>
  <si>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</si>
  <si>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</si>
  <si>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</si>
  <si>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</si>
  <si>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</si>
  <si>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</si>
  <si>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</si>
  <si>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</si>
  <si>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</si>
  <si>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</si>
  <si>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</si>
  <si>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</si>
  <si>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</si>
  <si>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</si>
  <si>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</si>
  <si>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</si>
  <si>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</si>
  <si>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</si>
  <si>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</si>
  <si>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</si>
  <si>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</si>
  <si>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</si>
  <si>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</si>
  <si>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</si>
  <si>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</si>
  <si>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</si>
  <si>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</si>
  <si>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</si>
  <si>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</si>
  <si>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</si>
  <si>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</si>
  <si>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</si>
  <si>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</si>
  <si>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</si>
  <si>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</si>
  <si>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</si>
  <si>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</si>
  <si>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</si>
  <si>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</si>
  <si>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</si>
  <si>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</si>
  <si>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</si>
  <si>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</si>
  <si>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</si>
  <si>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</si>
  <si>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</si>
  <si>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</si>
  <si>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</si>
  <si>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</si>
  <si>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</si>
  <si>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</si>
  <si>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</si>
  <si>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</si>
  <si>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</si>
  <si>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</si>
  <si>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</si>
  <si>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</si>
  <si>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</si>
  <si>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</si>
  <si>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</si>
  <si>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</si>
  <si>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</si>
  <si>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</si>
  <si>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</si>
  <si>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</si>
  <si>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</si>
  <si>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</si>
  <si>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</si>
  <si>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</si>
  <si>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</si>
  <si>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</si>
  <si>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</si>
  <si>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</si>
  <si>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</si>
  <si>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</si>
  <si>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</si>
  <si>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</si>
  <si>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</si>
  <si>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</si>
  <si>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</si>
  <si>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</si>
  <si>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</si>
  <si>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</si>
  <si>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</si>
  <si>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</si>
  <si>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</si>
  <si>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</si>
  <si>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</si>
  <si>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</si>
  <si>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</si>
  <si>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</si>
  <si>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</si>
  <si>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</si>
  <si>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</si>
  <si>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</si>
  <si>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</si>
  <si>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</si>
  <si>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</si>
  <si>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</si>
  <si>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</si>
  <si>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</si>
  <si>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</si>
  <si>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</si>
  <si>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</si>
  <si>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</si>
  <si>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</si>
  <si>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</si>
  <si>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</si>
  <si>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</si>
  <si>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</si>
  <si>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</si>
  <si>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</si>
  <si>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</si>
  <si>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</si>
  <si>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</si>
  <si>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</si>
  <si>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</si>
  <si>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</si>
  <si>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</si>
  <si>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</si>
  <si>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</si>
  <si>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</si>
  <si>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</si>
  <si>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</si>
  <si>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</si>
  <si>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</si>
  <si>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</si>
  <si>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</si>
  <si>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</si>
  <si>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</si>
  <si>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</si>
  <si>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</si>
  <si>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</si>
  <si>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</si>
  <si>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</si>
  <si>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</si>
  <si>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</si>
  <si>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</si>
  <si>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</si>
  <si>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</si>
  <si>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</si>
  <si>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</si>
  <si>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</si>
  <si>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</si>
  <si>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</si>
  <si>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</si>
  <si>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</si>
  <si>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</si>
  <si>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</si>
  <si>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</si>
  <si>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</si>
  <si>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</si>
  <si>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</si>
  <si>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</si>
  <si>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</si>
  <si>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</si>
  <si>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</si>
  <si>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</si>
  <si>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</si>
  <si>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</si>
  <si>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</si>
  <si>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</si>
  <si>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</si>
  <si>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</si>
  <si>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</si>
  <si>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</si>
  <si>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</si>
  <si>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</si>
  <si>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</si>
  <si>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</si>
  <si>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</si>
  <si>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</si>
  <si>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</si>
  <si>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</si>
  <si>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</si>
  <si>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</si>
  <si>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</si>
  <si>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</si>
  <si>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</si>
  <si>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</si>
  <si>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</si>
  <si>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</si>
  <si>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</si>
  <si>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</si>
  <si>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</si>
  <si>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</si>
  <si>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</si>
  <si>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</si>
  <si>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</si>
  <si>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</si>
  <si>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</si>
  <si>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</si>
  <si>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</si>
  <si>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</si>
  <si>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</si>
  <si>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</si>
  <si>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</si>
  <si>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</si>
  <si>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</si>
  <si>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</si>
  <si>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</si>
  <si>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</si>
  <si>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</si>
  <si>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</si>
  <si>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</si>
  <si>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</si>
  <si>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</si>
  <si>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</si>
  <si>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</si>
  <si>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</si>
  <si>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</si>
  <si>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</si>
  <si>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</si>
  <si>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</si>
  <si>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</si>
  <si>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</si>
  <si>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</si>
  <si>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</si>
  <si>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</si>
  <si>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</si>
  <si>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</si>
  <si>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</si>
  <si>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</si>
  <si>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</si>
  <si>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</si>
  <si>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</si>
  <si>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</si>
  <si>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</si>
  <si>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</si>
  <si>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</si>
  <si>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</si>
  <si>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</si>
  <si>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</si>
  <si>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</si>
  <si>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</si>
  <si>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</si>
  <si>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</si>
  <si>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</si>
  <si>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</si>
  <si>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</si>
  <si>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</si>
  <si>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</si>
  <si>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</si>
  <si>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</si>
  <si>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</si>
  <si>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</si>
  <si>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</si>
  <si>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</si>
  <si>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</si>
  <si>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</si>
  <si>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</si>
  <si>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</si>
  <si>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</si>
  <si>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</si>
  <si>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</si>
  <si>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</si>
  <si>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</si>
  <si>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</si>
  <si>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</si>
  <si>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</si>
  <si>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</si>
  <si>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</si>
  <si>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</si>
  <si>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</si>
  <si>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</si>
  <si>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</si>
  <si>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</si>
  <si>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</si>
  <si>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</si>
  <si>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</si>
  <si>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</si>
  <si>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</si>
  <si>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</si>
  <si>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</si>
  <si>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</si>
  <si>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</si>
  <si>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</si>
  <si>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</si>
  <si>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</si>
  <si>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</si>
  <si>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</si>
  <si>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</si>
  <si>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</si>
  <si>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</si>
  <si>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</si>
  <si>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</si>
  <si>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</si>
  <si>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</si>
  <si>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</si>
  <si>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</si>
  <si>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</si>
  <si>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</si>
  <si>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</si>
  <si>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</si>
  <si>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</si>
  <si>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</si>
  <si>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</si>
  <si>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</si>
  <si>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</si>
  <si>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</si>
  <si>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</si>
  <si>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</si>
  <si>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</si>
  <si>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</si>
  <si>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</si>
  <si>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</si>
  <si>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</si>
  <si>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</si>
  <si>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</si>
  <si>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</si>
  <si>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</si>
  <si>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</si>
  <si>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</si>
  <si>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</si>
  <si>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</si>
  <si>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</si>
  <si>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</si>
  <si>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</si>
  <si>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</si>
  <si>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</si>
  <si>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</si>
  <si>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</si>
  <si>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</si>
  <si>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</si>
  <si>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</si>
  <si>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</si>
  <si>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</si>
  <si>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</si>
  <si>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</si>
  <si>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</si>
  <si>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</si>
  <si>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</si>
  <si>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</si>
  <si>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</si>
  <si>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</si>
  <si>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</si>
  <si>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</si>
  <si>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</si>
  <si>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</si>
  <si>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</si>
  <si>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</si>
  <si>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</si>
  <si>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</si>
  <si>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</si>
  <si>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</si>
  <si>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</si>
  <si>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</si>
  <si>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</si>
  <si>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</si>
  <si>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</si>
  <si>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</si>
  <si>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</si>
  <si>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</si>
  <si>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</si>
  <si>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</si>
  <si>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</si>
  <si>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</si>
  <si>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</si>
  <si>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</si>
  <si>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</si>
  <si>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</si>
  <si>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</si>
  <si>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</si>
  <si>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</si>
  <si>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</si>
  <si>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</si>
  <si>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</si>
  <si>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</si>
  <si>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</si>
  <si>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</si>
  <si>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</si>
  <si>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</si>
  <si>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</si>
  <si>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</si>
  <si>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</si>
  <si>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</si>
  <si>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</si>
  <si>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</si>
  <si>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</si>
  <si>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</si>
  <si>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</si>
  <si>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</si>
  <si>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</si>
  <si>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</si>
  <si>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</si>
  <si>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</si>
  <si>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</si>
  <si>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</si>
  <si>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</si>
  <si>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</si>
  <si>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</si>
  <si>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</si>
  <si>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</si>
  <si>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</si>
  <si>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</si>
  <si>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</si>
  <si>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</si>
  <si>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</si>
  <si>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</si>
  <si>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</si>
  <si>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</si>
  <si>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</si>
  <si>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</si>
  <si>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</si>
  <si>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</si>
  <si>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</si>
  <si>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</si>
  <si>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</si>
  <si>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</si>
  <si>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</si>
  <si>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</si>
  <si>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</si>
  <si>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</si>
  <si>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</si>
  <si>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</si>
  <si>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</si>
  <si>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</si>
  <si>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</si>
  <si>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</si>
  <si>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</si>
  <si>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</si>
  <si>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</si>
  <si>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</si>
  <si>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</si>
  <si>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</si>
  <si>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</si>
  <si>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</si>
  <si>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</si>
  <si>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</si>
  <si>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</si>
  <si>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</si>
  <si>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</si>
  <si>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</si>
  <si>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</si>
  <si>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</si>
  <si>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</si>
  <si>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</si>
  <si>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</si>
  <si>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</si>
  <si>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</si>
  <si>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</si>
  <si>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</si>
  <si>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</si>
  <si>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</si>
  <si>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</si>
  <si>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</si>
  <si>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</si>
  <si>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</si>
  <si>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</si>
  <si>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</si>
  <si>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</si>
  <si>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</si>
  <si>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</si>
  <si>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</si>
  <si>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</si>
  <si>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</si>
  <si>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</si>
  <si>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</si>
  <si>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</si>
  <si>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</si>
  <si>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</si>
  <si>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</si>
  <si>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</si>
  <si>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</si>
  <si>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</si>
  <si>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</si>
  <si>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</si>
  <si>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</si>
  <si>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</si>
  <si>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</si>
  <si>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</si>
  <si>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</si>
  <si>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</si>
  <si>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</si>
  <si>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</si>
  <si>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</si>
  <si>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</si>
  <si>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</si>
  <si>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</si>
  <si>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</si>
  <si>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</si>
  <si>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</si>
  <si>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</si>
  <si>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</si>
  <si>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</si>
  <si>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</si>
  <si>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</si>
  <si>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</si>
  <si>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</si>
  <si>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</si>
  <si>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</si>
  <si>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</si>
  <si>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</si>
  <si>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</si>
  <si>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</si>
  <si>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</si>
  <si>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</si>
  <si>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</si>
  <si>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</si>
  <si>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</si>
  <si>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</si>
  <si>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</si>
  <si>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</si>
  <si>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</si>
  <si>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</si>
  <si>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</si>
  <si>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</si>
  <si>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</si>
  <si>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</si>
  <si>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</si>
  <si>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</si>
  <si>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</si>
  <si>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</si>
  <si>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</si>
  <si>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</si>
  <si>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</si>
  <si>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</si>
  <si>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</si>
  <si>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</si>
  <si>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</si>
  <si>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</si>
  <si>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</si>
  <si>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</si>
  <si>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</si>
  <si>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</si>
  <si>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</si>
  <si>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</si>
  <si>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</si>
  <si>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</si>
  <si>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</si>
  <si>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</si>
  <si>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</si>
  <si>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</si>
  <si>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</si>
  <si>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</si>
  <si>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</si>
  <si>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</si>
  <si>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</si>
  <si>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</si>
  <si>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</si>
  <si>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</si>
  <si>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</si>
  <si>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</si>
  <si>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</si>
  <si>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</si>
  <si>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</si>
  <si>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</si>
  <si>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</si>
  <si>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</si>
  <si>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</si>
  <si>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</si>
  <si>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</si>
  <si>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</si>
  <si>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</si>
  <si>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</si>
  <si>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</si>
  <si>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</si>
  <si>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</si>
  <si>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</si>
  <si>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</si>
  <si>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</si>
  <si>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</si>
  <si>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</si>
  <si>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</si>
  <si>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</si>
  <si>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</si>
  <si>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</si>
  <si>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</si>
  <si>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</si>
  <si>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</si>
  <si>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</si>
  <si>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</si>
  <si>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</si>
  <si>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</si>
  <si>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</si>
  <si>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</si>
  <si>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</si>
  <si>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</si>
  <si>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</si>
  <si>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</si>
  <si>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</si>
  <si>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</si>
  <si>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</si>
  <si>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</si>
  <si>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</si>
  <si>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</si>
  <si>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</si>
  <si>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</si>
  <si>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</si>
  <si>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</si>
  <si>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</si>
  <si>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</si>
  <si>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</si>
  <si>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</si>
  <si>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</si>
  <si>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</si>
  <si>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</si>
  <si>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</si>
  <si>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</si>
  <si>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</si>
  <si>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</si>
  <si>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</si>
  <si>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</si>
  <si>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</si>
  <si>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</si>
  <si>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</si>
  <si>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</si>
  <si>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</si>
  <si>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</si>
  <si>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</si>
  <si>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</si>
  <si>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</si>
  <si>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</si>
  <si>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</si>
  <si>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</si>
  <si>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</si>
  <si>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</si>
  <si>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</si>
  <si>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</si>
  <si>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</si>
  <si>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</si>
  <si>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</si>
  <si>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</si>
  <si>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</si>
  <si>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</si>
  <si>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</si>
  <si>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</si>
  <si>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</si>
  <si>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</si>
  <si>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</si>
  <si>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</si>
  <si>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</si>
  <si>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</si>
  <si>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</si>
  <si>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</si>
  <si>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</si>
  <si>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</si>
  <si>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</si>
  <si>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</si>
  <si>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</si>
  <si>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</si>
  <si>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</si>
  <si>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</si>
  <si>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</si>
  <si>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</si>
  <si>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</si>
  <si>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</si>
  <si>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</si>
  <si>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</si>
  <si>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</si>
  <si>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</si>
  <si>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</si>
  <si>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</si>
  <si>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</si>
  <si>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</si>
  <si>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</si>
  <si>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</si>
  <si>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</si>
  <si>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</si>
  <si>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</si>
  <si>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</si>
  <si>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</si>
  <si>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</si>
  <si>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</si>
  <si>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</si>
  <si>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</si>
  <si>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</si>
  <si>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</si>
  <si>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</si>
  <si>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</si>
  <si>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</si>
  <si>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</si>
  <si>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</si>
  <si>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</si>
  <si>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</si>
  <si>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</si>
  <si>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</si>
  <si>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</si>
  <si>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</si>
  <si>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</si>
  <si>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</si>
  <si>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</si>
  <si>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</si>
  <si>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</si>
  <si>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</si>
  <si>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</si>
  <si>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</si>
  <si>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</si>
  <si>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</si>
  <si>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</si>
  <si>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</si>
  <si>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</si>
  <si>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</si>
  <si>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</si>
  <si>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</si>
  <si>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</si>
  <si>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</si>
  <si>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</si>
  <si>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</si>
  <si>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</si>
  <si>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</si>
  <si>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</si>
  <si>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</si>
  <si>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</si>
  <si>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</si>
  <si>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</si>
  <si>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</si>
  <si>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</si>
  <si>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</si>
  <si>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</si>
  <si>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</si>
  <si>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</si>
  <si>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</si>
  <si>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</si>
  <si>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</si>
  <si>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</si>
  <si>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</si>
  <si>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</si>
  <si>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</si>
  <si>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</si>
  <si>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</si>
  <si>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</si>
  <si>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</si>
  <si>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</si>
  <si>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</si>
  <si>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</si>
  <si>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</si>
  <si>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</si>
  <si>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</si>
  <si>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</si>
  <si>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</si>
  <si>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</si>
  <si>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</si>
  <si>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</si>
  <si>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</si>
  <si>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</si>
  <si>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</si>
  <si>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</si>
  <si>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</si>
  <si>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</si>
  <si>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</si>
  <si>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</si>
  <si>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</si>
  <si>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</si>
  <si>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</si>
  <si>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</si>
  <si>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</si>
  <si>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</si>
  <si>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</si>
  <si>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</si>
  <si>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</si>
  <si>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</si>
  <si>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</si>
  <si>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</si>
  <si>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</si>
  <si>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</si>
  <si>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</si>
  <si>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</si>
  <si>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</si>
  <si>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</si>
  <si>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</si>
  <si>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</si>
  <si>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</si>
  <si>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</si>
  <si>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</si>
  <si>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</si>
  <si>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</si>
  <si>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</si>
  <si>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</si>
  <si>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</si>
  <si>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</si>
  <si>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</si>
  <si>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</si>
  <si>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</si>
  <si>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</si>
  <si>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</si>
  <si>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</si>
  <si>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</si>
  <si>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</si>
  <si>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</si>
  <si>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</si>
  <si>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</si>
  <si>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</si>
  <si>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</si>
  <si>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</si>
  <si>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</si>
  <si>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</si>
  <si>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</si>
  <si>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</si>
  <si>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</si>
  <si>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</si>
  <si>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</si>
  <si>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</si>
  <si>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</si>
  <si>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</si>
  <si>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</si>
  <si>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</si>
  <si>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</si>
  <si>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</si>
  <si>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</si>
  <si>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</si>
  <si>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</si>
  <si>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</si>
  <si>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</si>
  <si>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</si>
  <si>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</si>
  <si>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</si>
  <si>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</si>
  <si>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</si>
  <si>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</si>
  <si>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</si>
  <si>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</si>
  <si>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</si>
  <si>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</si>
  <si>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</si>
  <si>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</si>
  <si>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</si>
  <si>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</si>
  <si>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</si>
  <si>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</si>
  <si>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</si>
  <si>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</si>
  <si>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</si>
  <si>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</si>
  <si>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</si>
  <si>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</si>
  <si>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</si>
  <si>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</si>
  <si>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</si>
  <si>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</si>
  <si>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</si>
  <si>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</si>
  <si>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</si>
  <si>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</si>
  <si>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</si>
  <si>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</si>
  <si>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</si>
  <si>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</si>
  <si>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</si>
  <si>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</si>
  <si>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</si>
  <si>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</si>
  <si>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</si>
  <si>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</si>
  <si>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</si>
  <si>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</si>
  <si>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</si>
  <si>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</si>
  <si>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</si>
  <si>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</si>
  <si>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</si>
  <si>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</si>
  <si>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</si>
  <si>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</si>
  <si>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</si>
  <si>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</si>
  <si>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</si>
  <si>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</si>
  <si>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</si>
  <si>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</si>
  <si>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</si>
  <si>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</si>
  <si>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</si>
  <si>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</si>
  <si>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</si>
  <si>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</si>
  <si>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</si>
  <si>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</si>
  <si>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</si>
  <si>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</si>
  <si>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</si>
  <si>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</si>
  <si>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</si>
  <si>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</si>
  <si>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</si>
  <si>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</si>
  <si>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</si>
  <si>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</si>
  <si>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</si>
  <si>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</si>
  <si>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</si>
  <si>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</si>
  <si>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</si>
  <si>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</si>
  <si>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</si>
  <si>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</si>
  <si>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</si>
  <si>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</si>
  <si>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</si>
  <si>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</si>
  <si>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</si>
  <si>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</si>
  <si>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</si>
  <si>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</si>
  <si>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</si>
  <si>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</si>
  <si>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</si>
  <si>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</si>
  <si>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</si>
  <si>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</si>
  <si>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</si>
  <si>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</si>
  <si>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</si>
  <si>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</si>
  <si>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</si>
  <si>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</si>
  <si>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</si>
  <si>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</si>
  <si>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</si>
  <si>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</si>
  <si>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</si>
  <si>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</si>
  <si>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</si>
  <si>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</si>
  <si>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</si>
  <si>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</si>
  <si>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</si>
  <si>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</si>
  <si>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</si>
  <si>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</si>
  <si>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</si>
  <si>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</si>
  <si>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</si>
  <si>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</si>
  <si>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</si>
  <si>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</si>
  <si>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</si>
  <si>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</si>
  <si>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</si>
  <si>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</si>
  <si>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</si>
  <si>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</si>
  <si>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</si>
  <si>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</si>
  <si>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</si>
  <si>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</si>
  <si>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</si>
  <si>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</si>
  <si>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</si>
  <si>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</si>
  <si>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</si>
  <si>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</si>
  <si>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</si>
  <si>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</si>
  <si>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</si>
  <si>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</si>
  <si>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</si>
  <si>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</si>
  <si>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</si>
  <si>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</si>
  <si>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</si>
  <si>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</si>
  <si>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</si>
  <si>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</si>
  <si>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</si>
  <si>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</si>
  <si>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</si>
  <si>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</si>
  <si>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</si>
  <si>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</si>
  <si>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</si>
  <si>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</si>
  <si>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</si>
  <si>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</si>
  <si>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</si>
  <si>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</si>
  <si>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</si>
  <si>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</si>
  <si>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</si>
  <si>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</si>
  <si>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</si>
  <si>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</si>
  <si>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</si>
  <si>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</si>
  <si>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</si>
  <si>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</si>
  <si>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</si>
  <si>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</si>
  <si>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</si>
  <si>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</si>
  <si>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</si>
  <si>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</si>
  <si>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</si>
  <si>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</si>
  <si>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</si>
  <si>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</si>
  <si>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</si>
  <si>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</si>
  <si>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</si>
  <si>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</si>
  <si>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</si>
  <si>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</si>
  <si>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</si>
  <si>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</si>
  <si>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</si>
  <si>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</si>
  <si>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</si>
  <si>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</si>
  <si>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</si>
  <si>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</si>
  <si>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</si>
  <si>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</si>
  <si>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</si>
  <si>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</si>
  <si>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</si>
  <si>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</si>
  <si>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</si>
  <si>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</si>
  <si>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</si>
  <si>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</si>
  <si>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</si>
  <si>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</si>
  <si>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</si>
  <si>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</si>
  <si>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</si>
  <si>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</si>
  <si>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</si>
  <si>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</si>
  <si>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</si>
  <si>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</si>
  <si>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</si>
  <si>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</si>
  <si>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</si>
  <si>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</si>
  <si>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</si>
  <si>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</si>
  <si>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</si>
  <si>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</si>
  <si>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</si>
  <si>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</si>
  <si>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</si>
  <si>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</si>
  <si>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</si>
  <si>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</si>
  <si>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</si>
  <si>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</si>
  <si>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</si>
  <si>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</si>
  <si>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</si>
  <si>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</si>
  <si>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</si>
  <si>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</si>
  <si>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</si>
  <si>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</si>
  <si>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</si>
  <si>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</si>
  <si>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</si>
  <si>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</si>
  <si>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</si>
  <si>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</si>
  <si>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</si>
  <si>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</si>
  <si>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</si>
  <si>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</si>
  <si>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</si>
  <si>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</si>
  <si>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</si>
  <si>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</si>
  <si>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</si>
  <si>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</si>
  <si>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</si>
  <si>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</si>
  <si>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</si>
  <si>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</si>
  <si>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</si>
  <si>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</si>
  <si>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</si>
  <si>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</si>
  <si>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</si>
  <si>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</si>
  <si>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</si>
  <si>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</si>
  <si>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</si>
  <si>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</si>
  <si>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</si>
  <si>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</si>
  <si>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</si>
  <si>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</si>
  <si>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</si>
  <si>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</si>
  <si>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</si>
  <si>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</si>
  <si>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</si>
  <si>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</si>
  <si>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</si>
  <si>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</si>
  <si>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</si>
  <si>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</si>
  <si>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</si>
  <si>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</si>
  <si>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</si>
  <si>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</si>
  <si>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</si>
  <si>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</si>
  <si>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</si>
  <si>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</si>
  <si>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</si>
  <si>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</si>
  <si>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</si>
  <si>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</si>
  <si>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</si>
  <si>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</si>
  <si>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</si>
  <si>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</si>
  <si>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</si>
  <si>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</si>
  <si>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</si>
  <si>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</si>
  <si>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</si>
  <si>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</si>
  <si>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</si>
  <si>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</si>
  <si>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</si>
  <si>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</si>
  <si>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</si>
  <si>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</si>
  <si>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</si>
  <si>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</si>
  <si>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</si>
  <si>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</si>
  <si>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</si>
  <si>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</si>
  <si>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</si>
  <si>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</si>
  <si>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</si>
  <si>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</si>
  <si>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</si>
  <si>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</si>
  <si>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</si>
  <si>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</si>
  <si>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</si>
  <si>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</si>
  <si>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</si>
  <si>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</si>
  <si>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</si>
  <si>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</si>
  <si>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</si>
  <si>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</si>
  <si>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</si>
  <si>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</si>
  <si>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</si>
  <si>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</si>
  <si>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</si>
  <si>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</si>
  <si>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</si>
  <si>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</si>
  <si>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</si>
  <si>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</si>
  <si>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</si>
  <si>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</si>
  <si>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</si>
  <si>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</si>
  <si>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</si>
  <si>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</si>
  <si>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</si>
  <si>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</si>
  <si>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</si>
  <si>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</si>
  <si>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</si>
  <si>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</si>
  <si>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</si>
  <si>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</si>
  <si>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</si>
  <si>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</si>
  <si>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</si>
  <si>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</si>
  <si>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</si>
  <si>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</si>
  <si>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</si>
  <si>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</si>
  <si>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</si>
  <si>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</si>
  <si>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</si>
  <si>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</si>
  <si>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</si>
  <si>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</si>
  <si>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</si>
  <si>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</si>
  <si>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</si>
  <si>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</si>
  <si>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</si>
  <si>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</si>
  <si>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</si>
  <si>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</si>
  <si>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</si>
  <si>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</si>
  <si>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</si>
  <si>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</si>
  <si>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</si>
  <si>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</si>
  <si>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</si>
  <si>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</si>
  <si>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</si>
  <si>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</si>
  <si>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</si>
  <si>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</si>
  <si>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</si>
  <si>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</si>
  <si>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</si>
  <si>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</si>
  <si>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</si>
  <si>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</si>
  <si>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</si>
  <si>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</si>
  <si>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</si>
  <si>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</si>
  <si>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</si>
  <si>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</si>
  <si>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</si>
  <si>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</si>
  <si>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</si>
  <si>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</si>
  <si>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</si>
  <si>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</si>
  <si>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</si>
  <si>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</si>
  <si>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</si>
  <si>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</si>
  <si>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</si>
  <si>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</si>
  <si>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</si>
  <si>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</si>
  <si>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</si>
  <si>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</si>
  <si>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</si>
  <si>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</si>
  <si>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</si>
  <si>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</si>
  <si>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</si>
  <si>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</si>
  <si>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</si>
  <si>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</si>
  <si>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</si>
  <si>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</si>
  <si>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</si>
  <si>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</si>
  <si>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</si>
  <si>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</si>
  <si>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</si>
  <si>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</si>
  <si>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</si>
  <si>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</si>
  <si>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</si>
  <si>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</si>
  <si>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</si>
  <si>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</si>
  <si>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</si>
  <si>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</si>
  <si>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</si>
  <si>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</si>
  <si>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</si>
  <si>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</si>
  <si>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</si>
  <si>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</si>
  <si>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</si>
  <si>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</si>
  <si>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</si>
  <si>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</si>
  <si>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</si>
  <si>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</si>
  <si>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</si>
  <si>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</si>
  <si>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</si>
  <si>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</si>
  <si>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</si>
  <si>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</si>
  <si>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</si>
  <si>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</si>
  <si>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</si>
  <si>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</si>
  <si>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</si>
  <si>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</si>
  <si>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</si>
  <si>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</si>
  <si>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</si>
  <si>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</si>
  <si>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</si>
  <si>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</si>
  <si>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</si>
  <si>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</si>
  <si>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</si>
  <si>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</si>
  <si>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</si>
  <si>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</si>
  <si>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</si>
  <si>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</si>
  <si>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</si>
  <si>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</si>
  <si>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</si>
  <si>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</si>
  <si>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</si>
  <si>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</si>
  <si>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</si>
  <si>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</si>
  <si>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</si>
  <si>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</si>
  <si>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</si>
  <si>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</si>
  <si>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</si>
  <si>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</si>
  <si>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</si>
  <si>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</si>
  <si>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</si>
  <si>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</si>
  <si>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</si>
  <si>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</si>
  <si>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</si>
  <si>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</si>
  <si>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</si>
  <si>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</si>
  <si>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</si>
  <si>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</si>
  <si>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</si>
  <si>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</si>
  <si>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</si>
  <si>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</si>
  <si>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</si>
  <si>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</si>
  <si>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</si>
  <si>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</si>
  <si>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</si>
  <si>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</si>
  <si>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</si>
  <si>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</si>
  <si>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</si>
  <si>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</si>
  <si>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</si>
  <si>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</si>
  <si>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</si>
  <si>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</si>
  <si>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</si>
  <si>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</si>
  <si>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</si>
  <si>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</si>
  <si>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</si>
  <si>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</si>
  <si>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</si>
  <si>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</si>
  <si>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</si>
  <si>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</si>
  <si>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</si>
  <si>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</si>
  <si>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</si>
  <si>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</si>
  <si>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</si>
  <si>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</si>
  <si>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</si>
  <si>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</si>
  <si>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</si>
  <si>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</si>
  <si>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</si>
  <si>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</si>
  <si>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</si>
  <si>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</si>
  <si>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</si>
  <si>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</si>
  <si>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</si>
  <si>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</si>
  <si>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</si>
  <si>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</si>
  <si>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</si>
  <si>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</si>
  <si>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</si>
  <si>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</si>
  <si>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</si>
  <si>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</si>
  <si>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</si>
  <si>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</si>
  <si>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</si>
  <si>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</si>
  <si>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</si>
  <si>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</si>
  <si>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</si>
  <si>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</si>
  <si>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</si>
  <si>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</si>
  <si>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</si>
  <si>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</si>
  <si>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</si>
  <si>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</si>
  <si>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</si>
  <si>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</si>
  <si>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</si>
  <si>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</si>
  <si>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</si>
  <si>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</si>
  <si>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</si>
  <si>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</si>
  <si>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</si>
  <si>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</si>
  <si>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</si>
  <si>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</si>
  <si>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</si>
  <si>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</si>
  <si>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</si>
  <si>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</si>
  <si>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</si>
  <si>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</si>
  <si>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</si>
  <si>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</si>
  <si>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</si>
  <si>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</si>
  <si>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</si>
  <si>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</si>
  <si>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</si>
  <si>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</si>
  <si>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</si>
  <si>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</si>
  <si>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</si>
  <si>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</si>
  <si>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</si>
  <si>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</si>
  <si>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</si>
  <si>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</si>
  <si>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</si>
  <si>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</si>
  <si>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</si>
  <si>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</si>
  <si>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</si>
  <si>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</si>
  <si>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</si>
  <si>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</si>
  <si>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</si>
  <si>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</si>
  <si>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</si>
  <si>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</si>
  <si>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</si>
  <si>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</si>
  <si>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</si>
  <si>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</si>
  <si>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</si>
  <si>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</si>
  <si>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</si>
  <si>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</si>
  <si>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</si>
  <si>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</si>
  <si>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</si>
  <si>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</si>
  <si>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</si>
  <si>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</si>
  <si>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</si>
  <si>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</si>
  <si>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</si>
  <si>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</si>
  <si>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</si>
  <si>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</si>
  <si>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</si>
  <si>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</si>
  <si>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</si>
  <si>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</si>
  <si>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</si>
  <si>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</si>
  <si>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</si>
  <si>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</si>
  <si>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</si>
  <si>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</si>
  <si>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</si>
  <si>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</si>
  <si>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</si>
  <si>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</si>
  <si>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</si>
  <si>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</si>
  <si>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</si>
  <si>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</si>
  <si>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</si>
  <si>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</si>
  <si>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</si>
  <si>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</si>
  <si>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</si>
  <si>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</si>
  <si>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</si>
  <si>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</si>
  <si>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</si>
  <si>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</si>
  <si>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</si>
  <si>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</si>
  <si>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</si>
  <si>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</si>
  <si>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</si>
  <si>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</si>
  <si>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</si>
  <si>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</si>
  <si>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</si>
  <si>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</si>
  <si>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</si>
  <si>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</si>
  <si>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</si>
  <si>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</si>
  <si>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</si>
  <si>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</si>
  <si>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</si>
  <si>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</si>
  <si>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</si>
  <si>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</si>
  <si>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</si>
  <si>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</si>
  <si>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</si>
  <si>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</si>
  <si>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</si>
  <si>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</si>
  <si>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</si>
  <si>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</si>
  <si>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</si>
  <si>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</si>
  <si>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</si>
  <si>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</si>
  <si>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</si>
  <si>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</si>
  <si>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</si>
  <si>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</si>
  <si>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</si>
  <si>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</si>
  <si>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</si>
  <si>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</si>
  <si>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</si>
  <si>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</si>
  <si>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</si>
  <si>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</si>
  <si>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</si>
  <si>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</si>
  <si>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</si>
  <si>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</si>
  <si>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</si>
  <si>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</si>
  <si>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</si>
  <si>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</si>
  <si>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</si>
  <si>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</si>
  <si>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</si>
  <si>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</si>
  <si>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</si>
  <si>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</si>
  <si>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</si>
  <si>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</si>
  <si>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</si>
  <si>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</si>
  <si>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</si>
  <si>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</si>
  <si>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</si>
  <si>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</si>
  <si>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</si>
  <si>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</si>
  <si>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</si>
  <si>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</si>
  <si>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</si>
  <si>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</si>
  <si>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</si>
  <si>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</si>
  <si>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</si>
  <si>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</si>
  <si>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</si>
  <si>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</si>
  <si>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</si>
  <si>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</si>
  <si>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</si>
  <si>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</si>
  <si>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</si>
  <si>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</si>
  <si>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</si>
  <si>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</si>
  <si>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</si>
  <si>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</si>
  <si>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</si>
  <si>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</si>
  <si>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</si>
  <si>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</si>
  <si>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</si>
  <si>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</si>
  <si>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</si>
  <si>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</si>
  <si>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</si>
  <si>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</si>
  <si>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</si>
  <si>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</si>
  <si>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</si>
  <si>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</si>
  <si>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</si>
  <si>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</si>
  <si>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</si>
  <si>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</si>
  <si>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</si>
  <si>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</si>
  <si>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</si>
  <si>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</si>
  <si>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</si>
  <si>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</si>
  <si>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</si>
  <si>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</si>
  <si>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</si>
  <si>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</si>
  <si>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</si>
  <si>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</si>
  <si>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</si>
  <si>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</si>
  <si>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</si>
  <si>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</si>
  <si>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</si>
  <si>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</si>
  <si>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</si>
  <si>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</si>
  <si>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</si>
  <si>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</si>
  <si>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</si>
  <si>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</si>
  <si>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</si>
  <si>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</si>
  <si>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</si>
  <si>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</si>
  <si>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</si>
  <si>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</si>
  <si>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</si>
  <si>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</si>
  <si>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</si>
  <si>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</si>
  <si>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</si>
  <si>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</si>
  <si>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</si>
  <si>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</si>
  <si>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</si>
  <si>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</si>
  <si>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</si>
  <si>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</si>
  <si>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</si>
  <si>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</si>
  <si>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</si>
  <si>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</si>
  <si>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</si>
  <si>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</si>
  <si>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</si>
  <si>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</si>
  <si>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</si>
  <si>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</si>
  <si>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</si>
  <si>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</si>
  <si>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</si>
  <si>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</si>
  <si>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</si>
  <si>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</si>
  <si>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</si>
  <si>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</si>
  <si>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</si>
  <si>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</si>
  <si>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</si>
  <si>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</si>
  <si>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</si>
  <si>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</si>
  <si>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</si>
  <si>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</si>
  <si>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</si>
  <si>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</si>
  <si>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</si>
  <si>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</si>
  <si>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</si>
  <si>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</si>
  <si>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</si>
  <si>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</si>
  <si>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</si>
  <si>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</si>
  <si>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</si>
  <si>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</si>
  <si>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</si>
  <si>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</si>
  <si>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</si>
  <si>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</si>
  <si>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</si>
  <si>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</si>
  <si>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</si>
  <si>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</si>
  <si>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</si>
  <si>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</si>
  <si>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</si>
  <si>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</si>
  <si>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</si>
  <si>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</si>
  <si>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</si>
  <si>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</si>
  <si>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</si>
  <si>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</si>
  <si>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</si>
  <si>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</si>
  <si>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</si>
  <si>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</si>
  <si>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</si>
  <si>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</si>
  <si>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</si>
  <si>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</si>
  <si>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</si>
  <si>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</si>
  <si>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</si>
  <si>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</si>
  <si>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</si>
  <si>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</si>
  <si>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</si>
  <si>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</si>
  <si>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</si>
  <si>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</si>
  <si>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</si>
  <si>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</si>
  <si>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</si>
  <si>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</si>
  <si>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</si>
  <si>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</si>
  <si>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</si>
  <si>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</si>
  <si>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</si>
  <si>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</si>
  <si>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</si>
  <si>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</si>
  <si>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</si>
  <si>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</si>
  <si>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</si>
  <si>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</si>
  <si>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</si>
  <si>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</si>
  <si>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</si>
  <si>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</si>
  <si>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</si>
  <si>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</si>
  <si>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</si>
  <si>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</si>
  <si>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</si>
  <si>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</si>
  <si>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</si>
  <si>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</si>
  <si>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</si>
  <si>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</si>
  <si>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</si>
  <si>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</si>
  <si>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</si>
  <si>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</si>
  <si>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</si>
  <si>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</si>
  <si>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</si>
  <si>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</si>
  <si>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</si>
  <si>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</si>
  <si>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</si>
  <si>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</si>
  <si>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</si>
  <si>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</si>
  <si>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</si>
  <si>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</si>
  <si>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</si>
  <si>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</si>
  <si>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</si>
  <si>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</si>
  <si>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</si>
  <si>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</si>
  <si>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</si>
  <si>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</si>
  <si>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</si>
  <si>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</si>
  <si>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</si>
  <si>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</si>
  <si>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</si>
  <si>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</si>
  <si>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</si>
  <si>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</si>
  <si>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</si>
  <si>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</si>
  <si>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</si>
  <si>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</si>
  <si>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</si>
  <si>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</si>
  <si>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</si>
  <si>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</si>
  <si>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</si>
  <si>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</si>
  <si>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</si>
  <si>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</si>
  <si>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</si>
  <si>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</si>
  <si>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</si>
  <si>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</si>
  <si>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</si>
  <si>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</si>
  <si>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</si>
  <si>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</si>
  <si>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</si>
  <si>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</si>
  <si>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</si>
  <si>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</si>
  <si>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</si>
  <si>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</si>
  <si>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</si>
  <si>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</si>
  <si>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</si>
  <si>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</si>
  <si>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</si>
  <si>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</si>
  <si>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</si>
  <si>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</si>
  <si>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</si>
  <si>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</si>
  <si>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</si>
  <si>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</si>
  <si>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</si>
  <si>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</si>
  <si>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</si>
  <si>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</si>
  <si>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</si>
  <si>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</si>
  <si>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</si>
  <si>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</si>
  <si>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</si>
  <si>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</si>
  <si>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</si>
  <si>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</si>
  <si>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</si>
  <si>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</si>
  <si>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</si>
  <si>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</si>
  <si>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</si>
  <si>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</si>
  <si>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</si>
  <si>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</si>
  <si>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</si>
  <si>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</si>
  <si>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</si>
  <si>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</si>
  <si>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</si>
  <si>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</si>
  <si>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</si>
  <si>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</si>
  <si>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</si>
  <si>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</si>
  <si>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</si>
  <si>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</si>
  <si>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</si>
  <si>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</si>
  <si>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</si>
  <si>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</si>
  <si>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</si>
  <si>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</si>
  <si>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</si>
  <si>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</si>
  <si>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</si>
  <si>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</si>
  <si>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</si>
  <si>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</si>
  <si>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</si>
  <si>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</si>
  <si>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</si>
  <si>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</si>
  <si>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</si>
  <si>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</si>
  <si>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</si>
  <si>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</si>
  <si>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</si>
  <si>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</si>
  <si>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</si>
  <si>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</si>
  <si>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</si>
  <si>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</si>
  <si>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</si>
  <si>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</si>
  <si>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</si>
  <si>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</si>
  <si>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</si>
  <si>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</si>
  <si>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</si>
  <si>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</si>
  <si>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</si>
  <si>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</si>
  <si>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</si>
  <si>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</si>
  <si>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</si>
  <si>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</si>
  <si>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</si>
  <si>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</si>
  <si>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</si>
  <si>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</si>
  <si>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</si>
  <si>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</si>
  <si>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</si>
  <si>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</si>
  <si>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</si>
  <si>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</si>
  <si>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</si>
  <si>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</si>
  <si>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</si>
  <si>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</si>
  <si>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</si>
  <si>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</si>
  <si>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</si>
  <si>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</si>
  <si>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</si>
  <si>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</si>
  <si>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</si>
  <si>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</si>
  <si>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</si>
  <si>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</si>
  <si>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</si>
  <si>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</si>
  <si>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</si>
  <si>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</si>
  <si>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</si>
  <si>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</si>
  <si>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</si>
  <si>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</si>
  <si>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</si>
  <si>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</si>
  <si>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</si>
  <si>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</si>
  <si>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</si>
  <si>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</si>
  <si>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</si>
  <si>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</si>
  <si>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</si>
  <si>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</si>
  <si>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</si>
  <si>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</si>
  <si>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</si>
  <si>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</si>
  <si>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</si>
  <si>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</si>
  <si>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</si>
  <si>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</si>
  <si>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</si>
  <si>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</si>
  <si>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</si>
  <si>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</si>
  <si>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</si>
  <si>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</si>
  <si>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</si>
  <si>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</si>
  <si>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</si>
  <si>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</si>
  <si>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</si>
  <si>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</si>
  <si>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</si>
  <si>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</si>
  <si>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</si>
  <si>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</si>
  <si>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</si>
  <si>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</si>
  <si>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</si>
  <si>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</si>
  <si>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</si>
  <si>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</si>
  <si>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</si>
  <si>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</si>
  <si>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</si>
  <si>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</si>
  <si>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</si>
  <si>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</si>
  <si>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</si>
  <si>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</si>
  <si>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</si>
  <si>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</si>
  <si>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</si>
  <si>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</si>
  <si>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</si>
  <si>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</si>
  <si>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</si>
  <si>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</si>
  <si>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</si>
  <si>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</si>
  <si>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</si>
  <si>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</si>
  <si>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</si>
  <si>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</si>
  <si>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</si>
  <si>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</si>
  <si>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</si>
  <si>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</si>
  <si>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</si>
  <si>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</si>
  <si>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</si>
  <si>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</si>
  <si>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</si>
  <si>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</si>
  <si>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</si>
  <si>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</si>
  <si>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</si>
  <si>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</si>
  <si>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</si>
  <si>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</si>
  <si>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</si>
  <si>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</si>
  <si>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</si>
  <si>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</si>
  <si>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</si>
  <si>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</si>
  <si>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</si>
  <si>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</si>
  <si>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</si>
  <si>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</si>
  <si>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</si>
  <si>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</si>
  <si>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</si>
  <si>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</si>
  <si>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</si>
  <si>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</si>
  <si>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</si>
  <si>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</si>
  <si>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</si>
  <si>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</si>
  <si>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</si>
  <si>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</si>
  <si>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</si>
  <si>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</si>
  <si>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</si>
  <si>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</si>
  <si>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</si>
  <si>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</si>
  <si>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</si>
  <si>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</si>
  <si>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</si>
  <si>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</si>
  <si>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</si>
  <si>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</si>
  <si>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</si>
  <si>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</si>
  <si>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</si>
  <si>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</si>
  <si>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</si>
  <si>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</si>
  <si>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</si>
  <si>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</si>
  <si>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</si>
  <si>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</si>
  <si>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</si>
  <si>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</si>
  <si>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</si>
  <si>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</si>
  <si>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</si>
  <si>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</si>
  <si>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</si>
  <si>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</si>
  <si>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</si>
  <si>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</si>
  <si>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</si>
  <si>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</si>
  <si>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</si>
  <si>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</si>
  <si>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</si>
  <si>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</si>
  <si>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</si>
  <si>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</si>
  <si>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</si>
  <si>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</si>
  <si>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</si>
  <si>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</si>
  <si>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</si>
  <si>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</si>
  <si>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</si>
  <si>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</si>
  <si>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</si>
  <si>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</si>
  <si>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</si>
  <si>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</si>
  <si>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</si>
  <si>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</si>
  <si>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</si>
  <si>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</si>
  <si>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</si>
  <si>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</si>
  <si>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</si>
  <si>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</si>
  <si>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</si>
  <si>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</si>
  <si>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</si>
  <si>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</si>
  <si>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</si>
  <si>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</si>
  <si>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</si>
  <si>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</si>
  <si>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</si>
  <si>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</si>
  <si>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</si>
  <si>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</si>
  <si>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</si>
  <si>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</si>
  <si>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</si>
  <si>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</si>
  <si>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</si>
  <si>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</si>
  <si>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</si>
  <si>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</si>
  <si>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</si>
  <si>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</si>
  <si>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</si>
  <si>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</si>
  <si>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</si>
  <si>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</si>
  <si>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</si>
  <si>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</si>
  <si>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</si>
  <si>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</si>
  <si>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</si>
  <si>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</si>
  <si>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</si>
  <si>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</si>
  <si>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</si>
  <si>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</si>
  <si>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</si>
  <si>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</si>
  <si>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</si>
  <si>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</si>
  <si>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</si>
  <si>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</si>
  <si>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</si>
  <si>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</si>
  <si>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</si>
  <si>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</si>
  <si>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</si>
  <si>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</si>
  <si>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</si>
  <si>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</si>
  <si>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</si>
  <si>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</si>
  <si>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</si>
  <si>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</si>
  <si>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</si>
  <si>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</si>
  <si>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</si>
  <si>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</si>
  <si>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</si>
  <si>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</si>
  <si>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</si>
  <si>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</si>
  <si>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</si>
  <si>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</si>
  <si>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</si>
  <si>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</si>
  <si>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</si>
  <si>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</si>
  <si>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</si>
  <si>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</si>
  <si>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</si>
  <si>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</si>
  <si>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</si>
  <si>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</si>
  <si>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</si>
  <si>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</si>
  <si>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</si>
  <si>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</si>
  <si>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</si>
  <si>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</si>
  <si>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</si>
  <si>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</si>
  <si>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</si>
  <si>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</si>
  <si>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</si>
  <si>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</si>
  <si>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</si>
  <si>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</si>
  <si>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</si>
  <si>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</si>
  <si>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</si>
  <si>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</si>
  <si>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</si>
  <si>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</si>
  <si>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</si>
  <si>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</si>
  <si>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</si>
  <si>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</si>
  <si>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</si>
  <si>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</si>
  <si>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</si>
  <si>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</si>
  <si>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</si>
  <si>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</si>
  <si>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</si>
  <si>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</si>
  <si>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</si>
  <si>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</si>
  <si>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</si>
  <si>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</si>
  <si>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</si>
  <si>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</si>
  <si>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</si>
  <si>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</si>
  <si>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</si>
  <si>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</si>
  <si>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</si>
  <si>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</si>
  <si>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</si>
  <si>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</si>
  <si>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</si>
  <si>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</si>
  <si>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</si>
  <si>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</si>
  <si>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</si>
  <si>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</si>
  <si>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</si>
  <si>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</si>
  <si>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</si>
  <si>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</si>
  <si>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</si>
  <si>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</si>
  <si>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</si>
  <si>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</si>
  <si>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</si>
  <si>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</si>
  <si>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</si>
  <si>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</si>
  <si>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</si>
  <si>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</si>
  <si>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</si>
  <si>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</si>
  <si>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</si>
  <si>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</si>
  <si>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</si>
  <si>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</si>
  <si>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</si>
  <si>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</si>
  <si>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</si>
  <si>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</si>
  <si>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</si>
  <si>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</si>
  <si>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</si>
  <si>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</si>
  <si>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</si>
  <si>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</si>
  <si>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</si>
  <si>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</si>
  <si>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</si>
  <si>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</si>
  <si>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</si>
  <si>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</si>
  <si>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</si>
  <si>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</si>
  <si>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</si>
  <si>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</si>
  <si>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</si>
  <si>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</si>
  <si>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</si>
  <si>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</si>
  <si>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</si>
  <si>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</si>
  <si>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</si>
  <si>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</si>
  <si>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</si>
  <si>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</si>
  <si>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</si>
  <si>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</si>
  <si>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</si>
  <si>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</si>
  <si>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</si>
  <si>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</si>
  <si>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</si>
  <si>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</si>
  <si>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</si>
  <si>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</si>
  <si>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</si>
  <si>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</si>
  <si>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</si>
  <si>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</si>
  <si>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</si>
  <si>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</si>
  <si>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</si>
  <si>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</si>
  <si>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</si>
  <si>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</si>
  <si>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</si>
  <si>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</si>
  <si>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</si>
  <si>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</si>
  <si>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</si>
  <si>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</si>
  <si>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</si>
  <si>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</si>
  <si>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</si>
  <si>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</si>
  <si>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</si>
  <si>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</si>
  <si>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</si>
  <si>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</si>
  <si>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</si>
  <si>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</si>
  <si>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</si>
  <si>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</si>
  <si>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</si>
  <si>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</si>
  <si>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</si>
  <si>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</si>
  <si>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</si>
  <si>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</si>
  <si>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</si>
  <si>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</si>
  <si>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</si>
  <si>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</si>
  <si>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</si>
  <si>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</si>
  <si>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</si>
  <si>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</si>
  <si>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</si>
  <si>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</si>
  <si>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</si>
  <si>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</si>
  <si>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</si>
  <si>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</si>
  <si>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</si>
  <si>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</si>
  <si>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</si>
  <si>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</si>
  <si>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</si>
  <si>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</si>
  <si>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</si>
  <si>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</si>
  <si>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</si>
  <si>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</si>
  <si>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</si>
  <si>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</si>
  <si>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</si>
  <si>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</si>
  <si>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</si>
  <si>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</si>
  <si>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</si>
  <si>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</si>
  <si>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</si>
  <si>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</si>
  <si>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</si>
  <si>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</si>
  <si>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</si>
  <si>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</si>
  <si>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</si>
  <si>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</si>
  <si>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</si>
  <si>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</si>
  <si>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</si>
  <si>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</si>
  <si>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</si>
  <si>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</si>
  <si>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</si>
  <si>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</si>
  <si>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</si>
  <si>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</si>
  <si>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</si>
  <si>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</si>
  <si>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</si>
  <si>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</si>
  <si>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</si>
  <si>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</si>
  <si>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</si>
  <si>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</si>
  <si>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</si>
  <si>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</si>
  <si>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</si>
  <si>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</si>
  <si>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</si>
  <si>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</si>
  <si>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</si>
  <si>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</si>
  <si>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</si>
  <si>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</si>
  <si>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</si>
  <si>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</si>
  <si>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</si>
  <si>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</si>
  <si>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</si>
  <si>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</si>
  <si>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</si>
  <si>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</si>
  <si>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</si>
  <si>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</si>
  <si>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</si>
  <si>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</si>
  <si>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</si>
  <si>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</si>
  <si>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</si>
  <si>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</si>
  <si>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</si>
  <si>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</si>
  <si>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</si>
  <si>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</si>
  <si>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</si>
  <si>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</si>
  <si>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</si>
  <si>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</si>
  <si>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</si>
  <si>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</si>
  <si>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</si>
  <si>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</si>
  <si>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</si>
  <si>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</si>
  <si>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其它商服用地</t>
    <phoneticPr fontId="6" type="noConversion"/>
  </si>
  <si>
    <t>一致</t>
  </si>
  <si>
    <t>符合</t>
  </si>
  <si>
    <t>出让</t>
  </si>
  <si>
    <t>商业</t>
  </si>
  <si>
    <t>否</t>
  </si>
  <si>
    <t>地上</t>
  </si>
  <si>
    <t>不动产收益法</t>
  </si>
  <si>
    <t>押一</t>
  </si>
  <si>
    <t>按租金收入计税</t>
  </si>
  <si>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</si>
  <si>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</si>
  <si>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</si>
  <si>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</si>
  <si>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</si>
  <si>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</si>
  <si>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</si>
  <si>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</si>
  <si>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</si>
  <si>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</si>
  <si>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</si>
  <si>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</si>
  <si>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</si>
  <si>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寿光市化龙镇潍高路以北、王钦河以东</t>
  </si>
  <si>
    <t>潍坊市</t>
  </si>
  <si>
    <t>商业/办公用地</t>
  </si>
  <si>
    <t>小于或等于1.8</t>
  </si>
  <si>
    <t>挂牌</t>
  </si>
  <si>
    <t>2018-09-15</t>
  </si>
  <si>
    <t>寿光市渤海工贸有限公司</t>
  </si>
  <si>
    <t>寿光市刘旺街以南、永安路以西</t>
  </si>
  <si>
    <t>小于或等于2.5</t>
  </si>
  <si>
    <t>2018-05-27</t>
  </si>
  <si>
    <t>寿光市圣北机动车检测有限公司</t>
  </si>
  <si>
    <t>寿光市黄海路以西、李二庄村以南</t>
  </si>
  <si>
    <t>小于或等于1</t>
  </si>
  <si>
    <t>2018-04-12</t>
  </si>
  <si>
    <t>寿光晨鸣工业物流有限公司</t>
  </si>
  <si>
    <t>寿光市营里镇新海路以北、羊临路以西</t>
  </si>
  <si>
    <t>2018-03-08</t>
  </si>
  <si>
    <t>潍坊西能宝泉天然气有限公司</t>
  </si>
  <si>
    <t>寿光市银海路以东、广场街以南</t>
  </si>
  <si>
    <t>2018-02-07</t>
  </si>
  <si>
    <t>山东东宇工贸集团股份有限公司</t>
  </si>
  <si>
    <t>寿光市洛兴街以北、豪源路以西</t>
  </si>
  <si>
    <t>小于或等于1.1</t>
  </si>
  <si>
    <t>2018-01-29</t>
  </si>
  <si>
    <t>寿光中南房地产开发有限公司</t>
  </si>
  <si>
    <t>寿光市元丰街以南、规划路以西</t>
  </si>
  <si>
    <t>2017-10-18</t>
  </si>
  <si>
    <t>寿光燎东置业有限公司</t>
  </si>
  <si>
    <t>寿光市新兴街以北、北海路以东</t>
  </si>
  <si>
    <t>小于或等于3.5</t>
  </si>
  <si>
    <t>2017-08-13</t>
  </si>
  <si>
    <t>山东现代实业集团置业有限公司</t>
  </si>
  <si>
    <t>寿光市营里镇新海路以南、羊临路以西</t>
  </si>
  <si>
    <t>2017-07-20</t>
  </si>
  <si>
    <t>潍坊胜利天然气有限公司</t>
  </si>
  <si>
    <t>寿光市德寿街以南、菜都路以西</t>
  </si>
  <si>
    <t>2017-06-26</t>
  </si>
  <si>
    <t>寿光市顺达机动车检测有限公司</t>
  </si>
  <si>
    <t>寿光市侯镇新海路以北、大九路以东</t>
  </si>
  <si>
    <t>寿光市东方加油站</t>
  </si>
  <si>
    <t>寿光市广场街以南、银海路以东</t>
  </si>
  <si>
    <t>小于或等于2</t>
  </si>
  <si>
    <t>2017-02-24</t>
  </si>
  <si>
    <t>寿光市羊口镇羊田路以西、宅科五村采矿用地以北</t>
  </si>
  <si>
    <t>大于或等于1并且小于或等于2</t>
  </si>
  <si>
    <t>2017-01-23</t>
  </si>
  <si>
    <t>山东寿光鲁清石化物流有限公司</t>
  </si>
  <si>
    <t>寿光市古城街道北环路以南、幸福路以东</t>
  </si>
  <si>
    <t>山东寿光鲁清石化物流服务有限公司</t>
  </si>
  <si>
    <t>寿光市羊口镇安全街以东、建设路以北、健康街以西</t>
  </si>
  <si>
    <t>2016-12-29</t>
  </si>
  <si>
    <t>寿光市宏景城镇建设投资有限公司</t>
  </si>
  <si>
    <t>正常</t>
    <phoneticPr fontId="26" type="noConversion"/>
  </si>
  <si>
    <t>正常</t>
    <phoneticPr fontId="26" type="noConversion"/>
  </si>
  <si>
    <t>楼面地价</t>
  </si>
  <si>
    <t>钢混</t>
  </si>
  <si>
    <t>比较法-住宅、综合</t>
  </si>
  <si>
    <t>剩余法-待开发</t>
  </si>
  <si>
    <t>鲁（2016）寿光市不动产权第002514号</t>
    <phoneticPr fontId="233" type="noConversion"/>
  </si>
  <si>
    <t>鲁（2016）寿光市不动产权第002518号</t>
    <phoneticPr fontId="233" type="noConversion"/>
  </si>
  <si>
    <t>鲁（2016）寿光市不动产权第002519号</t>
    <phoneticPr fontId="233" type="noConversion"/>
  </si>
  <si>
    <t>鲁（2016）寿光市不动产权第002520号</t>
    <phoneticPr fontId="233" type="noConversion"/>
  </si>
  <si>
    <t>鲁（2016）寿光市不动产权第002521号</t>
    <phoneticPr fontId="233" type="noConversion"/>
  </si>
  <si>
    <t>鲁（2016）寿光市不动产权第002523号</t>
    <phoneticPr fontId="233" type="noConversion"/>
  </si>
  <si>
    <t>鲁（2016）寿光市不动产权第002524号</t>
    <phoneticPr fontId="233" type="noConversion"/>
  </si>
  <si>
    <t>证号缩写</t>
    <phoneticPr fontId="233" type="noConversion"/>
  </si>
  <si>
    <t>建筑面积</t>
    <phoneticPr fontId="233" type="noConversion"/>
  </si>
  <si>
    <t>商业</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</si>
  <si>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</si>
  <si>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</si>
  <si>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</si>
  <si>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</si>
  <si>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</si>
  <si>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</si>
  <si>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适宜</t>
    <phoneticPr fontId="26" type="noConversion"/>
  </si>
  <si>
    <t>较适宜</t>
  </si>
  <si>
    <t>较适宜</t>
    <phoneticPr fontId="26" type="noConversion"/>
  </si>
  <si>
    <t>较不适宜</t>
  </si>
  <si>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</si>
  <si>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</si>
  <si>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</si>
  <si>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</si>
  <si>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</si>
  <si>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</si>
  <si>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</si>
  <si>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</si>
  <si>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</si>
  <si>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</si>
  <si>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</si>
  <si>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</si>
  <si>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</si>
  <si>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</si>
  <si>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商业繁华度</t>
    <phoneticPr fontId="3" type="noConversion"/>
  </si>
  <si>
    <t>交通便捷度</t>
    <phoneticPr fontId="3" type="noConversion"/>
  </si>
  <si>
    <t>自然及人文环境</t>
    <phoneticPr fontId="3"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</si>
  <si>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</si>
  <si>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</si>
  <si>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</si>
  <si>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</si>
  <si>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</si>
  <si>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土地面积</t>
    <phoneticPr fontId="3" type="noConversion"/>
  </si>
  <si>
    <t>0（含）-10000</t>
  </si>
  <si>
    <t>90000（含）-100000</t>
  </si>
  <si>
    <t>10000（含）-20000</t>
  </si>
  <si>
    <r>
      <rPr>
        <b/>
        <sz val="10"/>
        <color indexed="10"/>
        <rFont val="宋体"/>
        <family val="3"/>
        <charset val="134"/>
      </rPr>
      <t>估价对象</t>
    </r>
    <r>
      <rPr>
        <b/>
        <sz val="10"/>
        <color indexed="10"/>
        <rFont val="Arial"/>
        <family val="2"/>
      </rPr>
      <t>1</t>
    </r>
    <phoneticPr fontId="21" type="noConversion"/>
  </si>
  <si>
    <t>宗地形状</t>
    <phoneticPr fontId="3" type="noConversion"/>
  </si>
  <si>
    <t>规则</t>
    <phoneticPr fontId="21" type="noConversion"/>
  </si>
  <si>
    <t>较规则</t>
    <phoneticPr fontId="21" type="noConversion"/>
  </si>
  <si>
    <t>较不规则</t>
  </si>
  <si>
    <t>较不规则</t>
    <phoneticPr fontId="21" type="noConversion"/>
  </si>
  <si>
    <t>不规则</t>
    <phoneticPr fontId="21" type="noConversion"/>
  </si>
  <si>
    <t>华澳国际信托有限公司</t>
    <phoneticPr fontId="6" type="noConversion"/>
  </si>
  <si>
    <t>山东省</t>
    <phoneticPr fontId="6" type="noConversion"/>
  </si>
  <si>
    <t>商业</t>
    <phoneticPr fontId="6" type="noConversion"/>
  </si>
  <si>
    <t>60000（含）-70000</t>
  </si>
  <si>
    <t>出让终止日期</t>
    <phoneticPr fontId="233" type="noConversion"/>
  </si>
  <si>
    <t>K</t>
    <phoneticPr fontId="233" type="noConversion"/>
  </si>
  <si>
    <t>土地使用年限</t>
    <phoneticPr fontId="3" type="noConversion"/>
  </si>
  <si>
    <t>基准</t>
  </si>
  <si>
    <t>基准</t>
    <phoneticPr fontId="21" type="noConversion"/>
  </si>
  <si>
    <t>K1</t>
    <phoneticPr fontId="233" type="noConversion"/>
  </si>
  <si>
    <t>修正</t>
    <phoneticPr fontId="233" type="noConversion"/>
  </si>
  <si>
    <t>估价对象7</t>
    <phoneticPr fontId="21" type="noConversion"/>
  </si>
  <si>
    <t>寿光市生态湿地旅游开发有限公司</t>
    <phoneticPr fontId="6" type="noConversion"/>
  </si>
  <si>
    <t>估价对象2</t>
    <phoneticPr fontId="21" type="noConversion"/>
  </si>
  <si>
    <t>估价对象3</t>
    <phoneticPr fontId="21" type="noConversion"/>
  </si>
  <si>
    <t>估价对象4</t>
    <phoneticPr fontId="21" type="noConversion"/>
  </si>
  <si>
    <t>估价对象5</t>
    <phoneticPr fontId="21" type="noConversion"/>
  </si>
  <si>
    <t>估价对象6</t>
    <phoneticPr fontId="21" type="noConversion"/>
  </si>
  <si>
    <t>估价对象7</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</si>
</sst>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6" fillId="0" borderId="0" xfId="16" applyFill="1"/>
    <xf numFmtId="0" fontId="0" fillId="0" borderId="0" xfId="0" applyFill="1">
      <alignment vertical="center"/>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4" fontId="0" fillId="0" borderId="0" xfId="0" applyNumberFormat="1">
      <alignment vertical="center"/>
    </xf>
    <xf numFmtId="179" fontId="76" fillId="0" borderId="110" xfId="0" applyNumberFormat="1" applyFont="1" applyFill="1" applyBorder="1" applyAlignment="1" applyProtection="1">
      <alignment horizontal="center" vertical="center" wrapText="1"/>
      <protection locked="0"/>
    </xf>
    <xf numFmtId="0" fontId="277"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0010;&#25151;&#2013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43278</v>
          </cell>
        </row>
        <row r="22">
          <cell r="B22">
            <v>91744.249999999985</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2658</v>
      </c>
      <c r="B1" s="2890" t="s">
        <v>2755</v>
      </c>
    </row>
    <row r="2" spans="1:55" s="2894" customFormat="1" ht="15" thickTop="1">
      <c r="A2" s="2892" t="s">
        <v>2662</v>
      </c>
      <c r="B2" s="2893" t="str">
        <f>'预评函-封皮'!B37</f>
        <v>山东省出让国有建设用地使用权抵押价格预评估</v>
      </c>
      <c r="AX2" s="2895"/>
      <c r="AZ2" s="2895"/>
      <c r="BA2" s="2896"/>
      <c r="BC2" s="2896"/>
    </row>
    <row r="3" spans="1:55" s="2897" customFormat="1">
      <c r="A3" s="2876" t="s">
        <v>2663</v>
      </c>
      <c r="B3" s="2879" t="str">
        <f>'预评函-封皮'!B40</f>
        <v>华澳国际信托有限公司</v>
      </c>
    </row>
    <row r="4" spans="1:55" s="2878" customFormat="1">
      <c r="A4" s="2876" t="s">
        <v>2664</v>
      </c>
      <c r="B4" s="2877" t="str">
        <f>'预评函-封皮'!B46</f>
        <v>土地估价师、土地估价师</v>
      </c>
      <c r="N4" s="2878" t="str">
        <f>'预评函-1'!A28</f>
        <v/>
      </c>
    </row>
    <row r="5" spans="1:55" s="2891" customFormat="1" ht="15" thickBot="1">
      <c r="A5" s="2898" t="s">
        <v>2665</v>
      </c>
      <c r="B5" s="2899" t="str">
        <f>'预评函-封皮'!B49</f>
        <v>康正预评字号</v>
      </c>
    </row>
    <row r="6" spans="1:55" s="2900" customFormat="1" ht="15" thickTop="1">
      <c r="A6" s="2892" t="s">
        <v>2707</v>
      </c>
      <c r="B6" s="2893" t="str">
        <f>'预评函-1'!A4</f>
        <v>受贵公司委托，我公司对山东省出让国有建设用地使用权抵押价格进行了预评估。</v>
      </c>
      <c r="AM6" s="2901"/>
    </row>
    <row r="7" spans="1:55" s="2875" customFormat="1">
      <c r="A7" s="2876" t="s">
        <v>2659</v>
      </c>
      <c r="B7" s="2877" t="str">
        <f>'预评函-1'!A6</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8" spans="1:55" s="2875" customFormat="1">
      <c r="A8" s="2876" t="s">
        <v>2660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2710</v>
      </c>
      <c r="B9" s="2877" t="str">
        <f>'预评函-1'!A9</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55" s="2875" customFormat="1">
      <c r="A10" s="2876" t="s">
        <v>2661</v>
      </c>
      <c r="B10" s="2877" t="str">
        <f>'预评函-1'!A11</f>
        <v>2018年11月13日（评估专业人员勘察现场之日）</v>
      </c>
    </row>
    <row r="11" spans="1:55" s="2875" customFormat="1">
      <c r="A11" s="2876" t="s">
        <v>2667</v>
      </c>
      <c r="B11" s="2877" t="str">
        <f>'预评函-1'!A14</f>
        <v>根据《国有土地使用证》[]，本次评估估价对象证载（地类）用途为其它商服用地。</v>
      </c>
    </row>
    <row r="12" spans="1:55" s="2875" customFormat="1">
      <c r="A12" s="2876" t="s">
        <v>2668</v>
      </c>
      <c r="B12" s="2877" t="str">
        <f>'预评函-1'!A15</f>
        <v>本次评估设定用途即为证载用途商业。</v>
      </c>
    </row>
    <row r="13" spans="1:55" s="2875" customFormat="1">
      <c r="A13" s="2876" t="s">
        <v>2669</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2670</v>
      </c>
      <c r="B14" s="2877" t="str">
        <f>'预评函-1'!A18</f>
        <v>。本次评估设定土地开发程度为红线外市政基础设施达“七通”、宗地红线内场地平整。</v>
      </c>
    </row>
    <row r="15" spans="1:55" s="2875" customFormat="1">
      <c r="A15" s="2876" t="s">
        <v>2666</v>
      </c>
      <c r="B15" s="2877" t="str">
        <f>'预评函-1'!A20</f>
        <v>根据《国有土地使用证》[]，估价对象（分摊）出让国有建设用地使用权面积为6066平方米。根据《建设工程规划许可证》[]、《出让合同》[]，估价对象规划建筑面积为18198平方米。</v>
      </c>
    </row>
    <row r="16" spans="1:55" s="2875" customFormat="1">
      <c r="A16" s="2876" t="s">
        <v>2671</v>
      </c>
      <c r="B16" s="2877" t="str">
        <f>'预评函-1'!A22</f>
        <v>本次估价对象为出让国有建设用地使用权，《国有土地使用证》[]证载土地终止日期为商业2054年5月29日。截至估价期日，出让国有建设用地使用权剩余土地使用年限为。</v>
      </c>
    </row>
    <row r="17" spans="1:48" s="2875" customFormat="1">
      <c r="A17" s="2876" t="s">
        <v>2672</v>
      </c>
      <c r="B17" s="2877" t="str">
        <f>'预评函-1'!A23</f>
        <v>本次评估设定估价对象剩余土地使用年限为。</v>
      </c>
    </row>
    <row r="18" spans="1:48" s="2875" customFormat="1">
      <c r="A18" s="2876" t="s">
        <v>2673</v>
      </c>
      <c r="B18" s="2877" t="str">
        <f>'预评函-1'!A25</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19" spans="1:48" s="2875" customFormat="1">
      <c r="A19" s="2876" t="s">
        <v>2674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2676</v>
      </c>
      <c r="B21" s="2899" t="str">
        <f>'预评函-1'!A28</f>
        <v/>
      </c>
    </row>
    <row r="22" spans="1:48" ht="15" thickTop="1">
      <c r="A22" s="2887" t="s">
        <v>2677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2678</v>
      </c>
      <c r="B23" s="2877" t="str">
        <f>'预评函-2'!K2</f>
        <v>估价期日：2018年11月13日</v>
      </c>
    </row>
    <row r="24" spans="1:48">
      <c r="A24" s="2876" t="s">
        <v>2679</v>
      </c>
      <c r="B24" s="2877" t="str">
        <f>'预评函-2'!R2</f>
        <v>估价期日的国有建设用地使用权性质：出让</v>
      </c>
    </row>
    <row r="25" spans="1:48">
      <c r="A25" s="2876" t="s">
        <v>2735</v>
      </c>
      <c r="B25" s="2877" t="str">
        <f>'预评函-2'!A3</f>
        <v>估价期日土地使用者</v>
      </c>
    </row>
    <row r="26" spans="1:48">
      <c r="A26" s="2876" t="s">
        <v>2711</v>
      </c>
      <c r="B26" s="2877" t="str">
        <f>'预评函-2'!A5</f>
        <v>中信开发</v>
      </c>
    </row>
    <row r="27" spans="1:48">
      <c r="A27" s="2876" t="s">
        <v>2736</v>
      </c>
      <c r="B27" s="2877" t="str">
        <f>'预评函-2'!B3</f>
        <v>宗地编号/不动产单元号</v>
      </c>
    </row>
    <row r="28" spans="1:48">
      <c r="A28" s="2876" t="s">
        <v>2712</v>
      </c>
      <c r="B28" s="2877" t="str">
        <f>'预评函-2'!B5</f>
        <v>11111111111</v>
      </c>
    </row>
    <row r="29" spans="1:48">
      <c r="A29" s="2876" t="s">
        <v>2738</v>
      </c>
      <c r="B29" s="2877">
        <f>'预评函-2'!C5</f>
        <v>22</v>
      </c>
    </row>
    <row r="30" spans="1:48">
      <c r="A30" s="2876" t="s">
        <v>2739</v>
      </c>
      <c r="B30" s="2877" t="str">
        <f>'预评函-2'!D3</f>
        <v>土地使用证编号/不动产权证书编号</v>
      </c>
    </row>
    <row r="31" spans="1:48">
      <c r="A31" s="2876" t="s">
        <v>2713</v>
      </c>
      <c r="B31" s="2877" t="str">
        <f>'预评函-2'!D5</f>
        <v>京国土字第111号</v>
      </c>
    </row>
    <row r="32" spans="1:48">
      <c r="A32" s="2876" t="s">
        <v>2714</v>
      </c>
      <c r="B32" s="2877" t="str">
        <f>'预评函-2'!E5</f>
        <v>其它商服用地</v>
      </c>
      <c r="AV32" s="2881"/>
    </row>
    <row r="33" spans="1:2">
      <c r="A33" s="2876" t="s">
        <v>2715</v>
      </c>
      <c r="B33" s="2877">
        <f>'预评函-2'!F5</f>
        <v>258</v>
      </c>
    </row>
    <row r="34" spans="1:2">
      <c r="A34" s="2876" t="s">
        <v>2716</v>
      </c>
      <c r="B34" s="2877" t="str">
        <f>'预评函-2'!G5</f>
        <v>商业</v>
      </c>
    </row>
    <row r="35" spans="1:2">
      <c r="A35" s="2876" t="s">
        <v>2717</v>
      </c>
      <c r="B35" s="2877">
        <f>'预评函-2'!H5</f>
        <v>1.5</v>
      </c>
    </row>
    <row r="36" spans="1:2">
      <c r="A36" s="2876" t="s">
        <v>2718</v>
      </c>
      <c r="B36" s="2877">
        <f>'预评函-2'!I5</f>
        <v>1.5</v>
      </c>
    </row>
    <row r="37" spans="1:2">
      <c r="A37" s="2876" t="s">
        <v>2719</v>
      </c>
      <c r="B37" s="2877">
        <f>'预评函-2'!J5</f>
        <v>1.5</v>
      </c>
    </row>
    <row r="38" spans="1:2">
      <c r="A38" s="2876" t="s">
        <v>2720</v>
      </c>
      <c r="B38" s="2877" t="str">
        <f>'预评函-2'!K5</f>
        <v>红线外七通、宗地红线内</v>
      </c>
    </row>
    <row r="39" spans="1:2">
      <c r="A39" s="2876" t="s">
        <v>2721</v>
      </c>
      <c r="B39" s="2877" t="str">
        <f>'预评函-2'!L5</f>
        <v>红线外七通、宗地红线内场地</v>
      </c>
    </row>
    <row r="40" spans="1:2">
      <c r="A40" s="2876" t="s">
        <v>2740</v>
      </c>
      <c r="B40" s="2877" t="str">
        <f>'预评函-2'!M3</f>
        <v>（剩余）土地使用年限/年</v>
      </c>
    </row>
    <row r="41" spans="1:2">
      <c r="A41" s="2876" t="s">
        <v>2722</v>
      </c>
      <c r="B41" s="2877">
        <f>'预评函-2'!M5</f>
        <v>0</v>
      </c>
    </row>
    <row r="42" spans="1:2">
      <c r="A42" s="2876" t="s">
        <v>2741</v>
      </c>
      <c r="B42" s="2877" t="str">
        <f>'预评函-2'!N3</f>
        <v>（分摊）出让国有建设用地使用权面积/㎡</v>
      </c>
    </row>
    <row r="43" spans="1:2">
      <c r="A43" s="2876" t="s">
        <v>2723</v>
      </c>
      <c r="B43" s="2877">
        <f>'预评函-2'!N5</f>
        <v>6066</v>
      </c>
    </row>
    <row r="44" spans="1:2">
      <c r="A44" s="2876" t="s">
        <v>2742</v>
      </c>
      <c r="B44" s="2877" t="str">
        <f>'预评函-2'!O3</f>
        <v>规划建筑面积/㎡</v>
      </c>
    </row>
    <row r="45" spans="1:2">
      <c r="A45" s="2876" t="s">
        <v>2724</v>
      </c>
      <c r="B45" s="2877">
        <f>'预评函-2'!O5</f>
        <v>18198</v>
      </c>
    </row>
    <row r="46" spans="1:2">
      <c r="A46" s="2876" t="s">
        <v>2725</v>
      </c>
      <c r="B46" s="2877">
        <f ca="1">'预评函-2'!P5</f>
        <v>2550</v>
      </c>
    </row>
    <row r="47" spans="1:2">
      <c r="A47" s="2876" t="s">
        <v>2726</v>
      </c>
      <c r="B47" s="2877">
        <f ca="1">'预评函-2'!Q5</f>
        <v>850</v>
      </c>
    </row>
    <row r="48" spans="1:2">
      <c r="A48" s="2876" t="s">
        <v>2727</v>
      </c>
      <c r="B48" s="2877">
        <f ca="1">'预评函-2'!R5</f>
        <v>1547</v>
      </c>
    </row>
    <row r="49" spans="1:2">
      <c r="A49" s="2876" t="s">
        <v>2743</v>
      </c>
      <c r="B49" s="2877" t="str">
        <f>'预评函-2'!A6</f>
        <v>抵押价格</v>
      </c>
    </row>
    <row r="50" spans="1:2">
      <c r="A50" s="2876" t="s">
        <v>2728</v>
      </c>
      <c r="B50" s="2877">
        <f ca="1">'预评函-2'!R6</f>
        <v>1547</v>
      </c>
    </row>
    <row r="51" spans="1:2">
      <c r="A51" s="2876" t="s">
        <v>2744</v>
      </c>
      <c r="B51" s="2877" t="str">
        <f>'预评函-2'!A7</f>
        <v>——</v>
      </c>
    </row>
    <row r="52" spans="1:2">
      <c r="A52" s="2876" t="s">
        <v>2729</v>
      </c>
      <c r="B52" s="2877" t="str">
        <f>'预评函-2'!R7</f>
        <v>——</v>
      </c>
    </row>
    <row r="53" spans="1:2">
      <c r="A53" s="2876" t="s">
        <v>2745</v>
      </c>
      <c r="B53" s="2877" t="str">
        <f>'预评函-2'!A8</f>
        <v>——</v>
      </c>
    </row>
    <row r="54" spans="1:2" s="2891" customFormat="1" ht="15" thickBot="1">
      <c r="A54" s="2898" t="s">
        <v>2730</v>
      </c>
      <c r="B54" s="2899" t="str">
        <f>'预评函-2'!R8</f>
        <v>——</v>
      </c>
    </row>
    <row r="55" spans="1:2" ht="15" thickTop="1">
      <c r="A55" s="2887" t="s">
        <v>2680</v>
      </c>
      <c r="B55" s="2888" t="str">
        <f>'预评函-3'!A2</f>
        <v>1.权利限制：根据估价对象《不动产权证书》原件、《国有土地使用权》复印件，截至估价期日，估价对象抵押权未见登记。未设定租赁等其他他项权利。</v>
      </c>
    </row>
    <row r="56" spans="1:2">
      <c r="A56" s="2876" t="s">
        <v>2681</v>
      </c>
      <c r="B56" s="2877" t="str">
        <f>'预评函-3'!A3</f>
        <v>2.基础设施条件：估价对象实际开发程度为红线外七通、宗地红线内；本次评估设定开发程度为红线外七通、宗地红线内场地。</v>
      </c>
    </row>
    <row r="57" spans="1:2">
      <c r="A57" s="2876" t="s">
        <v>2682</v>
      </c>
      <c r="B57" s="2877" t="str">
        <f>'预评函-3'!A4</f>
        <v>3.估价规划限制条件：详见《建设工程规划许可证》[]、《出让合同》[]。</v>
      </c>
    </row>
    <row r="58" spans="1:2" s="2891" customFormat="1" ht="15" thickBot="1">
      <c r="A58" s="2898" t="s">
        <v>2731</v>
      </c>
      <c r="B58" s="2899" t="str">
        <f>'预评函-3'!A5</f>
        <v>4.影响价格的其他限定条件：无。</v>
      </c>
    </row>
    <row r="59" spans="1:2" ht="15" thickTop="1">
      <c r="A59" s="2887" t="s">
        <v>2683</v>
      </c>
      <c r="B59" s="2888" t="str">
        <f>'预评函-3'!A8</f>
        <v>2.本《评估意见函》仅供金融机构进行内部审核使用，不做其他目的之用。</v>
      </c>
    </row>
    <row r="60" spans="1:2">
      <c r="A60" s="2876" t="s">
        <v>2684</v>
      </c>
      <c r="B60" s="2877" t="str">
        <f>'预评函-3'!A9</f>
        <v>3.抵押双方在办理抵押登记手续时，应使用本公司出具的正式《土地估价报告》，特提请报告使用者注意。</v>
      </c>
    </row>
    <row r="61" spans="1:2">
      <c r="A61" s="2876" t="s">
        <v>2686</v>
      </c>
      <c r="B61" s="2877" t="str">
        <f>'预评函-3'!A10</f>
        <v>4.估价师所知悉的法定优先受偿款情况为：</v>
      </c>
    </row>
    <row r="62" spans="1:2">
      <c r="A62" s="2876" t="s">
        <v>2685</v>
      </c>
      <c r="B62" s="2877" t="str">
        <f>'预评函-3'!A11</f>
        <v>（1）根据估价对象《不动产权证书》原件、《国有土地使用权》复印件，截至估价期日，估价对象抵押权未见登记。</v>
      </c>
    </row>
    <row r="63" spans="1:2">
      <c r="A63" s="2876" t="s">
        <v>2687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2688</v>
      </c>
      <c r="B64" s="2882" t="str">
        <f>'预评函-3'!A13</f>
        <v>（3）。</v>
      </c>
    </row>
    <row r="65" spans="1:2">
      <c r="A65" s="2876" t="s">
        <v>2689</v>
      </c>
      <c r="B65" s="2883" t="str">
        <f>'预评函-3'!A14</f>
        <v>综上，本次评估不存在估价师知悉的法定优先受偿款</v>
      </c>
    </row>
    <row r="66" spans="1:2">
      <c r="A66" s="2876" t="s">
        <v>2690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2694</v>
      </c>
      <c r="B68" s="2902">
        <f>'预评函-3'!D30</f>
        <v>42558</v>
      </c>
    </row>
    <row r="69" spans="1:2" ht="15" thickTop="1">
      <c r="A69" s="2887" t="s">
        <v>2692</v>
      </c>
      <c r="B69" s="2888" t="str">
        <f>'预评函-3'!A20</f>
        <v>土地估价师</v>
      </c>
    </row>
    <row r="70" spans="1:2">
      <c r="A70" s="2876" t="s">
        <v>2692</v>
      </c>
      <c r="B70" s="2883">
        <f>'预评函-3'!B20</f>
        <v>0</v>
      </c>
    </row>
    <row r="71" spans="1:2">
      <c r="A71" s="2876" t="s">
        <v>2693</v>
      </c>
      <c r="B71" s="2877" t="str">
        <f>'预评函-3'!A21</f>
        <v>土地估价师</v>
      </c>
    </row>
    <row r="72" spans="1:2" s="2891" customFormat="1" ht="15" thickBot="1">
      <c r="A72" s="2898" t="s">
        <v>2693</v>
      </c>
      <c r="B72" s="2904">
        <f>'预评函-3'!B21</f>
        <v>0</v>
      </c>
    </row>
    <row r="73" spans="1:2" ht="15" thickTop="1">
      <c r="A73" s="2887" t="s">
        <v>2752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2789</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7" sqref="E17"/>
    </sheetView>
  </sheetViews>
  <sheetFormatPr defaultColWidth="10" defaultRowHeight="14.25"/>
  <cols>
    <col min="1" max="1" width="15.375" style="1691" customWidth="1"/>
    <col min="2" max="2" width="11.375" style="1691" customWidth="1"/>
    <col min="3" max="3" width="12.625" style="1691" customWidth="1"/>
    <col min="4" max="4" width="12.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23" t="str">
        <f>IF(B10="北京市","北京市",C10)&amp;F10&amp;B16&amp;"国有建设用地使用权"&amp;B9&amp;"预评估"</f>
        <v>山东省出让国有建设用地使用权抵押价格预评估</v>
      </c>
      <c r="C1" s="3224"/>
      <c r="D1" s="3224"/>
      <c r="E1" s="3224"/>
      <c r="F1" s="3224"/>
      <c r="G1" s="3224"/>
      <c r="H1" s="3224"/>
      <c r="I1" s="3225"/>
      <c r="J1" s="1694"/>
      <c r="K1" s="2453" t="str">
        <f>IF(B10="北京市","北京市",C10)&amp;F10&amp;B16&amp;"国有建设用地使用权"&amp;B9</f>
        <v>山东省出让国有建设用地使用权抵押价格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3" t="str">
        <f>IF(B10="北京市","北京市",C10)&amp;F10&amp;B16&amp;"国有建设用地使用权"</f>
        <v>山东省出让国有建设用地使用权</v>
      </c>
      <c r="L2" s="1723"/>
      <c r="M2" s="1723"/>
      <c r="N2" s="1694"/>
      <c r="O2" s="1695"/>
      <c r="P2" s="1694"/>
      <c r="Q2" s="1694"/>
      <c r="R2" s="1694"/>
      <c r="S2" s="1694"/>
      <c r="T2" s="1694"/>
      <c r="U2" s="1694"/>
    </row>
    <row r="3" spans="1:21">
      <c r="A3" s="1661" t="s">
        <v>1941</v>
      </c>
      <c r="B3" s="1662">
        <v>43417</v>
      </c>
      <c r="C3" s="1663" t="s">
        <v>1997</v>
      </c>
      <c r="D3" s="1662">
        <v>43417</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3"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t="s">
        <v>3121</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3121</v>
      </c>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t="s">
        <v>3133</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2983</v>
      </c>
      <c r="C8" s="1671"/>
      <c r="D8" s="3229" t="s">
        <v>1946</v>
      </c>
      <c r="E8" s="1844" t="s">
        <v>2984</v>
      </c>
      <c r="F8" s="1672"/>
      <c r="G8" s="1660"/>
      <c r="H8" s="1660"/>
      <c r="I8" s="1707"/>
      <c r="J8" s="1694"/>
      <c r="K8" s="1774"/>
      <c r="L8" s="1723"/>
      <c r="M8" s="1723"/>
      <c r="N8" s="1694"/>
      <c r="O8" s="1695"/>
      <c r="P8" s="1694"/>
      <c r="Q8" s="1694"/>
      <c r="R8" s="1694"/>
      <c r="S8" s="1694"/>
      <c r="T8" s="1694"/>
      <c r="U8" s="1694"/>
    </row>
    <row r="9" spans="1:21" ht="15" thickBot="1">
      <c r="A9" s="1673" t="s">
        <v>1945</v>
      </c>
      <c r="B9" s="1674" t="s">
        <v>2984</v>
      </c>
      <c r="C9" s="1675"/>
      <c r="D9" s="3230"/>
      <c r="E9" s="1674" t="s">
        <v>951</v>
      </c>
      <c r="F9" s="1747"/>
      <c r="G9" s="1742"/>
      <c r="H9" s="1742"/>
      <c r="I9" s="1743"/>
      <c r="J9" s="1694"/>
      <c r="K9" s="1774"/>
      <c r="L9" s="1723"/>
      <c r="M9" s="1723"/>
      <c r="N9" s="1694"/>
      <c r="O9" s="1695"/>
      <c r="P9" s="1694"/>
      <c r="Q9" s="1694"/>
      <c r="R9" s="1694"/>
      <c r="S9" s="1694"/>
      <c r="T9" s="1694"/>
      <c r="U9" s="1694"/>
    </row>
    <row r="10" spans="1:21" ht="15" thickTop="1">
      <c r="A10" s="1744" t="s">
        <v>2001</v>
      </c>
      <c r="B10" s="1719" t="s">
        <v>2985</v>
      </c>
      <c r="C10" s="1676" t="s">
        <v>3122</v>
      </c>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2986</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26" t="s">
        <v>2987</v>
      </c>
      <c r="C12" s="3227"/>
      <c r="D12" s="3228"/>
      <c r="E12" s="1699" t="s">
        <v>2063</v>
      </c>
      <c r="F12" s="3244" t="s">
        <v>2892</v>
      </c>
      <c r="G12" s="3245"/>
      <c r="H12" s="3245"/>
      <c r="I12" s="3246"/>
      <c r="J12" s="1694"/>
      <c r="K12" s="1774"/>
      <c r="L12" s="1723"/>
      <c r="M12" s="1723"/>
      <c r="N12" s="1694"/>
      <c r="O12" s="1695"/>
      <c r="P12" s="1694"/>
      <c r="Q12" s="1694"/>
      <c r="R12" s="1694"/>
      <c r="S12" s="1694"/>
      <c r="T12" s="1694"/>
      <c r="U12" s="1694"/>
    </row>
    <row r="13" spans="1:21">
      <c r="A13" s="1687" t="s">
        <v>2061</v>
      </c>
      <c r="B13" s="3226" t="s">
        <v>3123</v>
      </c>
      <c r="C13" s="3227"/>
      <c r="D13" s="3228"/>
      <c r="E13" s="1699" t="s">
        <v>2063</v>
      </c>
      <c r="F13" s="3244" t="s">
        <v>2893</v>
      </c>
      <c r="G13" s="3245"/>
      <c r="H13" s="3245"/>
      <c r="I13" s="3246"/>
      <c r="J13" s="1694"/>
      <c r="K13" s="1774"/>
      <c r="L13" s="1723"/>
      <c r="M13" s="1723"/>
      <c r="N13" s="1694"/>
      <c r="O13" s="1695"/>
      <c r="P13" s="1694"/>
      <c r="Q13" s="1694"/>
      <c r="R13" s="1694"/>
      <c r="S13" s="1694"/>
      <c r="T13" s="1694"/>
      <c r="U13" s="1694"/>
    </row>
    <row r="14" spans="1:21">
      <c r="A14" s="1661" t="s">
        <v>2064</v>
      </c>
      <c r="B14" s="1699"/>
      <c r="C14" s="1845" t="s">
        <v>2988</v>
      </c>
      <c r="D14" s="1733" t="str">
        <f>IF(C14="不一致","是否符合证载地类范围","")</f>
        <v/>
      </c>
      <c r="E14" s="1699"/>
      <c r="F14" s="1790" t="s">
        <v>2989</v>
      </c>
      <c r="G14" s="1728"/>
      <c r="H14" s="1728"/>
      <c r="I14" s="1837"/>
      <c r="J14" s="1694"/>
      <c r="K14" s="1774"/>
      <c r="L14" s="1723"/>
      <c r="M14" s="1723"/>
      <c r="N14" s="1694"/>
      <c r="O14" s="1695"/>
      <c r="P14" s="1694"/>
      <c r="Q14" s="1694"/>
      <c r="R14" s="1694"/>
      <c r="S14" s="1694"/>
      <c r="T14" s="1694"/>
      <c r="U14" s="1694"/>
    </row>
    <row r="15" spans="1:21" hidden="1">
      <c r="A15" s="2643"/>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2990</v>
      </c>
      <c r="C16" s="1699" t="s">
        <v>1950</v>
      </c>
      <c r="D16" s="2644" t="s">
        <v>1951</v>
      </c>
      <c r="E16" s="1722" t="s">
        <v>2991</v>
      </c>
      <c r="F16" s="1722"/>
      <c r="G16" s="1722"/>
      <c r="H16" s="1722"/>
      <c r="I16" s="1686" t="s">
        <v>1956</v>
      </c>
      <c r="J16" s="1694"/>
      <c r="K16" s="2454" t="str">
        <f>IF(D17="","",D16&amp;TEXT(D17,"yyyy年m月d日;;"))</f>
        <v/>
      </c>
      <c r="L16" s="1699" t="str">
        <f>IF(OR(K16="",M16=""),"","、")</f>
        <v/>
      </c>
      <c r="M16" s="2454" t="str">
        <f>IF(E17="","",E16&amp;TEXT(E17,"yyyy年m月d日;;"))</f>
        <v>商业2054年5月29日</v>
      </c>
      <c r="N16" s="1699" t="str">
        <f>IF(OR(M16="",O16=""),"","、")</f>
        <v/>
      </c>
      <c r="O16" s="2454" t="str">
        <f>IF(F17="","",F16&amp;TEXT(F17,"yyyy年m月d日;;"))</f>
        <v/>
      </c>
      <c r="P16" s="1699" t="str">
        <f>IF(OR(O16="",Q16=""),"","、")</f>
        <v/>
      </c>
      <c r="Q16" s="2454" t="str">
        <f>IF(G17="","",G16&amp;TEXT(G17,"yyyy年m月d日;;"))</f>
        <v/>
      </c>
      <c r="R16" s="1699" t="str">
        <f>IF(OR(Q16="",S16=""),"","、")</f>
        <v/>
      </c>
      <c r="S16" s="2454" t="str">
        <f>IF(H17="","",H16&amp;TEXT(H17,"yyyy年m月d日;;"))</f>
        <v/>
      </c>
      <c r="T16" s="1699" t="str">
        <f>IF(OR(S16="",U16=""),"","、")</f>
        <v/>
      </c>
      <c r="U16" s="2454" t="str">
        <f>IF(I17="","",I16&amp;TEXT(I17,"yyyy年m月d日;;"))</f>
        <v/>
      </c>
    </row>
    <row r="17" spans="1:21">
      <c r="A17" s="1763"/>
      <c r="B17" s="1682"/>
      <c r="C17" s="1683" t="s">
        <v>1957</v>
      </c>
      <c r="D17" s="1700"/>
      <c r="E17" s="1700">
        <v>56398</v>
      </c>
      <c r="F17" s="1700"/>
      <c r="G17" s="1700"/>
      <c r="H17" s="1700"/>
      <c r="I17" s="1700"/>
      <c r="J17" s="1694"/>
      <c r="K17" s="2453" t="str">
        <f>CONCATENATE(K16,L16,M16,N16,O16,P16,Q16,R16,S16,T16,,U16)</f>
        <v>商业2054年5月29日</v>
      </c>
      <c r="L17" s="1723"/>
      <c r="M17" s="1723"/>
      <c r="N17" s="1694"/>
      <c r="O17" s="1695"/>
      <c r="P17" s="1694"/>
      <c r="Q17" s="1694"/>
      <c r="R17" s="1694"/>
      <c r="S17" s="1694"/>
      <c r="T17" s="1694"/>
      <c r="U17" s="1694"/>
    </row>
    <row r="18" spans="1:21">
      <c r="A18" s="1763"/>
      <c r="B18" s="1682"/>
      <c r="C18" s="1683" t="s">
        <v>1958</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35.56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41"/>
      <c r="E20" s="3242"/>
      <c r="F20" s="3242"/>
      <c r="G20" s="3242"/>
      <c r="H20" s="3242"/>
      <c r="I20" s="3243"/>
      <c r="J20" s="1694"/>
      <c r="K20" s="1774"/>
      <c r="L20" s="1723"/>
      <c r="M20" s="1723"/>
      <c r="N20" s="1694"/>
      <c r="O20" s="1695"/>
      <c r="P20" s="1694"/>
      <c r="Q20" s="1694"/>
      <c r="R20" s="1694"/>
      <c r="S20" s="1694"/>
      <c r="T20" s="1694"/>
      <c r="U20" s="1694"/>
    </row>
    <row r="21" spans="1:21">
      <c r="A21" s="1763" t="s">
        <v>1960</v>
      </c>
      <c r="B21" s="1764" t="s">
        <v>1961</v>
      </c>
      <c r="C21" s="1759">
        <f>'数据-汇总表'!E3</f>
        <v>18198</v>
      </c>
      <c r="D21" s="1760" t="s">
        <v>1962</v>
      </c>
      <c r="E21" s="3231" t="s">
        <v>2000</v>
      </c>
      <c r="F21" s="3232"/>
      <c r="G21" s="3232"/>
      <c r="H21" s="3232"/>
      <c r="I21" s="3233"/>
      <c r="J21" s="1694"/>
      <c r="K21" s="1774"/>
      <c r="L21" s="1723"/>
      <c r="M21" s="1723"/>
      <c r="N21" s="1694"/>
      <c r="O21" s="1695"/>
      <c r="P21" s="1694"/>
      <c r="Q21" s="1694"/>
      <c r="R21" s="1694"/>
      <c r="S21" s="1694"/>
      <c r="T21" s="1694"/>
      <c r="U21" s="1694"/>
    </row>
    <row r="22" spans="1:21">
      <c r="A22" s="3145" t="s">
        <v>951</v>
      </c>
      <c r="B22" s="1661" t="s">
        <v>1963</v>
      </c>
      <c r="C22" s="1686">
        <f>'数据-汇总表'!D3</f>
        <v>6066</v>
      </c>
      <c r="D22" s="1687" t="s">
        <v>1962</v>
      </c>
      <c r="E22" s="3231" t="s">
        <v>2894</v>
      </c>
      <c r="F22" s="3232"/>
      <c r="G22" s="3232"/>
      <c r="H22" s="3232"/>
      <c r="I22" s="3233"/>
      <c r="J22" s="1694"/>
      <c r="K22" s="1774"/>
      <c r="L22" s="1723"/>
      <c r="M22" s="1723"/>
      <c r="N22" s="1694"/>
      <c r="O22" s="1695"/>
      <c r="P22" s="1694"/>
      <c r="Q22" s="1694"/>
      <c r="R22" s="1694"/>
      <c r="S22" s="1694"/>
      <c r="T22" s="1694"/>
      <c r="U22" s="1694"/>
    </row>
    <row r="23" spans="1:21" ht="29.25" thickBot="1">
      <c r="A23" s="1765" t="s">
        <v>1964</v>
      </c>
      <c r="B23" s="1701" t="s">
        <v>1965</v>
      </c>
      <c r="C23" s="1702" t="s">
        <v>2992</v>
      </c>
      <c r="D23" s="1703" t="s">
        <v>1966</v>
      </c>
      <c r="E23" s="1704" t="s">
        <v>2992</v>
      </c>
      <c r="F23" s="1705" t="str">
        <f>IF(AND(C23="是",E23="否"),"是否提供他项权证或相关说明","")</f>
        <v/>
      </c>
      <c r="G23" s="1706" t="s">
        <v>951</v>
      </c>
      <c r="H23" s="1694"/>
      <c r="I23" s="1707"/>
      <c r="J23" s="1694"/>
      <c r="K23" s="1774"/>
      <c r="L23" s="1723"/>
      <c r="M23" s="1723"/>
      <c r="N23" s="1694"/>
      <c r="O23" s="1695"/>
      <c r="P23" s="1694"/>
      <c r="Q23" s="1694"/>
      <c r="R23" s="1694"/>
      <c r="S23" s="1694"/>
      <c r="T23" s="1694"/>
      <c r="U23" s="1694"/>
    </row>
    <row r="24" spans="1:21">
      <c r="A24" s="1750" t="s">
        <v>1967</v>
      </c>
      <c r="B24" s="3234" t="s">
        <v>1968</v>
      </c>
      <c r="C24" s="3235"/>
      <c r="D24" s="3236" t="s">
        <v>1969</v>
      </c>
      <c r="E24" s="3237"/>
      <c r="F24" s="1708" t="s">
        <v>1970</v>
      </c>
      <c r="G24" s="1694"/>
      <c r="H24" s="1694"/>
      <c r="I24" s="1707"/>
      <c r="J24" s="1694"/>
      <c r="K24" s="3222" t="s">
        <v>1971</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22"/>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22"/>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49"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0"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0"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1"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49" t="s">
        <v>2003</v>
      </c>
      <c r="B31" s="1764" t="s">
        <v>2004</v>
      </c>
      <c r="C31" s="3247"/>
      <c r="D31" s="3248"/>
      <c r="E31" s="1694"/>
      <c r="F31" s="1694"/>
      <c r="G31" s="1694"/>
      <c r="H31" s="1694"/>
      <c r="I31" s="1707"/>
      <c r="J31" s="1694"/>
      <c r="K31" s="2456"/>
      <c r="L31" s="1694"/>
      <c r="M31" s="1694"/>
      <c r="N31" s="1694"/>
      <c r="O31" s="1694"/>
      <c r="P31" s="1694"/>
      <c r="Q31" s="1694"/>
      <c r="R31" s="1694"/>
      <c r="S31" s="1694"/>
      <c r="T31" s="1694"/>
      <c r="U31" s="1694"/>
    </row>
    <row r="32" spans="1:21">
      <c r="A32" s="3249"/>
      <c r="B32" s="1661" t="s">
        <v>2005</v>
      </c>
      <c r="C32" s="1719"/>
      <c r="D32" s="1720"/>
      <c r="E32" s="1694"/>
      <c r="F32" s="1694"/>
      <c r="G32" s="1694"/>
      <c r="H32" s="1694"/>
      <c r="I32" s="1707"/>
      <c r="J32" s="1694"/>
      <c r="K32" s="2456"/>
      <c r="L32" s="1694"/>
      <c r="M32" s="1694"/>
      <c r="N32" s="1694"/>
      <c r="O32" s="1694"/>
      <c r="P32" s="1694"/>
      <c r="Q32" s="1694"/>
      <c r="R32" s="1694"/>
      <c r="S32" s="1694"/>
      <c r="T32" s="1694"/>
      <c r="U32" s="1694"/>
    </row>
    <row r="33" spans="1:21">
      <c r="A33" s="3249"/>
      <c r="B33" s="1661" t="s">
        <v>2006</v>
      </c>
      <c r="C33" s="1721"/>
      <c r="D33" s="1838"/>
      <c r="E33" s="1694"/>
      <c r="F33" s="1694"/>
      <c r="G33" s="1694"/>
      <c r="H33" s="1694"/>
      <c r="I33" s="1707"/>
      <c r="J33" s="1694"/>
      <c r="K33" s="2456"/>
      <c r="L33" s="1694"/>
      <c r="M33" s="1694"/>
      <c r="N33" s="1694"/>
      <c r="O33" s="1694"/>
      <c r="P33" s="1694"/>
      <c r="Q33" s="1694"/>
      <c r="R33" s="1694"/>
      <c r="S33" s="1694"/>
      <c r="T33" s="1694"/>
      <c r="U33" s="1694"/>
    </row>
    <row r="34" spans="1:21">
      <c r="A34" s="3250"/>
      <c r="B34" s="1661" t="s">
        <v>2007</v>
      </c>
      <c r="C34" s="3251"/>
      <c r="D34" s="3252"/>
      <c r="E34" s="1694"/>
      <c r="F34" s="1694"/>
      <c r="G34" s="1694"/>
      <c r="H34" s="1694"/>
      <c r="I34" s="1707"/>
      <c r="J34" s="1694"/>
      <c r="K34" s="2456"/>
      <c r="L34" s="1694"/>
      <c r="M34" s="1694"/>
      <c r="N34" s="1694"/>
      <c r="O34" s="1694"/>
      <c r="P34" s="1694"/>
      <c r="Q34" s="1694"/>
      <c r="R34" s="1694"/>
      <c r="S34" s="1694"/>
      <c r="T34" s="1694"/>
      <c r="U34" s="1694"/>
    </row>
    <row r="35" spans="1:21">
      <c r="A35" s="3253" t="s">
        <v>846</v>
      </c>
      <c r="B35" s="1722"/>
      <c r="C35" s="1776" t="str">
        <f>IF(B35="场地平整","——","具体情况：")</f>
        <v>具体情况：</v>
      </c>
      <c r="D35" s="3255"/>
      <c r="E35" s="3256"/>
      <c r="F35" s="3256"/>
      <c r="G35" s="3256"/>
      <c r="H35" s="3256"/>
      <c r="I35" s="3257"/>
      <c r="J35" s="1694"/>
      <c r="K35" s="1775"/>
      <c r="L35" s="1723"/>
      <c r="M35" s="1723"/>
      <c r="N35" s="1694"/>
      <c r="O35" s="1695"/>
      <c r="P35" s="1694"/>
      <c r="Q35" s="1694"/>
      <c r="R35" s="1694"/>
      <c r="S35" s="1694"/>
      <c r="T35" s="1694"/>
      <c r="U35" s="1694"/>
    </row>
    <row r="36" spans="1:21">
      <c r="A36" s="3249"/>
      <c r="B36" s="3258" t="s">
        <v>2056</v>
      </c>
      <c r="C36" s="3259"/>
      <c r="D36" s="1792"/>
      <c r="E36" s="3260"/>
      <c r="F36" s="3260"/>
      <c r="G36" s="1687" t="str">
        <f>IF(B35="场地未平整","估价结果处理","")</f>
        <v/>
      </c>
      <c r="H36" s="3261"/>
      <c r="I36" s="3261"/>
      <c r="J36" s="1694"/>
      <c r="K36" s="1775"/>
      <c r="L36" s="1723"/>
      <c r="M36" s="1723"/>
      <c r="N36" s="1694"/>
      <c r="O36" s="1695"/>
      <c r="P36" s="1694"/>
      <c r="Q36" s="1694"/>
      <c r="R36" s="1694"/>
      <c r="S36" s="1694"/>
      <c r="T36" s="1694"/>
      <c r="U36" s="1694"/>
    </row>
    <row r="37" spans="1:21" ht="28.5">
      <c r="A37" s="3249"/>
      <c r="B37" s="3238"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49"/>
      <c r="B38" s="3239"/>
      <c r="C38" s="1669" t="s">
        <v>849</v>
      </c>
      <c r="D38" s="1791">
        <f>ROUNDDOWN(MIN(('数据-取费表'!$B$2-D37)/365,D34),1)</f>
        <v>118.9</v>
      </c>
      <c r="E38" s="1727" t="s">
        <v>850</v>
      </c>
      <c r="F38" s="1694"/>
      <c r="G38" s="1694"/>
      <c r="H38" s="1694"/>
      <c r="I38" s="1707"/>
      <c r="J38" s="1694"/>
      <c r="K38" s="1775"/>
      <c r="L38" s="1694"/>
      <c r="M38" s="1694"/>
      <c r="N38" s="1694"/>
      <c r="O38" s="1694"/>
      <c r="P38" s="1694"/>
      <c r="Q38" s="1694"/>
      <c r="R38" s="1694"/>
      <c r="S38" s="1694"/>
      <c r="T38" s="1694"/>
      <c r="U38" s="1694"/>
    </row>
    <row r="39" spans="1:21">
      <c r="A39" s="3250"/>
      <c r="B39" s="324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21" t="s">
        <v>1987</v>
      </c>
      <c r="T40" s="1731" t="str">
        <f>NUMBERSTRING(7-K40,1)&amp;"通"</f>
        <v>七通</v>
      </c>
      <c r="U40" s="1694"/>
    </row>
    <row r="41" spans="1:21">
      <c r="A41" s="1663"/>
      <c r="B41" s="3254" t="s">
        <v>1721</v>
      </c>
      <c r="C41" s="3254"/>
      <c r="D41" s="3254"/>
      <c r="E41" s="3254"/>
      <c r="F41" s="1732" t="str">
        <f>C10</f>
        <v>山东省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1"/>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7" sqref="M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6066</v>
      </c>
      <c r="B3" s="22">
        <f>IF(C3="否",G5-AT5,G5)</f>
        <v>18198</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18198</v>
      </c>
      <c r="H5" s="27">
        <f t="shared" ref="H5:AT5" si="0">SUM(H13:H641)</f>
        <v>18198</v>
      </c>
      <c r="I5" s="27">
        <f t="shared" si="0"/>
        <v>18198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18198</v>
      </c>
      <c r="BA5" s="29">
        <f t="shared" si="1"/>
        <v>18198</v>
      </c>
      <c r="BB5" s="29">
        <f t="shared" si="1"/>
        <v>18198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6066</v>
      </c>
      <c r="F6" s="27" t="s">
        <v>1</v>
      </c>
      <c r="G6" s="27" t="s">
        <v>2</v>
      </c>
      <c r="H6" s="33">
        <f>SUMIF(I$12:AB$12,"总值",I6:AB6)</f>
        <v>6066</v>
      </c>
      <c r="I6" s="27">
        <f t="shared" ref="I6:AB6" si="2">ROUND($A$3*I5/$B$3,2)</f>
        <v>6066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6066</v>
      </c>
      <c r="AZ6" s="27" t="s">
        <v>3</v>
      </c>
      <c r="BA6" s="27">
        <f>ROUND($AY$6*BA5/$AZ$5,2)</f>
        <v>6066</v>
      </c>
      <c r="BB6" s="27">
        <f>ROUND($AY$6*BB5/$AZ$5,2)</f>
        <v>6066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2993</v>
      </c>
      <c r="J9" s="51"/>
      <c r="K9" s="3017"/>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c r="J10" s="51"/>
      <c r="K10" s="3019"/>
      <c r="L10" s="51"/>
      <c r="M10" s="3019"/>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2333</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1678</v>
      </c>
      <c r="E13" s="27">
        <f t="shared" ref="E13:E20" si="6">IF($C$3="是",ROUND($A$3*G13/$B$3,2),ROUND($A$3*(G13-AT13)/$B$3,2))</f>
        <v>6066</v>
      </c>
      <c r="F13" s="81"/>
      <c r="G13" s="82">
        <f t="shared" ref="G13:G20" si="7">H13+AC13+AT13</f>
        <v>18198</v>
      </c>
      <c r="H13" s="33">
        <f t="shared" ref="H13:H20" si="8">SUMIF(I$12:AB$12,"总值",I13:AB13)</f>
        <v>18198</v>
      </c>
      <c r="I13" s="3016">
        <f>A3*3</f>
        <v>18198</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6066</v>
      </c>
      <c r="AZ13" s="27">
        <f t="shared" ref="AZ13:AZ20" si="12">BA13+BL13</f>
        <v>18198</v>
      </c>
      <c r="BA13" s="27">
        <f t="shared" ref="BA13:BA20" si="13">SUM(BB13:BK13)</f>
        <v>18198</v>
      </c>
      <c r="BB13" s="27">
        <f t="shared" ref="BB13:BB20" si="14">IF($D13="是",I13-J13,0)</f>
        <v>18198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2" sqref="B4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8"/>
      <c r="H2" s="1199"/>
      <c r="I2" s="1200" t="s">
        <v>856</v>
      </c>
      <c r="J2" s="1983"/>
      <c r="K2" s="1983"/>
      <c r="L2" s="1983"/>
    </row>
    <row r="3" spans="1:16" ht="15.75" thickBot="1">
      <c r="A3" s="3274" t="s">
        <v>206</v>
      </c>
      <c r="B3" s="3274"/>
      <c r="C3" s="3274"/>
      <c r="D3" s="107">
        <f>'数据-基础表'!AY6</f>
        <v>6066</v>
      </c>
      <c r="E3" s="107">
        <f>'数据-基础表'!AZ5</f>
        <v>18198</v>
      </c>
      <c r="F3" s="1983"/>
      <c r="G3" s="280" t="s">
        <v>857</v>
      </c>
      <c r="H3" s="275" t="s">
        <v>858</v>
      </c>
      <c r="I3" s="1975">
        <f>ROUND('数据-基础表'!B3/'数据-基础表'!A3,2)</f>
        <v>3</v>
      </c>
      <c r="J3" s="1983"/>
      <c r="K3" s="1983"/>
      <c r="L3" s="1983"/>
    </row>
    <row r="4" spans="1:16" ht="15">
      <c r="A4" s="3275"/>
      <c r="B4" s="3276"/>
      <c r="C4" s="3277"/>
      <c r="D4" s="108" t="s">
        <v>204</v>
      </c>
      <c r="E4" s="109" t="s">
        <v>205</v>
      </c>
      <c r="F4" s="1983"/>
      <c r="G4" s="1201"/>
      <c r="H4" s="275" t="s">
        <v>859</v>
      </c>
      <c r="I4" s="1975">
        <f>ROUND(SUMIF('数据-基础表'!I9:AS9,"地上",'数据-基础表'!I5:AS5)/'数据-基础表'!A3,2)</f>
        <v>3</v>
      </c>
      <c r="J4" s="1983"/>
      <c r="K4" s="1983"/>
      <c r="L4" s="1983"/>
    </row>
    <row r="5" spans="1:16">
      <c r="A5" s="110" t="s">
        <v>207</v>
      </c>
      <c r="B5" s="3278" t="s">
        <v>230</v>
      </c>
      <c r="C5" s="3278"/>
      <c r="D5" s="111">
        <f>ROUND($D$3*E5/$E$3,2)</f>
        <v>0</v>
      </c>
      <c r="E5" s="112">
        <f>SUMIF('数据-基础表'!$11:$11,"住宅",'数据-基础表'!$5:$5)</f>
        <v>0</v>
      </c>
      <c r="F5" s="1983"/>
      <c r="G5" s="280" t="s">
        <v>860</v>
      </c>
      <c r="H5" s="275" t="s">
        <v>858</v>
      </c>
      <c r="I5" s="1975">
        <f>ROUND(E31/D31,2)</f>
        <v>3</v>
      </c>
      <c r="J5" s="1983"/>
      <c r="K5" s="1983"/>
      <c r="L5" s="1983"/>
    </row>
    <row r="6" spans="1:16" ht="15" thickBot="1">
      <c r="A6" s="113"/>
      <c r="B6" s="3278" t="s">
        <v>208</v>
      </c>
      <c r="C6" s="3278"/>
      <c r="D6" s="111">
        <f>ROUND($D$3*E6/$E$3,2)</f>
        <v>6066</v>
      </c>
      <c r="E6" s="112">
        <f>E3-E5</f>
        <v>18198</v>
      </c>
      <c r="F6" s="1983"/>
      <c r="G6" s="1201"/>
      <c r="H6" s="275" t="s">
        <v>859</v>
      </c>
      <c r="I6" s="1975">
        <f>ROUND(F31/D31,2)</f>
        <v>3</v>
      </c>
      <c r="J6" s="1983"/>
      <c r="K6" s="1983"/>
      <c r="L6" s="1983"/>
    </row>
    <row r="7" spans="1:16" ht="15">
      <c r="A7" s="3270"/>
      <c r="B7" s="3271"/>
      <c r="C7" s="3272"/>
      <c r="D7" s="108" t="s">
        <v>204</v>
      </c>
      <c r="E7" s="114" t="s">
        <v>231</v>
      </c>
      <c r="F7" s="1983"/>
      <c r="G7" s="1156" t="s">
        <v>1645</v>
      </c>
      <c r="H7" s="1157"/>
      <c r="I7" s="1847">
        <v>4</v>
      </c>
      <c r="J7" s="1983"/>
      <c r="K7" s="1983"/>
      <c r="L7" s="1983"/>
    </row>
    <row r="8" spans="1:16">
      <c r="A8" s="110" t="s">
        <v>209</v>
      </c>
      <c r="B8" s="115" t="s">
        <v>210</v>
      </c>
      <c r="C8" s="111" t="s">
        <v>211</v>
      </c>
      <c r="D8" s="111">
        <f t="shared" ref="D8:D15" si="0">ROUND($D$3*E8/$E$3,2)</f>
        <v>6066</v>
      </c>
      <c r="E8" s="116">
        <f>SUMIF('数据-基础表'!BB10:BK10,"地上",'数据-基础表'!BB5:BK5)</f>
        <v>18198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29"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9"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6066</v>
      </c>
      <c r="E16" s="120">
        <f>SUM(E8:E15)</f>
        <v>18198</v>
      </c>
      <c r="F16" s="1983"/>
      <c r="G16" s="1985"/>
      <c r="H16" s="968" t="s">
        <v>219</v>
      </c>
      <c r="I16" s="969"/>
      <c r="J16" s="1983"/>
      <c r="K16" s="3264" t="s">
        <v>2568</v>
      </c>
      <c r="L16" s="3265"/>
      <c r="M16" s="3265"/>
      <c r="N16" s="3265"/>
      <c r="O16" s="3265"/>
      <c r="P16" s="3266"/>
    </row>
    <row r="17" spans="1:19" ht="15">
      <c r="A17" s="121" t="s">
        <v>216</v>
      </c>
      <c r="B17" s="122" t="s">
        <v>217</v>
      </c>
      <c r="C17" s="2296" t="s">
        <v>2315</v>
      </c>
      <c r="D17" s="108" t="s">
        <v>204</v>
      </c>
      <c r="E17" s="124" t="s">
        <v>205</v>
      </c>
      <c r="F17" s="125"/>
      <c r="G17" s="1366"/>
      <c r="H17" s="970" t="s">
        <v>218</v>
      </c>
      <c r="I17" s="971" t="s">
        <v>2314</v>
      </c>
      <c r="J17" s="1983"/>
      <c r="K17" s="3267" t="s">
        <v>2569</v>
      </c>
      <c r="L17" s="3268"/>
      <c r="M17" s="3269"/>
      <c r="N17" s="3267" t="s">
        <v>2570</v>
      </c>
      <c r="O17" s="3268"/>
      <c r="P17" s="3269"/>
      <c r="R17" s="2297" t="s">
        <v>2313</v>
      </c>
      <c r="S17" s="144"/>
    </row>
    <row r="18" spans="1:19" ht="15">
      <c r="A18" s="117"/>
      <c r="B18" s="128"/>
      <c r="C18" s="129"/>
      <c r="D18" s="2640"/>
      <c r="E18" s="130" t="s">
        <v>220</v>
      </c>
      <c r="F18" s="131" t="s">
        <v>221</v>
      </c>
      <c r="G18" s="1367" t="s">
        <v>222</v>
      </c>
      <c r="H18" s="972" t="s">
        <v>223</v>
      </c>
      <c r="I18" s="973" t="s">
        <v>224</v>
      </c>
      <c r="J18" s="1983"/>
      <c r="K18" s="2603" t="s">
        <v>2571</v>
      </c>
      <c r="L18" s="2604" t="s">
        <v>2572</v>
      </c>
      <c r="M18" s="2605" t="s">
        <v>2573</v>
      </c>
      <c r="N18" s="2603" t="s">
        <v>2571</v>
      </c>
      <c r="O18" s="2604" t="s">
        <v>2572</v>
      </c>
      <c r="P18" s="2605" t="s">
        <v>2573</v>
      </c>
      <c r="R18" s="2298" t="s">
        <v>2311</v>
      </c>
      <c r="S18" s="2298" t="s">
        <v>2312</v>
      </c>
    </row>
    <row r="19" spans="1:19">
      <c r="A19" s="133"/>
      <c r="B19" s="115" t="s">
        <v>225</v>
      </c>
      <c r="C19" s="3023" t="s">
        <v>2997</v>
      </c>
      <c r="D19" s="111">
        <f t="shared" ref="D19:D26" si="1">ROUND($D$3*E19/$E$3,2)</f>
        <v>6066</v>
      </c>
      <c r="E19" s="134">
        <f t="shared" ref="E19:E26" si="2">SUM(F19:G19)</f>
        <v>18198</v>
      </c>
      <c r="F19" s="135">
        <f>'数据-基础表'!I13</f>
        <v>18198</v>
      </c>
      <c r="G19" s="1368"/>
      <c r="H19" s="974">
        <f>ROUND($D$3*I19/$E$3,2)</f>
        <v>0</v>
      </c>
      <c r="I19" s="116">
        <f>IF($I$17="自定义",P19,M19)</f>
        <v>0</v>
      </c>
      <c r="J19" s="1983"/>
      <c r="K19" s="2606">
        <f t="shared" ref="K19:K26" si="3">ROUND(E$28*E19/E$27,2)</f>
        <v>0</v>
      </c>
      <c r="L19" s="275">
        <f t="shared" ref="L19:L26" si="4">ROUND(IF(COUNTIF(C19,"*住宅*")&gt;0,E$29*E19/E$32,0),2)</f>
        <v>0</v>
      </c>
      <c r="M19" s="2607">
        <f>K19+L19</f>
        <v>0</v>
      </c>
      <c r="N19" s="2608"/>
      <c r="O19" s="2609"/>
      <c r="P19" s="2610">
        <f>N19+O19</f>
        <v>0</v>
      </c>
      <c r="R19" s="275">
        <f t="shared" ref="R19:S26" si="5">D19+H19</f>
        <v>6066</v>
      </c>
      <c r="S19" s="2299">
        <f t="shared" si="5"/>
        <v>18198</v>
      </c>
    </row>
    <row r="20" spans="1:19">
      <c r="A20" s="138"/>
      <c r="B20" s="115" t="s">
        <v>226</v>
      </c>
      <c r="C20" s="3023"/>
      <c r="D20" s="111">
        <f t="shared" si="1"/>
        <v>0</v>
      </c>
      <c r="E20" s="134">
        <f t="shared" si="2"/>
        <v>0</v>
      </c>
      <c r="F20" s="135"/>
      <c r="G20" s="1368"/>
      <c r="H20" s="974">
        <f t="shared" ref="H20:H26" si="6">ROUND($D$3*I20/$E$3,2)</f>
        <v>0</v>
      </c>
      <c r="I20" s="116">
        <f t="shared" ref="I20:I26" si="7">IF($I$17="自定义",P20,M20)</f>
        <v>0</v>
      </c>
      <c r="J20" s="1983"/>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3"/>
      <c r="D21" s="111">
        <f t="shared" si="1"/>
        <v>0</v>
      </c>
      <c r="E21" s="134">
        <f t="shared" si="2"/>
        <v>0</v>
      </c>
      <c r="F21" s="135"/>
      <c r="G21" s="1368"/>
      <c r="H21" s="974">
        <f t="shared" si="6"/>
        <v>0</v>
      </c>
      <c r="I21" s="116">
        <f t="shared" si="7"/>
        <v>0</v>
      </c>
      <c r="J21" s="1983"/>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3"/>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3"/>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3"/>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3"/>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3"/>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6066</v>
      </c>
      <c r="E27" s="143">
        <f>IF(SUM(E19:E26)='数据-基础表'!BA5,SUM(E19:E26),IF(F27="地上面积有误","面积有误","地下面积有误"))</f>
        <v>18198</v>
      </c>
      <c r="F27" s="134">
        <f>IF(SUM(F19:F26)=E8,SUM(F19:F26),"地上面积有误")</f>
        <v>18198</v>
      </c>
      <c r="G27" s="112">
        <f>SUM(G19:G26)</f>
        <v>0</v>
      </c>
      <c r="H27" s="975">
        <f>SUM(H19:H26)</f>
        <v>0</v>
      </c>
      <c r="I27" s="976">
        <f>SUM(I19:I26)</f>
        <v>0</v>
      </c>
      <c r="J27" s="1983"/>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6066</v>
      </c>
      <c r="S27" s="275">
        <f>IF(SUM(S19:S26)=$E$3,SUM(S19:S26),SUM(S19:S26)&amp;"误差"&amp;ROUND(SUM(S19:S26)-E3,2))</f>
        <v>18198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1"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8" t="s">
        <v>2324</v>
      </c>
      <c r="D31" s="1372">
        <f>D27+D30</f>
        <v>6066</v>
      </c>
      <c r="E31" s="1372">
        <f>E27+E30</f>
        <v>18198</v>
      </c>
      <c r="F31" s="1373">
        <f>F27+F30</f>
        <v>18198</v>
      </c>
      <c r="G31" s="1374">
        <f>G27+G30</f>
        <v>0</v>
      </c>
      <c r="H31" s="1983"/>
      <c r="I31" s="1983"/>
      <c r="J31" s="1983"/>
      <c r="K31" s="1983"/>
      <c r="L31" s="1983"/>
    </row>
    <row r="32" spans="1:19">
      <c r="A32" s="1983"/>
      <c r="B32" s="2361" t="s">
        <v>2323</v>
      </c>
      <c r="C32" s="264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D32" sqref="D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6">
        <f>项目基本情况!D3</f>
        <v>43417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2"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19"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89"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0" t="str">
        <f>'数据-汇总表'!C19</f>
        <v>商业</v>
      </c>
      <c r="B6" s="2335" t="str">
        <f>IF(A6=0,"","经营性")</f>
        <v>经营性</v>
      </c>
      <c r="C6" s="173" t="s">
        <v>2991</v>
      </c>
      <c r="D6" s="2306">
        <f>SUMIF(项目基本情况!D$15:I$15,C6,项目基本情况!D$18:I$18)</f>
        <v>40</v>
      </c>
      <c r="E6" s="2307">
        <f>IF(B6="","",SUMIF(项目基本情况!D$15:I$15,C6,项目基本情况!D$17:I$17))</f>
        <v>56398</v>
      </c>
      <c r="F6" s="174">
        <f>SUMIF(项目基本情况!D$15:I$15,C6,项目基本情况!D$19:I$19)</f>
        <v>35.56</v>
      </c>
      <c r="G6" s="175">
        <f>IF(ISERROR(ROUND(POWER(1+H6,D6-F6)*(POWER(1+H6,F6)-1)/(POWER(1+H6,D6)-1),3)),0,ROUND(POWER(1+H6,D6-F6)*(POWER(1+H6,F6)-1)/(POWER(1+H6,D6)-1),3))</f>
        <v>0.96399999999999997</v>
      </c>
      <c r="H6" s="3024">
        <v>5.5E-2</v>
      </c>
      <c r="I6" s="3024">
        <v>0.06</v>
      </c>
      <c r="J6" s="176">
        <v>0.08</v>
      </c>
      <c r="K6" s="179">
        <f>SUMIF('数据-汇总表'!C$19:C$33,'数据-取费表'!A6,'数据-汇总表'!E$19:E$33)</f>
        <v>18198</v>
      </c>
      <c r="L6" s="3025">
        <v>2500</v>
      </c>
      <c r="M6" s="177">
        <f t="shared" ref="M6:M14" si="0">ROUND(K6*L6/10000,0)</f>
        <v>4550</v>
      </c>
      <c r="N6" s="3026">
        <v>0</v>
      </c>
      <c r="O6" s="177">
        <f>IF($N$5="成新度","——",ROUND(M6*N6,0))</f>
        <v>0</v>
      </c>
      <c r="P6" s="178">
        <f>IF($N$5="成新度","——",M6-O6)</f>
        <v>4550</v>
      </c>
      <c r="Q6" s="3027">
        <v>0.15</v>
      </c>
      <c r="R6" s="179">
        <f>SUMIF('数据-汇总表'!C$19:C$33,A6,'数据-汇总表'!R$19:R$33)</f>
        <v>6066</v>
      </c>
      <c r="S6" s="132">
        <f>IF('数据-汇总表'!$I$17="按面积比例",SUMIF('数据-汇总表'!C$19:C$33,A6,'数据-汇总表'!K$19:K$33),SUMIF('数据-汇总表'!C$19:C$33,A6,'数据-汇总表'!N$19:N$33))</f>
        <v>0</v>
      </c>
      <c r="T6" s="2233" t="str">
        <f>IF($T$4="按面积比例",IF(ISERROR(ROUND($M$14*S6/S$16,0)),"0",ROUND($M$14*S6/S$16,0)),"需自行计算录入")</f>
        <v>0</v>
      </c>
      <c r="U6" s="180">
        <v>1.2</v>
      </c>
      <c r="V6" s="181">
        <v>2.5000000000000001E-2</v>
      </c>
      <c r="W6" s="181">
        <v>0.1</v>
      </c>
      <c r="X6" s="2319"/>
      <c r="Y6" s="182">
        <v>1</v>
      </c>
      <c r="Z6" s="183"/>
      <c r="AA6" s="176"/>
      <c r="AB6" s="176"/>
      <c r="AC6" s="2322"/>
      <c r="AD6" s="184"/>
      <c r="AE6" s="972">
        <f ca="1">IF(AN6="",0,SUMIF(INDIRECT("'"&amp;AN6&amp;"'"&amp;"!E:E"),$AE$5,INDIRECT("'"&amp;AN6&amp;"'"&amp;"!F:F")))</f>
        <v>35.56</v>
      </c>
      <c r="AF6" s="141"/>
      <c r="AG6" s="1213">
        <f>IF(AF6="",0,AE6-AF6)</f>
        <v>0</v>
      </c>
      <c r="AH6" s="141"/>
      <c r="AI6" s="187">
        <v>365</v>
      </c>
      <c r="AJ6" s="188"/>
      <c r="AK6" s="189">
        <v>1.4999999999999999E-2</v>
      </c>
      <c r="AL6" s="190">
        <v>1.5E-3</v>
      </c>
      <c r="AM6" s="3038">
        <v>0.01</v>
      </c>
      <c r="AN6" s="2390" t="s">
        <v>2994</v>
      </c>
      <c r="AO6" s="1999"/>
      <c r="AP6" s="1204">
        <f>ROUND(1-1/(1+H6)^F6,3)</f>
        <v>0.85099999999999998</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4"/>
      <c r="I7" s="3024"/>
      <c r="J7" s="176"/>
      <c r="K7" s="179">
        <f>SUMIF('数据-汇总表'!C$19:C$33,'数据-取费表'!A7,'数据-汇总表'!E$19:E$33)</f>
        <v>0</v>
      </c>
      <c r="L7" s="3025"/>
      <c r="M7" s="177">
        <f t="shared" si="0"/>
        <v>0</v>
      </c>
      <c r="N7" s="3026"/>
      <c r="O7" s="177">
        <f t="shared" ref="O7:O14" si="3">IF($N$5="成新度","——",ROUND(M7*N7,0))</f>
        <v>0</v>
      </c>
      <c r="P7" s="178">
        <f t="shared" ref="P7:P14" si="4">IF($N$5="成新度","——",M7-O7)</f>
        <v>0</v>
      </c>
      <c r="Q7" s="3027"/>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88"/>
      <c r="AN8" s="239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88"/>
      <c r="AN9" s="239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8"/>
      <c r="AN11" s="239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8"/>
      <c r="AN12" s="239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1" t="s">
        <v>2316</v>
      </c>
      <c r="B14" s="2304" t="s">
        <v>1679</v>
      </c>
      <c r="C14" s="2305" t="s">
        <v>2316</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2"/>
      <c r="AJ14" s="1572"/>
      <c r="AK14" s="2323"/>
      <c r="AL14" s="2324"/>
      <c r="AM14" s="2325"/>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0" t="s">
        <v>2318</v>
      </c>
      <c r="B15" s="2304" t="s">
        <v>1679</v>
      </c>
      <c r="C15" s="2305" t="s">
        <v>2317</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2"/>
      <c r="AJ15" s="1572"/>
      <c r="AK15" s="2323"/>
      <c r="AL15" s="2324"/>
      <c r="AM15" s="2325"/>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0.96399999999999997</v>
      </c>
      <c r="H16" s="203">
        <f>ROUND(SUMPRODUCT(H6:H13,K6:K13)/SUMPRODUCT((H6:H13&gt;0)*(K6:K13)),3)</f>
        <v>5.5E-2</v>
      </c>
      <c r="I16" s="204"/>
      <c r="J16" s="204"/>
      <c r="K16" s="205">
        <f>SUM(K6:K15)</f>
        <v>18198</v>
      </c>
      <c r="L16" s="206">
        <f>ROUND(M16*10000/SUM(K6:K14),0)</f>
        <v>2500</v>
      </c>
      <c r="M16" s="206">
        <f>SUM(M6:M14)</f>
        <v>4550</v>
      </c>
      <c r="N16" s="207">
        <f>ROUND(SUMPRODUCT(M6:M14,N6:N14)/M16,3)</f>
        <v>0</v>
      </c>
      <c r="O16" s="206">
        <f>SUM(O6:O14)</f>
        <v>0</v>
      </c>
      <c r="P16" s="206">
        <f>SUM(P6:P14)</f>
        <v>4550</v>
      </c>
      <c r="Q16" s="208">
        <f>ROUND(SUMPRODUCT(Q6:Q13,K6:K13)/SUMPRODUCT((Q6:Q13&gt;0)*(K6:K13)),2)</f>
        <v>0.15</v>
      </c>
      <c r="R16" s="2309">
        <f>SUM(R6:R13)</f>
        <v>6066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2"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2"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c r="C27" s="2365"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150</v>
      </c>
      <c r="C28" s="236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6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50</v>
      </c>
      <c r="C32" s="236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3"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3"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3"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3"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3"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3"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7" t="s">
        <v>2458</v>
      </c>
      <c r="B39" s="800">
        <f ca="1">存贷款利率!C4</f>
        <v>1.4999999999999999E-2</v>
      </c>
      <c r="C39" s="236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7" t="s">
        <v>2459</v>
      </c>
      <c r="B40" s="2479">
        <f ca="1">存贷款利率!E2</f>
        <v>4.7500000000000001E-2</v>
      </c>
      <c r="C40" s="2363"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3"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5"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5"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v>8</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1663</v>
      </c>
      <c r="B1" s="3280"/>
      <c r="C1" s="3280"/>
      <c r="D1" s="3280"/>
      <c r="E1" s="3280"/>
      <c r="F1" s="3280"/>
      <c r="G1" s="3280"/>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6"/>
      <c r="E12" s="2008"/>
      <c r="F12" s="2009"/>
      <c r="G12" s="2011"/>
      <c r="H12" s="2016"/>
      <c r="I12" s="2017"/>
      <c r="J12" s="2016"/>
      <c r="K12" s="2016"/>
      <c r="L12" s="2018"/>
      <c r="M12" s="2016"/>
      <c r="N12" s="2019"/>
      <c r="O12" s="2020"/>
      <c r="P12" s="2021"/>
      <c r="Q12" s="2019"/>
      <c r="R12" s="2005"/>
    </row>
    <row r="13" spans="1:18" ht="19.5" thickBot="1">
      <c r="A13" s="2575" t="s">
        <v>1672</v>
      </c>
      <c r="B13" s="2576"/>
      <c r="C13" s="2576"/>
      <c r="D13" s="1224"/>
      <c r="E13" s="2576"/>
      <c r="F13" s="2576"/>
      <c r="G13" s="2576"/>
    </row>
    <row r="14" spans="1:18" ht="14.25" thickBot="1">
      <c r="A14" s="1238"/>
      <c r="B14" s="1239"/>
      <c r="C14" s="1240" t="s">
        <v>1664</v>
      </c>
      <c r="D14" s="2008"/>
      <c r="E14" s="1241"/>
      <c r="F14" s="1241"/>
      <c r="G14" s="1223" t="s">
        <v>1665</v>
      </c>
    </row>
    <row r="15" spans="1:18" ht="54">
      <c r="A15" s="2586" t="s">
        <v>1657</v>
      </c>
      <c r="B15" s="1242" t="s">
        <v>1653</v>
      </c>
      <c r="C15" s="1243" t="str">
        <f>C3</f>
        <v>估价对象周边居住用地比例、居住小区规模和社区发展完善程度，综合评价居住社区成熟度一般</v>
      </c>
      <c r="D15" s="2008"/>
      <c r="E15" s="2583" t="s">
        <v>1658</v>
      </c>
      <c r="F15" s="1242" t="s">
        <v>1673</v>
      </c>
      <c r="G15" s="1244" t="str">
        <f>G3</f>
        <v>估价对象位于XX开发区，园区建设成熟度XX，产业集聚程度XX</v>
      </c>
    </row>
    <row r="16" spans="1:18" ht="40.5">
      <c r="A16" s="2587"/>
      <c r="B16" s="1245" t="s">
        <v>1667</v>
      </c>
      <c r="C16" s="1246" t="str">
        <f>C4</f>
        <v>估价对象位于XX商圈，周边商业氛围成熟，人流量大，商业繁华度好</v>
      </c>
      <c r="D16" s="2008"/>
      <c r="E16" s="2584"/>
      <c r="F16" s="1247" t="s">
        <v>1668</v>
      </c>
      <c r="G16" s="1005" t="str">
        <f>G4</f>
        <v>估价对象周边道路状况、公共交通通达情况、停车便捷程度，综合评价交通便捷度较好</v>
      </c>
    </row>
    <row r="17" spans="1:7" ht="40.5">
      <c r="A17" s="2587"/>
      <c r="B17" s="1245" t="s">
        <v>1669</v>
      </c>
      <c r="C17" s="1246" t="str">
        <f>C5</f>
        <v>估价对象位于XX商圈，周边办公楼项目较多，入驻率高，办公集聚程度较好</v>
      </c>
      <c r="D17" s="2009"/>
      <c r="E17" s="2584"/>
      <c r="F17" s="1247" t="s">
        <v>1674</v>
      </c>
      <c r="G17" s="2792"/>
    </row>
    <row r="18" spans="1:7" ht="54">
      <c r="A18" s="2587"/>
      <c r="B18" s="1247" t="s">
        <v>1655</v>
      </c>
      <c r="C18" s="1005" t="str">
        <f>C6</f>
        <v>估价对象周边道路状况、公共交通通达情况、停车便捷程度，综合评价交通便捷度较好</v>
      </c>
      <c r="D18" s="2009"/>
      <c r="E18" s="2584"/>
      <c r="F18" s="1247" t="s">
        <v>1670</v>
      </c>
      <c r="G18" s="1005" t="str">
        <f>G7</f>
        <v>该园区内是否有污染型企业，绿化情况，卫生条件，整体环境状况判断</v>
      </c>
    </row>
    <row r="19" spans="1:7" ht="27">
      <c r="A19" s="2587"/>
      <c r="B19" s="1247" t="s">
        <v>1659</v>
      </c>
      <c r="C19" s="2792"/>
      <c r="D19" s="2008"/>
      <c r="E19" s="2584"/>
      <c r="F19" s="1231" t="s">
        <v>2548</v>
      </c>
      <c r="G19" s="1005" t="str">
        <f>G5</f>
        <v>估价对象所在区域公共配套设施齐备情况</v>
      </c>
    </row>
    <row r="20" spans="1:7" ht="40.5">
      <c r="A20" s="2587"/>
      <c r="B20" s="1247" t="s">
        <v>1660</v>
      </c>
      <c r="C20" s="1246" t="str">
        <f>C9</f>
        <v>区域自然环境：；人文环境；综合评价环境状况一般</v>
      </c>
      <c r="D20" s="2009"/>
      <c r="E20" s="2584"/>
      <c r="F20" s="1231" t="s">
        <v>2549</v>
      </c>
      <c r="G20" s="1005" t="str">
        <f>G6</f>
        <v>估价对象所在区域基础设施水平</v>
      </c>
    </row>
    <row r="21" spans="1:7" ht="27">
      <c r="A21" s="2587"/>
      <c r="B21" s="1231" t="s">
        <v>2548</v>
      </c>
      <c r="C21" s="1005" t="str">
        <f>C7</f>
        <v>估价对象所在区域公共配套设施齐备情况</v>
      </c>
      <c r="D21" s="2008"/>
      <c r="E21" s="2584"/>
      <c r="F21" s="1247" t="s">
        <v>1661</v>
      </c>
      <c r="G21" s="3086"/>
    </row>
    <row r="22" spans="1:7" ht="27">
      <c r="A22" s="2587"/>
      <c r="B22" s="1231" t="s">
        <v>2549</v>
      </c>
      <c r="C22" s="1005" t="str">
        <f>C8</f>
        <v>估价对象所在区域基础设施水平</v>
      </c>
      <c r="D22" s="2008"/>
      <c r="E22" s="2584"/>
      <c r="F22" s="1247" t="s">
        <v>1671</v>
      </c>
      <c r="G22" s="2792"/>
    </row>
    <row r="23" spans="1:7" ht="15" thickBot="1">
      <c r="A23" s="2587"/>
      <c r="B23" s="1247" t="s">
        <v>1661</v>
      </c>
      <c r="C23" s="3086"/>
      <c r="E23" s="2585"/>
      <c r="F23" s="1248" t="s">
        <v>1675</v>
      </c>
      <c r="G23" s="3087"/>
    </row>
    <row r="24" spans="1:7" ht="14.25" thickBot="1">
      <c r="A24" s="2588"/>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 sqref="B2"/>
    </sheetView>
  </sheetViews>
  <sheetFormatPr defaultColWidth="14.625" defaultRowHeight="13.5"/>
  <cols>
    <col min="1" max="1" width="24.375" customWidth="1"/>
  </cols>
  <sheetData>
    <row r="1" spans="1:9" ht="16.5">
      <c r="A1" s="3044" t="s">
        <v>2846</v>
      </c>
      <c r="B1" s="3044">
        <f>SUM(B14:B23)</f>
        <v>378790.25</v>
      </c>
      <c r="C1" s="3045"/>
      <c r="D1" s="3045"/>
      <c r="E1" s="3045"/>
      <c r="F1" s="3045"/>
    </row>
    <row r="2" spans="1:9" ht="16.5">
      <c r="A2" s="3044" t="s">
        <v>2847</v>
      </c>
      <c r="B2" s="3044">
        <f>SUM(C14:C23)</f>
        <v>186765</v>
      </c>
      <c r="C2" s="3045"/>
      <c r="D2" s="3045"/>
      <c r="E2" s="3045"/>
      <c r="F2" s="3045"/>
    </row>
    <row r="3" spans="1:9" ht="16.5">
      <c r="A3" s="3044" t="s">
        <v>2848</v>
      </c>
      <c r="B3" s="3046">
        <f>项目基本情况!D3</f>
        <v>43417</v>
      </c>
      <c r="C3" s="3045"/>
      <c r="D3" s="3045"/>
      <c r="E3" s="3045"/>
      <c r="F3" s="3045"/>
    </row>
    <row r="4" spans="1:9" ht="33">
      <c r="A4" s="3044" t="s">
        <v>2849</v>
      </c>
      <c r="B4" s="3044" t="s">
        <v>2850</v>
      </c>
      <c r="C4" s="3044" t="s">
        <v>2851</v>
      </c>
      <c r="D4" s="3044" t="s">
        <v>2852</v>
      </c>
      <c r="E4" s="3045"/>
      <c r="F4" s="3045"/>
    </row>
    <row r="5" spans="1:9" ht="16.5">
      <c r="A5" s="3044" t="s">
        <v>2853</v>
      </c>
      <c r="B5" s="3044">
        <f ca="1">SUM(D14:D23)</f>
        <v>67082</v>
      </c>
      <c r="C5" s="3044">
        <f ca="1">ROUND(B5*10000/$B$1,0)</f>
        <v>1771</v>
      </c>
      <c r="D5" s="3044">
        <f ca="1">ROUND(B5*10000/$B$2,0)</f>
        <v>3592</v>
      </c>
      <c r="E5" s="3045"/>
      <c r="F5" s="3045"/>
    </row>
    <row r="6" spans="1:9" ht="16.5">
      <c r="A6" s="3044" t="s">
        <v>2854</v>
      </c>
      <c r="B6" s="3044">
        <f ca="1">SUM(G14:G23)</f>
        <v>1547</v>
      </c>
      <c r="C6" s="3044">
        <f t="shared" ref="C6:C8" ca="1" si="0">ROUND(B6*10000/$B$1,0)</f>
        <v>41</v>
      </c>
      <c r="D6" s="3044">
        <f t="shared" ref="D6:D8" ca="1" si="1">ROUND(B6*10000/$B$2,0)</f>
        <v>83</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18198</v>
      </c>
      <c r="C14" s="3048">
        <f>结果表!K38</f>
        <v>6066</v>
      </c>
      <c r="D14" s="3048">
        <f ca="1">结果表!C42</f>
        <v>1547</v>
      </c>
      <c r="E14" s="3048">
        <f ca="1">ROUND(D14*10000/B14,0)</f>
        <v>850</v>
      </c>
      <c r="F14" s="3048">
        <f ca="1">ROUND(D14*10000/C14,0)</f>
        <v>2550</v>
      </c>
      <c r="G14" s="3048">
        <f ca="1">结果表!C44</f>
        <v>1547</v>
      </c>
      <c r="H14" s="3048" t="str">
        <f>结果表!C45</f>
        <v>——</v>
      </c>
      <c r="I14" s="3048" t="str">
        <f>结果表!C46</f>
        <v>——</v>
      </c>
    </row>
    <row r="15" spans="1:9" ht="16.5">
      <c r="A15" s="3051" t="s">
        <v>2863</v>
      </c>
      <c r="B15" s="3052">
        <f>典型户型修正!B26</f>
        <v>21792</v>
      </c>
      <c r="C15" s="3052">
        <v>7264</v>
      </c>
      <c r="D15" s="3052">
        <f ca="1">典型户型修正!S26</f>
        <v>1761</v>
      </c>
      <c r="E15" s="3048">
        <f t="shared" ref="E15:E23" ca="1" si="2">ROUND(D15*10000/B15,0)</f>
        <v>808</v>
      </c>
      <c r="F15" s="3048">
        <f t="shared" ref="F15:F23" ca="1" si="3">ROUND(D15*10000/C15,0)</f>
        <v>2424</v>
      </c>
      <c r="G15" s="3049"/>
      <c r="H15" s="3049"/>
      <c r="I15" s="3052"/>
    </row>
    <row r="16" spans="1:9" ht="16.5">
      <c r="A16" s="3051" t="s">
        <v>2864</v>
      </c>
      <c r="B16" s="3052">
        <f>典型户型修正!B27</f>
        <v>5874</v>
      </c>
      <c r="C16" s="3052">
        <v>1958</v>
      </c>
      <c r="D16" s="3052">
        <f ca="1">典型户型修正!S27</f>
        <v>475</v>
      </c>
      <c r="E16" s="3048">
        <f t="shared" ca="1" si="2"/>
        <v>809</v>
      </c>
      <c r="F16" s="3048">
        <f t="shared" ca="1" si="3"/>
        <v>2426</v>
      </c>
      <c r="G16" s="3049"/>
      <c r="H16" s="3049"/>
      <c r="I16" s="3052"/>
    </row>
    <row r="17" spans="1:9" ht="16.5">
      <c r="A17" s="3051" t="s">
        <v>2865</v>
      </c>
      <c r="B17" s="3052">
        <f>典型户型修正!B28</f>
        <v>8019</v>
      </c>
      <c r="C17" s="3052">
        <v>2673</v>
      </c>
      <c r="D17" s="3052">
        <f ca="1">典型户型修正!S28</f>
        <v>648</v>
      </c>
      <c r="E17" s="3048">
        <f t="shared" ca="1" si="2"/>
        <v>808</v>
      </c>
      <c r="F17" s="3048">
        <f t="shared" ca="1" si="3"/>
        <v>2424</v>
      </c>
      <c r="G17" s="3049"/>
      <c r="H17" s="3049"/>
      <c r="I17" s="3052"/>
    </row>
    <row r="18" spans="1:9" ht="16.5">
      <c r="A18" s="3051" t="s">
        <v>2866</v>
      </c>
      <c r="B18" s="3052">
        <f>典型户型修正!B29</f>
        <v>37713</v>
      </c>
      <c r="C18" s="3052">
        <v>12571</v>
      </c>
      <c r="D18" s="3052">
        <f ca="1">典型户型修正!S29</f>
        <v>3047</v>
      </c>
      <c r="E18" s="3048">
        <f t="shared" ca="1" si="2"/>
        <v>808</v>
      </c>
      <c r="F18" s="3048">
        <f t="shared" ca="1" si="3"/>
        <v>2424</v>
      </c>
      <c r="G18" s="3052"/>
      <c r="H18" s="3052"/>
      <c r="I18" s="3052"/>
    </row>
    <row r="19" spans="1:9" ht="16.5">
      <c r="A19" s="3051" t="s">
        <v>2867</v>
      </c>
      <c r="B19" s="3052">
        <f>典型户型修正!B30</f>
        <v>169599</v>
      </c>
      <c r="C19" s="3052">
        <v>56533</v>
      </c>
      <c r="D19" s="3052">
        <f ca="1">典型户型修正!S30</f>
        <v>14348</v>
      </c>
      <c r="E19" s="3048">
        <f t="shared" ca="1" si="2"/>
        <v>846</v>
      </c>
      <c r="F19" s="3048">
        <f t="shared" ca="1" si="3"/>
        <v>2538</v>
      </c>
      <c r="G19" s="3052"/>
      <c r="H19" s="3052"/>
      <c r="I19" s="3052"/>
    </row>
    <row r="20" spans="1:9" ht="16.5">
      <c r="A20" s="3051" t="s">
        <v>2868</v>
      </c>
      <c r="B20" s="3052">
        <f>典型户型修正!B25</f>
        <v>25851</v>
      </c>
      <c r="C20" s="3052">
        <v>8617</v>
      </c>
      <c r="D20" s="3052">
        <f ca="1">典型户型修正!S25</f>
        <v>1978</v>
      </c>
      <c r="E20" s="3048">
        <f t="shared" ca="1" si="2"/>
        <v>765</v>
      </c>
      <c r="F20" s="3048">
        <f t="shared" ca="1" si="3"/>
        <v>2295</v>
      </c>
      <c r="G20" s="3052"/>
      <c r="H20" s="3052"/>
      <c r="I20" s="3052"/>
    </row>
    <row r="21" spans="1:9" ht="16.5">
      <c r="A21" s="3051" t="s">
        <v>2869</v>
      </c>
      <c r="B21" s="3052">
        <f>[1]典型户型修正!$B$22</f>
        <v>91744.249999999985</v>
      </c>
      <c r="C21" s="3052">
        <f>49727+13479+2255+1662+2918+843+1476+1240+4840+2391+424+7330+2498</f>
        <v>91083</v>
      </c>
      <c r="D21" s="3052">
        <f ca="1">[1]典型户型修正!$B$20</f>
        <v>43278</v>
      </c>
      <c r="E21" s="3048">
        <f t="shared" ca="1" si="2"/>
        <v>4717</v>
      </c>
      <c r="F21" s="3048">
        <f t="shared" ca="1" si="3"/>
        <v>4751</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30" sqref="F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26" t="str">
        <f>项目基本情况!K2</f>
        <v>山东省出让国有建设用地使用权</v>
      </c>
      <c r="B2" s="3327"/>
      <c r="C2" s="3328"/>
      <c r="D2" s="3328"/>
      <c r="E2" s="3328"/>
      <c r="F2" s="3328"/>
      <c r="G2" s="3327"/>
      <c r="H2" s="3327"/>
      <c r="I2" s="3329"/>
      <c r="J2" s="2029"/>
      <c r="K2" s="2028"/>
      <c r="L2" s="2028"/>
      <c r="M2" s="2028"/>
      <c r="N2" s="2028"/>
      <c r="O2" s="2028"/>
      <c r="P2" s="2028"/>
      <c r="Q2" s="2028"/>
      <c r="R2" s="2028"/>
      <c r="S2" s="2028"/>
      <c r="T2" s="2028"/>
      <c r="U2" s="2028"/>
      <c r="V2" s="2028"/>
    </row>
    <row r="3" spans="1:22" ht="14.25">
      <c r="A3" s="3337" t="s">
        <v>298</v>
      </c>
      <c r="B3" s="3338"/>
      <c r="C3" s="3338"/>
      <c r="D3" s="3338"/>
      <c r="E3" s="3338"/>
      <c r="F3" s="3338"/>
      <c r="G3" s="3338"/>
      <c r="H3" s="3338"/>
      <c r="I3" s="3338"/>
      <c r="J3" s="2029"/>
      <c r="K3" s="2028"/>
      <c r="L3" s="2028"/>
      <c r="M3" s="2028"/>
      <c r="N3" s="2028"/>
      <c r="O3" s="2028"/>
      <c r="P3" s="2028"/>
      <c r="Q3" s="2028"/>
      <c r="R3" s="2028"/>
      <c r="S3" s="2028"/>
      <c r="T3" s="2028"/>
      <c r="U3" s="2028"/>
      <c r="V3" s="2028"/>
    </row>
    <row r="4" spans="1:22" ht="14.25">
      <c r="A4" s="258" t="s">
        <v>299</v>
      </c>
      <c r="B4" s="259" t="s">
        <v>300</v>
      </c>
      <c r="C4" s="260" t="s">
        <v>3066</v>
      </c>
      <c r="D4" s="260" t="s">
        <v>3067</v>
      </c>
      <c r="E4" s="3301" t="s">
        <v>301</v>
      </c>
      <c r="F4" s="3343"/>
      <c r="G4" s="3343"/>
      <c r="H4" s="3343"/>
      <c r="I4" s="330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0" t="s">
        <v>302</v>
      </c>
      <c r="B5" s="3331">
        <v>25</v>
      </c>
      <c r="C5" s="3339"/>
      <c r="D5" s="3342"/>
      <c r="E5" s="261" t="s">
        <v>303</v>
      </c>
      <c r="F5" s="262"/>
      <c r="G5" s="262"/>
      <c r="H5" s="262"/>
      <c r="I5" s="263"/>
      <c r="J5" s="2029"/>
      <c r="K5" s="2028"/>
      <c r="L5" s="2028"/>
      <c r="M5" s="2028"/>
      <c r="N5" s="2028"/>
      <c r="O5" s="2028"/>
      <c r="P5" s="2028"/>
      <c r="Q5" s="2028"/>
      <c r="R5" s="2028"/>
      <c r="S5" s="2028"/>
      <c r="T5" s="2028"/>
      <c r="U5" s="2028"/>
      <c r="V5" s="2028"/>
    </row>
    <row r="6" spans="1:22" ht="14.25">
      <c r="A6" s="3330"/>
      <c r="B6" s="3331"/>
      <c r="C6" s="3340"/>
      <c r="D6" s="3342"/>
      <c r="E6" s="261" t="s">
        <v>304</v>
      </c>
      <c r="F6" s="262"/>
      <c r="G6" s="262"/>
      <c r="H6" s="262"/>
      <c r="I6" s="263"/>
      <c r="J6" s="2029"/>
      <c r="K6" s="2028"/>
      <c r="L6" s="2028"/>
      <c r="M6" s="2028"/>
      <c r="N6" s="2028"/>
      <c r="O6" s="2028"/>
      <c r="P6" s="2028"/>
      <c r="Q6" s="2028"/>
      <c r="R6" s="2028"/>
      <c r="S6" s="2028"/>
      <c r="T6" s="2028"/>
      <c r="U6" s="2028"/>
      <c r="V6" s="2028"/>
    </row>
    <row r="7" spans="1:22" ht="14.25">
      <c r="A7" s="3330"/>
      <c r="B7" s="3331"/>
      <c r="C7" s="3341"/>
      <c r="D7" s="3342"/>
      <c r="E7" s="261" t="s">
        <v>305</v>
      </c>
      <c r="F7" s="262"/>
      <c r="G7" s="262"/>
      <c r="H7" s="262"/>
      <c r="I7" s="263"/>
      <c r="J7" s="2029"/>
      <c r="K7" s="2028"/>
      <c r="L7" s="2028"/>
      <c r="M7" s="2028"/>
      <c r="N7" s="2028"/>
      <c r="O7" s="2028"/>
      <c r="P7" s="2028"/>
      <c r="Q7" s="2028"/>
      <c r="R7" s="2028"/>
      <c r="S7" s="2028"/>
      <c r="T7" s="2028"/>
      <c r="U7" s="2028"/>
      <c r="V7" s="2028"/>
    </row>
    <row r="8" spans="1:22" ht="14.25">
      <c r="A8" s="3330" t="s">
        <v>306</v>
      </c>
      <c r="B8" s="3331">
        <v>15</v>
      </c>
      <c r="C8" s="3339"/>
      <c r="D8" s="3342"/>
      <c r="E8" s="261" t="s">
        <v>307</v>
      </c>
      <c r="F8" s="262"/>
      <c r="G8" s="262"/>
      <c r="H8" s="262"/>
      <c r="I8" s="263"/>
      <c r="J8" s="2029"/>
      <c r="K8" s="2028"/>
      <c r="L8" s="2028"/>
      <c r="M8" s="2028"/>
      <c r="N8" s="2028"/>
      <c r="O8" s="2028"/>
      <c r="P8" s="2028"/>
      <c r="Q8" s="2028"/>
      <c r="R8" s="2028"/>
      <c r="S8" s="2028"/>
      <c r="T8" s="2028"/>
      <c r="U8" s="2028"/>
      <c r="V8" s="2028"/>
    </row>
    <row r="9" spans="1:22" ht="14.25">
      <c r="A9" s="3330"/>
      <c r="B9" s="3331"/>
      <c r="C9" s="3341"/>
      <c r="D9" s="3342"/>
      <c r="E9" s="261" t="s">
        <v>308</v>
      </c>
      <c r="F9" s="262"/>
      <c r="G9" s="262"/>
      <c r="H9" s="262"/>
      <c r="I9" s="263"/>
      <c r="J9" s="2029"/>
      <c r="K9" s="2028"/>
      <c r="L9" s="2028"/>
      <c r="M9" s="2028"/>
      <c r="N9" s="2028"/>
      <c r="O9" s="2028"/>
      <c r="P9" s="2028"/>
      <c r="Q9" s="2028"/>
      <c r="R9" s="2028"/>
      <c r="S9" s="2028"/>
      <c r="T9" s="2028"/>
      <c r="U9" s="2028"/>
      <c r="V9" s="2028"/>
    </row>
    <row r="10" spans="1:22" ht="14.25">
      <c r="A10" s="3330" t="s">
        <v>309</v>
      </c>
      <c r="B10" s="3331">
        <v>15</v>
      </c>
      <c r="C10" s="3339"/>
      <c r="D10" s="3342"/>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0"/>
      <c r="B11" s="3331"/>
      <c r="C11" s="3341"/>
      <c r="D11" s="3342"/>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0" t="s">
        <v>312</v>
      </c>
      <c r="B12" s="3331">
        <v>15</v>
      </c>
      <c r="C12" s="3339"/>
      <c r="D12" s="3342"/>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0"/>
      <c r="B13" s="3331"/>
      <c r="C13" s="3341"/>
      <c r="D13" s="3342"/>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0" t="s">
        <v>315</v>
      </c>
      <c r="B14" s="3331">
        <v>30</v>
      </c>
      <c r="C14" s="3339">
        <v>5</v>
      </c>
      <c r="D14" s="3342">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0"/>
      <c r="B15" s="3331"/>
      <c r="C15" s="3340"/>
      <c r="D15" s="3342"/>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0"/>
      <c r="B16" s="3331"/>
      <c r="C16" s="3341"/>
      <c r="D16" s="334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1592</v>
      </c>
      <c r="D19" s="271">
        <f ca="1">SUMIF(INDIRECT("'"&amp;D4&amp;"'"&amp;"!A:A"),结果表!B19,INDIRECT("'"&amp;D4&amp;"'"&amp;"!B:B"))</f>
        <v>1502</v>
      </c>
      <c r="E19" s="268" t="s">
        <v>323</v>
      </c>
      <c r="F19" s="269" t="s">
        <v>322</v>
      </c>
      <c r="G19" s="272">
        <f ca="1">ROUND(C19*$C$18+D19*$D$18,0)</f>
        <v>1547</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875</v>
      </c>
      <c r="D20" s="277">
        <f ca="1">SUMIF(INDIRECT("'"&amp;D4&amp;"'"&amp;"!A:A"),结果表!B20,INDIRECT("'"&amp;D4&amp;"'"&amp;"!B:B"))</f>
        <v>825</v>
      </c>
      <c r="E20" s="274"/>
      <c r="F20" s="275" t="s">
        <v>325</v>
      </c>
      <c r="G20" s="278">
        <f ca="1">ROUND(C20*$C$18+D20*$D$18,0)</f>
        <v>850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2624</v>
      </c>
      <c r="D21" s="151">
        <f ca="1">SUMIF(INDIRECT("'"&amp;D4&amp;"'"&amp;"!A:A"),结果表!B21,INDIRECT("'"&amp;D4&amp;"'"&amp;"!B:B"))</f>
        <v>2476</v>
      </c>
      <c r="E21" s="274"/>
      <c r="F21" s="280" t="s">
        <v>327</v>
      </c>
      <c r="G21" s="282">
        <f ca="1">ROUND(C21*$C$18+D21*$D$18,0)</f>
        <v>2550</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5.9920106524633754E-2</v>
      </c>
      <c r="E22" s="284"/>
      <c r="F22" s="285"/>
      <c r="G22" s="286">
        <f ca="1">ROUND(G19/('数据-汇总表'!D3/666.67),0)</f>
        <v>170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3"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5"/>
      <c r="B25" s="1321" t="s">
        <v>331</v>
      </c>
      <c r="C25" s="290">
        <f>IF(B30=0,0,C30)</f>
        <v>0</v>
      </c>
      <c r="D25" s="291"/>
      <c r="E25" s="311"/>
      <c r="F25" s="311"/>
      <c r="G25" s="311"/>
      <c r="H25" s="311"/>
      <c r="I25" s="311"/>
      <c r="J25" s="2028"/>
      <c r="K25" s="1255" t="str">
        <f ca="1">项目基本情况!B16&amp;"国有建设用地使用权价格："&amp;O38&amp;"万元"</f>
        <v>出让国有建设用地使用权价格：1547万元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大写金额：人民币壹仟伍佰肆拾柒万元整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单位面积地价：2550元/平方米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楼面地价：850元/平方米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抵押价格：1547万元</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 ca="1">IF(K29="——","——","大写金额：人民币"&amp;NUMBERSTRING(INT(O39*10000),2)&amp;"元整")</f>
        <v>大写金额：人民币壹仟伍佰肆拾柒万元整</v>
      </c>
      <c r="L30" s="1252"/>
      <c r="M30" s="1252"/>
      <c r="N30" s="1252"/>
      <c r="O30" s="1251"/>
      <c r="P30" s="2028"/>
      <c r="V30" s="2028"/>
    </row>
    <row r="31" spans="1:26" ht="24" customHeight="1" thickBot="1">
      <c r="A31" s="311"/>
      <c r="B31" s="311"/>
      <c r="C31" s="311"/>
      <c r="D31" s="311"/>
      <c r="E31" s="311"/>
      <c r="F31" s="311"/>
      <c r="G31" s="311"/>
      <c r="H31" s="311"/>
      <c r="I31" s="311"/>
      <c r="J31" s="2028"/>
      <c r="K31" s="2467" t="str">
        <f>IF(项目基本情况!E8="抵押价格","——","抵押担保权已注销时的抵押价格："&amp;O40&amp;"万元")</f>
        <v>——</v>
      </c>
      <c r="L31" s="2463"/>
      <c r="M31" s="2463"/>
      <c r="N31" s="2463"/>
      <c r="O31" s="2464"/>
      <c r="P31" s="2028"/>
      <c r="V31" s="2028"/>
    </row>
    <row r="32" spans="1:26" ht="18.75" thickBot="1">
      <c r="A32" s="268" t="s">
        <v>337</v>
      </c>
      <c r="B32" s="1382" t="s">
        <v>1688</v>
      </c>
      <c r="C32" s="1383">
        <f ca="1">G19-C24</f>
        <v>1547</v>
      </c>
      <c r="D32" s="1384" t="s">
        <v>1689</v>
      </c>
      <c r="E32" s="311"/>
      <c r="F32" s="311"/>
      <c r="G32" s="311"/>
      <c r="H32" s="311"/>
      <c r="I32" s="311"/>
      <c r="J32" s="2028"/>
      <c r="K32" s="2462" t="str">
        <f>IF(K31="——","——","大写金额：人民币"&amp;NUMBERSTRING(INT(O40*10000),2)&amp;"元整")</f>
        <v>——</v>
      </c>
      <c r="L32" s="2465"/>
      <c r="M32" s="2465"/>
      <c r="N32" s="2465"/>
      <c r="O32" s="2466"/>
      <c r="P32" s="2028"/>
      <c r="V32" s="2028"/>
    </row>
    <row r="33" spans="1:26" ht="18.75" thickBot="1">
      <c r="A33" s="298" t="s">
        <v>340</v>
      </c>
      <c r="B33" s="1385" t="s">
        <v>1690</v>
      </c>
      <c r="C33" s="264">
        <f ca="1">ROUND(C32*10000/'数据-汇总表'!E3,0)</f>
        <v>850</v>
      </c>
      <c r="D33" s="1386" t="s">
        <v>1691</v>
      </c>
      <c r="E33" s="3303"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1692</v>
      </c>
      <c r="C34" s="264">
        <f ca="1">ROUND(C32*10000/'数据-汇总表'!D3,0)</f>
        <v>2550</v>
      </c>
      <c r="D34" s="1388" t="s">
        <v>1691</v>
      </c>
      <c r="E34" s="3304"/>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170</v>
      </c>
      <c r="D35" s="1391" t="s">
        <v>1693</v>
      </c>
      <c r="E35" s="3305"/>
      <c r="F35" s="301" t="s">
        <v>342</v>
      </c>
      <c r="G35" s="982"/>
      <c r="H35" s="981" t="s">
        <v>343</v>
      </c>
      <c r="I35" s="311"/>
      <c r="J35" s="2028"/>
      <c r="K35" s="3309" t="s">
        <v>350</v>
      </c>
      <c r="L35" s="3309" t="s">
        <v>351</v>
      </c>
      <c r="M35" s="1264" t="s">
        <v>352</v>
      </c>
      <c r="N35" s="3309" t="s">
        <v>353</v>
      </c>
      <c r="O35" s="3309" t="s">
        <v>354</v>
      </c>
      <c r="P35" s="2028"/>
      <c r="V35" s="2028"/>
    </row>
    <row r="36" spans="1:26" ht="16.5" customHeight="1">
      <c r="A36" s="303" t="s">
        <v>344</v>
      </c>
      <c r="B36" s="304" t="s">
        <v>333</v>
      </c>
      <c r="C36" s="305" t="s">
        <v>345</v>
      </c>
      <c r="D36" s="305" t="s">
        <v>346</v>
      </c>
      <c r="E36" s="306" t="s">
        <v>347</v>
      </c>
      <c r="F36" s="311"/>
      <c r="G36" s="311"/>
      <c r="H36" s="311"/>
      <c r="I36" s="311"/>
      <c r="J36" s="2030"/>
      <c r="K36" s="3310"/>
      <c r="L36" s="3310"/>
      <c r="M36" s="1266" t="s">
        <v>355</v>
      </c>
      <c r="N36" s="3310"/>
      <c r="O36" s="3310"/>
      <c r="P36" s="2028"/>
      <c r="V36" s="2028"/>
    </row>
    <row r="37" spans="1:26" ht="16.5" customHeight="1" thickBot="1">
      <c r="A37" s="1260" t="s">
        <v>348</v>
      </c>
      <c r="B37" s="307"/>
      <c r="C37" s="294"/>
      <c r="D37" s="294"/>
      <c r="E37" s="295"/>
      <c r="F37" s="311"/>
      <c r="G37" s="311"/>
      <c r="H37" s="311"/>
      <c r="I37" s="311"/>
      <c r="J37" s="2030"/>
      <c r="K37" s="3311"/>
      <c r="L37" s="3311"/>
      <c r="M37" s="1267"/>
      <c r="N37" s="3311"/>
      <c r="O37" s="3311"/>
      <c r="P37" s="2028"/>
      <c r="V37" s="2028"/>
    </row>
    <row r="38" spans="1:26" ht="16.5" customHeight="1" thickBot="1">
      <c r="A38" s="1260" t="s">
        <v>349</v>
      </c>
      <c r="B38" s="307"/>
      <c r="C38" s="294"/>
      <c r="D38" s="294"/>
      <c r="E38" s="295"/>
      <c r="F38" s="311"/>
      <c r="G38" s="311"/>
      <c r="H38" s="311"/>
      <c r="I38" s="311"/>
      <c r="J38" s="2030"/>
      <c r="K38" s="1268">
        <f>'数据-汇总表'!D3</f>
        <v>6066</v>
      </c>
      <c r="L38" s="1269">
        <f>'数据-汇总表'!E3</f>
        <v>18198</v>
      </c>
      <c r="M38" s="1269">
        <f ca="1">C34</f>
        <v>2550</v>
      </c>
      <c r="N38" s="1269">
        <f ca="1">C33</f>
        <v>850</v>
      </c>
      <c r="O38" s="1270">
        <f ca="1">C32</f>
        <v>1547</v>
      </c>
      <c r="P38" s="2028"/>
      <c r="V38" s="2028"/>
    </row>
    <row r="39" spans="1:26" ht="16.5" customHeight="1" thickBot="1">
      <c r="A39" s="1265"/>
      <c r="B39" s="308"/>
      <c r="C39" s="309"/>
      <c r="D39" s="309"/>
      <c r="E39" s="310"/>
      <c r="F39" s="311"/>
      <c r="G39" s="311"/>
      <c r="H39" s="311"/>
      <c r="I39" s="311"/>
      <c r="J39" s="2030"/>
      <c r="K39" s="3286" t="str">
        <f>MID(A44,3,LEN(A44)-2)</f>
        <v>抵押价格</v>
      </c>
      <c r="L39" s="3287"/>
      <c r="M39" s="3287"/>
      <c r="N39" s="3288"/>
      <c r="O39" s="1393">
        <f ca="1">C44</f>
        <v>1547</v>
      </c>
      <c r="P39" s="2028"/>
      <c r="V39" s="2028"/>
    </row>
    <row r="40" spans="1:26" ht="19.5" thickBot="1">
      <c r="A40" s="104" t="s">
        <v>872</v>
      </c>
      <c r="B40" s="311"/>
      <c r="C40" s="311"/>
      <c r="D40" s="311"/>
      <c r="E40" s="311"/>
      <c r="F40" s="311"/>
      <c r="G40" s="311"/>
      <c r="H40" s="311"/>
      <c r="I40" s="311"/>
      <c r="J40" s="2030"/>
      <c r="K40" s="3286" t="str">
        <f t="shared" ref="K40:K41" si="0">MID(A45,3,LEN(A45)-2)</f>
        <v/>
      </c>
      <c r="L40" s="3287"/>
      <c r="M40" s="3287"/>
      <c r="N40" s="3288"/>
      <c r="O40" s="1393" t="str">
        <f>C45</f>
        <v>——</v>
      </c>
      <c r="P40" s="2028"/>
      <c r="V40" s="2028"/>
    </row>
    <row r="41" spans="1:26" ht="16.5" thickBot="1">
      <c r="A41" s="312" t="s">
        <v>356</v>
      </c>
      <c r="B41" s="313"/>
      <c r="C41" s="314" t="s">
        <v>357</v>
      </c>
      <c r="D41" s="315" t="s">
        <v>358</v>
      </c>
      <c r="E41" s="315" t="s">
        <v>359</v>
      </c>
      <c r="F41" s="316" t="s">
        <v>360</v>
      </c>
      <c r="G41" s="311"/>
      <c r="H41" s="311"/>
      <c r="I41" s="311"/>
      <c r="J41" s="2030"/>
      <c r="K41" s="3286" t="str">
        <f t="shared" si="0"/>
        <v/>
      </c>
      <c r="L41" s="3287"/>
      <c r="M41" s="3287"/>
      <c r="N41" s="3288"/>
      <c r="O41" s="1393" t="str">
        <f>C46</f>
        <v>——</v>
      </c>
      <c r="P41" s="2028"/>
      <c r="V41" s="2028"/>
    </row>
    <row r="42" spans="1:26" ht="29.25">
      <c r="A42" s="3346" t="s">
        <v>2069</v>
      </c>
      <c r="B42" s="3347"/>
      <c r="C42" s="264">
        <f ca="1">C32</f>
        <v>1547</v>
      </c>
      <c r="D42" s="317">
        <f ca="1">C33</f>
        <v>850</v>
      </c>
      <c r="E42" s="317">
        <f ca="1">C34</f>
        <v>2550</v>
      </c>
      <c r="F42" s="318">
        <f ca="1">C35</f>
        <v>170</v>
      </c>
      <c r="G42" s="311"/>
      <c r="H42" s="311"/>
      <c r="I42" s="319"/>
      <c r="J42" s="2030"/>
      <c r="K42" s="1271" t="s">
        <v>361</v>
      </c>
      <c r="L42" s="2047" t="s">
        <v>362</v>
      </c>
      <c r="M42" s="1272" t="s">
        <v>363</v>
      </c>
      <c r="N42" s="2048" t="s">
        <v>364</v>
      </c>
      <c r="O42" s="2049" t="s">
        <v>365</v>
      </c>
      <c r="P42" s="2028"/>
      <c r="V42" s="2028"/>
    </row>
    <row r="43" spans="1:26" ht="30">
      <c r="A43" s="3356" t="s">
        <v>2732</v>
      </c>
      <c r="B43" s="3357"/>
      <c r="C43" s="264">
        <f>IF(H33="正常操作",G33+G34+G35,G34+G35)</f>
        <v>0</v>
      </c>
      <c r="D43" s="317" t="s">
        <v>43</v>
      </c>
      <c r="E43" s="317" t="s">
        <v>44</v>
      </c>
      <c r="F43" s="318" t="s">
        <v>44</v>
      </c>
      <c r="G43" s="2865" t="s">
        <v>951</v>
      </c>
      <c r="H43" s="311"/>
      <c r="I43" s="319"/>
      <c r="J43" s="2030"/>
      <c r="K43" s="1273" t="str">
        <f>C4</f>
        <v>比较法-住宅、综合</v>
      </c>
      <c r="L43" s="1274">
        <f ca="1">IF(L42="估价结果/万元",C19,C20)</f>
        <v>1592</v>
      </c>
      <c r="M43" s="1275">
        <f>C18</f>
        <v>0.5</v>
      </c>
      <c r="N43" s="1276">
        <f ca="1">IF(N42="测算结果/万元",G19,G20)</f>
        <v>1547</v>
      </c>
      <c r="O43" s="1277">
        <f ca="1">IF(O42="最终结果/万元",C32,C33)</f>
        <v>1547</v>
      </c>
      <c r="P43" s="2028"/>
      <c r="V43" s="2028"/>
    </row>
    <row r="44" spans="1:26" ht="30.75" thickBot="1">
      <c r="A44" s="3346" t="str">
        <f>IF(OR(项目基本情况!E8="抵押价格",项目基本情况!E8="已注销及未注销"),"3.抵押价格","——")</f>
        <v>3.抵押价格</v>
      </c>
      <c r="B44" s="3347"/>
      <c r="C44" s="264">
        <f ca="1">IF(A44="——","——",C42-C43)</f>
        <v>1547</v>
      </c>
      <c r="D44" s="317">
        <f ca="1">ROUND(C44*10000/'数据-汇总表'!E3,0)</f>
        <v>850</v>
      </c>
      <c r="E44" s="317">
        <f ca="1">ROUND(C44*10000/'数据-汇总表'!D3,0)</f>
        <v>2550</v>
      </c>
      <c r="F44" s="318">
        <f ca="1">ROUND(C44/('数据-汇总表'!D3/666.67),0)</f>
        <v>170</v>
      </c>
      <c r="G44" s="311"/>
      <c r="H44" s="311"/>
      <c r="I44" s="319"/>
      <c r="J44" s="2030"/>
      <c r="K44" s="1278" t="str">
        <f>D4</f>
        <v>剩余法-待开发</v>
      </c>
      <c r="L44" s="1279">
        <f ca="1">IF(L42="估价结果/万元",D19,D20)</f>
        <v>1502</v>
      </c>
      <c r="M44" s="1280">
        <f>D18</f>
        <v>0.5</v>
      </c>
      <c r="N44" s="1281"/>
      <c r="O44" s="1282"/>
      <c r="P44" s="2028"/>
      <c r="V44" s="2028"/>
    </row>
    <row r="45" spans="1:26" ht="15">
      <c r="A45" s="3351" t="str">
        <f>IF(项目基本情况!E8="已注销及未注销","4.抵押担保权已注销时的抵押价格",IF(项目基本情况!E8="已注销","3.抵押担保权已注销时的抵押价格","——"))</f>
        <v>——</v>
      </c>
      <c r="B45" s="335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4" t="s">
        <v>374</v>
      </c>
      <c r="B63" s="3315"/>
      <c r="C63" s="3316"/>
      <c r="D63" s="341">
        <f ca="1">ROUND(C42*F63,0)</f>
        <v>928</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53" t="s">
        <v>378</v>
      </c>
      <c r="B64" s="3354"/>
      <c r="C64" s="3354"/>
      <c r="D64" s="3354"/>
      <c r="E64" s="3354"/>
      <c r="F64" s="3354"/>
      <c r="G64" s="3355"/>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50" t="s">
        <v>386</v>
      </c>
      <c r="B66" s="3321"/>
      <c r="C66" s="3321"/>
      <c r="D66" s="261">
        <f ca="1">IF(H66="情况1",0,IF(H66="情况2",D70,IF(H66="情况3",D71,IF(H66="情况4",D72))))</f>
        <v>49</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290" t="s">
        <v>385</v>
      </c>
      <c r="M66" s="3291"/>
      <c r="N66" s="2457"/>
      <c r="O66" s="2458"/>
      <c r="P66" s="2459"/>
      <c r="Q66" s="2028"/>
      <c r="R66" s="2028"/>
      <c r="S66" s="2028"/>
      <c r="T66" s="2028"/>
      <c r="U66" s="2028"/>
      <c r="V66" s="2028"/>
    </row>
    <row r="67" spans="1:22" ht="25.5" customHeight="1">
      <c r="A67" s="352" t="s">
        <v>390</v>
      </c>
      <c r="B67" s="3333" t="s">
        <v>391</v>
      </c>
      <c r="C67" s="3333"/>
      <c r="D67" s="353">
        <v>0</v>
      </c>
      <c r="E67" s="41" t="s">
        <v>392</v>
      </c>
      <c r="F67" s="62" t="s">
        <v>21</v>
      </c>
      <c r="G67" s="3317"/>
      <c r="H67" s="311"/>
      <c r="I67" s="1292"/>
      <c r="J67" s="2035"/>
      <c r="K67" s="1976">
        <v>2</v>
      </c>
      <c r="L67" s="3289" t="s">
        <v>389</v>
      </c>
      <c r="M67" s="3289"/>
      <c r="N67" s="1325">
        <f>'数据-取费表'!B2</f>
        <v>43417</v>
      </c>
      <c r="O67" s="1325"/>
      <c r="P67" s="1325"/>
      <c r="Q67" s="2028"/>
      <c r="R67" s="2028"/>
      <c r="S67" s="2028"/>
      <c r="T67" s="2028"/>
      <c r="U67" s="2028"/>
      <c r="V67" s="2028"/>
    </row>
    <row r="68" spans="1:22" ht="25.5" customHeight="1">
      <c r="A68" s="354"/>
      <c r="B68" s="3333" t="s">
        <v>394</v>
      </c>
      <c r="C68" s="3333"/>
      <c r="D68" s="355"/>
      <c r="E68" s="77"/>
      <c r="F68" s="356"/>
      <c r="G68" s="3318"/>
      <c r="H68" s="311"/>
      <c r="I68" s="1292"/>
      <c r="J68" s="2035"/>
      <c r="K68" s="1976">
        <v>3</v>
      </c>
      <c r="L68" s="3289" t="s">
        <v>393</v>
      </c>
      <c r="M68" s="3289"/>
      <c r="N68" s="1293">
        <f ca="1">C42</f>
        <v>1547</v>
      </c>
      <c r="O68" s="1293"/>
      <c r="P68" s="1293"/>
      <c r="Q68" s="2028"/>
      <c r="R68" s="2028"/>
      <c r="S68" s="2028"/>
      <c r="T68" s="2028"/>
      <c r="U68" s="2028"/>
      <c r="V68" s="2028"/>
    </row>
    <row r="69" spans="1:22" ht="12" customHeight="1">
      <c r="A69" s="357"/>
      <c r="B69" s="3333" t="s">
        <v>395</v>
      </c>
      <c r="C69" s="3333"/>
      <c r="D69" s="358"/>
      <c r="E69" s="73"/>
      <c r="F69" s="356"/>
      <c r="G69" s="3319"/>
      <c r="H69" s="311"/>
      <c r="I69" s="1292"/>
      <c r="J69" s="2035"/>
      <c r="K69" s="1294">
        <v>4</v>
      </c>
      <c r="L69" s="3295" t="s">
        <v>2885</v>
      </c>
      <c r="M69" s="3296"/>
      <c r="N69" s="1295">
        <f ca="1">C44</f>
        <v>1547</v>
      </c>
      <c r="O69" s="1295"/>
      <c r="P69" s="1295"/>
      <c r="Q69" s="2028"/>
      <c r="R69" s="2028"/>
      <c r="S69" s="2028"/>
      <c r="T69" s="2028"/>
      <c r="U69" s="2028"/>
      <c r="V69" s="2028"/>
    </row>
    <row r="70" spans="1:22" ht="24" customHeight="1">
      <c r="A70" s="359" t="s">
        <v>396</v>
      </c>
      <c r="B70" s="3333" t="s">
        <v>397</v>
      </c>
      <c r="C70" s="3333"/>
      <c r="D70" s="358">
        <f ca="1">ROUND(D63*'数据-取费表'!B41/(1+'数据-取费表'!C42),0)</f>
        <v>49</v>
      </c>
      <c r="E70" s="17" t="s">
        <v>398</v>
      </c>
      <c r="F70" s="360">
        <f>'数据-取费表'!B41</f>
        <v>5.5000000000000007E-2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332" t="s">
        <v>405</v>
      </c>
      <c r="C71" s="3344"/>
      <c r="D71" s="358">
        <f ca="1">ROUND(D63*'数据-取费表'!B41/(1+'数据-取费表'!C42),0)</f>
        <v>49</v>
      </c>
      <c r="E71" s="17" t="s">
        <v>398</v>
      </c>
      <c r="F71" s="360">
        <f>'数据-取费表'!B41</f>
        <v>5.5000000000000007E-2</v>
      </c>
      <c r="G71" s="361"/>
      <c r="H71" s="311"/>
      <c r="I71" s="1292"/>
      <c r="J71" s="2035"/>
      <c r="K71" s="3060" t="s">
        <v>399</v>
      </c>
      <c r="L71" s="3297" t="s">
        <v>400</v>
      </c>
      <c r="M71" s="3297"/>
      <c r="N71" s="3060" t="s">
        <v>401</v>
      </c>
      <c r="O71" s="3060" t="s">
        <v>402</v>
      </c>
      <c r="P71" s="3060" t="s">
        <v>403</v>
      </c>
      <c r="Q71" s="2028"/>
      <c r="R71" s="2028"/>
      <c r="S71" s="2028"/>
      <c r="T71" s="2028"/>
      <c r="U71" s="2028"/>
      <c r="V71" s="2028"/>
    </row>
    <row r="72" spans="1:22" ht="12" customHeight="1">
      <c r="A72" s="359" t="s">
        <v>407</v>
      </c>
      <c r="B72" s="3332" t="s">
        <v>408</v>
      </c>
      <c r="C72" s="3344"/>
      <c r="D72" s="358">
        <f ca="1">C86</f>
        <v>0</v>
      </c>
      <c r="E72" s="73" t="s">
        <v>409</v>
      </c>
      <c r="F72" s="360">
        <f>'数据-取费表'!B41</f>
        <v>5.5000000000000007E-2</v>
      </c>
      <c r="G72" s="361"/>
      <c r="H72" s="1298"/>
      <c r="I72" s="1292"/>
      <c r="J72" s="2035"/>
      <c r="K72" s="1976">
        <v>1</v>
      </c>
      <c r="L72" s="3294" t="s">
        <v>406</v>
      </c>
      <c r="M72" s="3294"/>
      <c r="N72" s="1296">
        <f ca="1">D66</f>
        <v>49</v>
      </c>
      <c r="O72" s="1861" t="str">
        <f>E66</f>
        <v>销售额×税（费）率</v>
      </c>
      <c r="P72" s="1297">
        <f>F66</f>
        <v>5.5000000000000007E-2</v>
      </c>
      <c r="Q72" s="2028"/>
      <c r="R72" s="2028"/>
      <c r="S72" s="2028"/>
      <c r="T72" s="2028"/>
      <c r="U72" s="2028"/>
      <c r="V72" s="2028"/>
    </row>
    <row r="73" spans="1:22" ht="24" customHeight="1">
      <c r="A73" s="3320" t="s">
        <v>411</v>
      </c>
      <c r="B73" s="3321"/>
      <c r="C73" s="3321"/>
      <c r="D73" s="362">
        <f>IF(H73="个人住宅",0,ROUND(D63*I73,0))</f>
        <v>0</v>
      </c>
      <c r="E73" s="17" t="s">
        <v>412</v>
      </c>
      <c r="F73" s="360" t="str">
        <f>IF(H73="正常",I73,"免征")</f>
        <v>免征</v>
      </c>
      <c r="G73" s="361"/>
      <c r="H73" s="191" t="s">
        <v>2457</v>
      </c>
      <c r="I73" s="360">
        <f>'数据-取费表'!B49</f>
        <v>5.0000000000000001E-4</v>
      </c>
      <c r="J73" s="2035"/>
      <c r="K73" s="1976">
        <v>2</v>
      </c>
      <c r="L73" s="3294" t="s">
        <v>410</v>
      </c>
      <c r="M73" s="3294"/>
      <c r="N73" s="1296">
        <f t="shared" ref="N73:P74" si="1">D73</f>
        <v>0</v>
      </c>
      <c r="O73" s="1861" t="str">
        <f t="shared" si="1"/>
        <v>销售额×税（费）率</v>
      </c>
      <c r="P73" s="1297" t="str">
        <f t="shared" si="1"/>
        <v>免征</v>
      </c>
      <c r="Q73" s="2028"/>
      <c r="R73" s="2028"/>
      <c r="S73" s="2028"/>
      <c r="T73" s="2028"/>
      <c r="U73" s="2028"/>
      <c r="V73" s="2028"/>
    </row>
    <row r="74" spans="1:22" ht="24.75">
      <c r="A74" s="3320" t="s">
        <v>415</v>
      </c>
      <c r="B74" s="3321"/>
      <c r="C74" s="3321"/>
      <c r="D74" s="362">
        <f ca="1">IF(H74="个人住宅",D75,D76)</f>
        <v>57</v>
      </c>
      <c r="E74" s="17" t="s">
        <v>416</v>
      </c>
      <c r="F74" s="360" t="str">
        <f>IF(H74="正常",F76,"免征")</f>
        <v>——</v>
      </c>
      <c r="G74" s="983" t="s">
        <v>417</v>
      </c>
      <c r="H74" s="363" t="s">
        <v>413</v>
      </c>
      <c r="I74" s="42"/>
      <c r="J74" s="2035"/>
      <c r="K74" s="1976">
        <v>3</v>
      </c>
      <c r="L74" s="3294" t="s">
        <v>414</v>
      </c>
      <c r="M74" s="3294"/>
      <c r="N74" s="1296">
        <f t="shared" ca="1" si="1"/>
        <v>57</v>
      </c>
      <c r="O74" s="1861" t="str">
        <f t="shared" si="1"/>
        <v>增值额×税（费）率</v>
      </c>
      <c r="P74" s="1299" t="str">
        <f t="shared" si="1"/>
        <v>——</v>
      </c>
      <c r="Q74" s="2028"/>
      <c r="R74" s="2028"/>
      <c r="S74" s="2028"/>
      <c r="T74" s="2028"/>
      <c r="U74" s="2028"/>
      <c r="V74" s="2028"/>
    </row>
    <row r="75" spans="1:22" ht="24">
      <c r="A75" s="359" t="s">
        <v>418</v>
      </c>
      <c r="B75" s="3301" t="s">
        <v>419</v>
      </c>
      <c r="C75" s="3302"/>
      <c r="D75" s="364">
        <v>0</v>
      </c>
      <c r="E75" s="41" t="s">
        <v>420</v>
      </c>
      <c r="F75" s="365"/>
      <c r="G75" s="361"/>
      <c r="H75" s="42"/>
      <c r="I75" s="42"/>
      <c r="J75" s="2035"/>
      <c r="K75" s="3053">
        <f>IF(H77="非个人房产","",4)</f>
        <v>4</v>
      </c>
      <c r="L75" s="3294" t="str">
        <f>IF(H77="非个人房产","——","个人所得税")</f>
        <v>个人所得税</v>
      </c>
      <c r="M75" s="3294"/>
      <c r="N75" s="1300">
        <f ca="1">D77</f>
        <v>9</v>
      </c>
      <c r="O75" s="1874" t="str">
        <f>E77</f>
        <v>销售额×税（费）率</v>
      </c>
      <c r="P75" s="1301">
        <f>F77</f>
        <v>0.01</v>
      </c>
      <c r="Q75" s="2028"/>
      <c r="R75" s="2028"/>
      <c r="S75" s="2028"/>
      <c r="T75" s="2028"/>
      <c r="U75" s="2028"/>
      <c r="V75" s="2028"/>
    </row>
    <row r="76" spans="1:22" ht="24.75">
      <c r="A76" s="359" t="s">
        <v>396</v>
      </c>
      <c r="B76" s="3301" t="s">
        <v>422</v>
      </c>
      <c r="C76" s="3343"/>
      <c r="D76" s="362">
        <f ca="1">IF(H76="转让取得",C99,C115)</f>
        <v>57</v>
      </c>
      <c r="E76" s="17" t="s">
        <v>423</v>
      </c>
      <c r="F76" s="53" t="s">
        <v>21</v>
      </c>
      <c r="G76" s="361"/>
      <c r="H76" s="363" t="s">
        <v>424</v>
      </c>
      <c r="I76" s="42"/>
      <c r="J76" s="2035"/>
      <c r="K76" s="3053" t="str">
        <f>IF(项目基本情况!K6="上海银行",IF(K75="",4,K75+1),"")</f>
        <v/>
      </c>
      <c r="L76" s="3282" t="str">
        <f>IF(项目基本情况!K6="上海银行","其他处置费用","")</f>
        <v/>
      </c>
      <c r="M76" s="3283"/>
      <c r="N76" s="1296" t="str">
        <f>IF(项目基本情况!K6="上海银行",N89,"")</f>
        <v/>
      </c>
      <c r="O76" s="3284" t="str">
        <f>IF(项目基本情况!K6="上海银行","包含处置中涉及的律师、诉讼、拍卖、评估等费用","")</f>
        <v/>
      </c>
      <c r="P76" s="3285"/>
      <c r="Q76" s="2028"/>
      <c r="R76" s="2028"/>
      <c r="S76" s="2028"/>
      <c r="T76" s="2028"/>
      <c r="U76" s="2028"/>
      <c r="V76" s="2028"/>
    </row>
    <row r="77" spans="1:22" ht="26.25" thickBot="1">
      <c r="A77" s="3312" t="s">
        <v>426</v>
      </c>
      <c r="B77" s="3313"/>
      <c r="C77" s="3313"/>
      <c r="D77" s="366">
        <f ca="1">IF(H77="非个人房产","——",IF(H77="个人住宅",0,ROUND(D63*I77,0)))</f>
        <v>9</v>
      </c>
      <c r="E77" s="367" t="str">
        <f>IF(H77="非个人房产","——","销售额×税（费）率")</f>
        <v>销售额×税（费）率</v>
      </c>
      <c r="F77" s="368">
        <f>IF(H77="非个人房产","——",IF(H77="个人住宅","免征",I77))</f>
        <v>0.01</v>
      </c>
      <c r="G77" s="984" t="s">
        <v>417</v>
      </c>
      <c r="H77" s="363" t="s">
        <v>2886</v>
      </c>
      <c r="I77" s="369">
        <v>0.01</v>
      </c>
      <c r="J77" s="2035"/>
      <c r="K77" s="3308">
        <f>IF(AND(K75="",K76=""),4,IF(项目基本情况!K6="上海银行",K76+1,K75+1))</f>
        <v>5</v>
      </c>
      <c r="L77" s="3294" t="s">
        <v>2887</v>
      </c>
      <c r="M77" s="3059" t="s">
        <v>421</v>
      </c>
      <c r="N77" s="1302"/>
      <c r="O77" s="1303">
        <f ca="1">SUMIF(N72:N76,"&lt;9e307")</f>
        <v>115</v>
      </c>
      <c r="P77" s="1304"/>
      <c r="Q77" s="3057">
        <f ca="1">O77/N69</f>
        <v>7.4337427278603749E-2</v>
      </c>
      <c r="R77" s="2028"/>
      <c r="S77" s="2028"/>
      <c r="T77" s="2028"/>
      <c r="U77" s="2028"/>
      <c r="V77" s="2028"/>
    </row>
    <row r="78" spans="1:22" ht="12" customHeight="1">
      <c r="A78" s="1305"/>
      <c r="B78" s="311"/>
      <c r="C78" s="311"/>
      <c r="D78" s="311"/>
      <c r="E78" s="42"/>
      <c r="F78" s="42"/>
      <c r="G78" s="42"/>
      <c r="H78" s="1003"/>
      <c r="I78" s="311"/>
      <c r="J78" s="2035"/>
      <c r="K78" s="3308"/>
      <c r="L78" s="3294"/>
      <c r="M78" s="3059" t="s">
        <v>425</v>
      </c>
      <c r="N78" s="1302"/>
      <c r="O78" s="1303" t="str">
        <f ca="1">NUMBERSTRING(INT(O77*10000),2)&amp;"元整"</f>
        <v>壹佰壹拾伍万元整</v>
      </c>
      <c r="P78" s="1304"/>
      <c r="Q78" s="2028"/>
      <c r="R78" s="2028"/>
      <c r="S78" s="2028"/>
      <c r="T78" s="2028"/>
      <c r="U78" s="2028"/>
      <c r="V78" s="2028"/>
    </row>
    <row r="79" spans="1:22" ht="13.5" thickBot="1">
      <c r="A79" s="3298" t="s">
        <v>427</v>
      </c>
      <c r="B79" s="3298"/>
      <c r="C79" s="3298"/>
      <c r="D79" s="3298"/>
      <c r="E79" s="3298"/>
      <c r="F79" s="42"/>
      <c r="G79" s="42"/>
      <c r="H79" s="1003"/>
      <c r="I79" s="311"/>
      <c r="J79" s="2035"/>
      <c r="K79" s="3292">
        <f>K77+1</f>
        <v>6</v>
      </c>
      <c r="L79" s="3294" t="s">
        <v>2888</v>
      </c>
      <c r="M79" s="3059" t="s">
        <v>421</v>
      </c>
      <c r="N79" s="1302"/>
      <c r="O79" s="1303">
        <f ca="1">N69-O77</f>
        <v>1432</v>
      </c>
      <c r="P79" s="1304"/>
      <c r="Q79" s="2028"/>
      <c r="R79" s="2028"/>
      <c r="S79" s="2028"/>
      <c r="T79" s="2028"/>
      <c r="U79" s="2028"/>
      <c r="V79" s="2028"/>
    </row>
    <row r="80" spans="1:22" ht="25.5">
      <c r="A80" s="3299" t="s">
        <v>428</v>
      </c>
      <c r="B80" s="3300"/>
      <c r="C80" s="994"/>
      <c r="D80" s="994" t="s">
        <v>429</v>
      </c>
      <c r="E80" s="370" t="s">
        <v>430</v>
      </c>
      <c r="F80" s="42"/>
      <c r="G80" s="42"/>
      <c r="H80" s="1003"/>
      <c r="I80" s="311"/>
      <c r="J80" s="2028"/>
      <c r="K80" s="3293"/>
      <c r="L80" s="3294"/>
      <c r="M80" s="3059" t="s">
        <v>425</v>
      </c>
      <c r="N80" s="1302"/>
      <c r="O80" s="1303" t="str">
        <f ca="1">NUMBERSTRING(INT(O79*10000),2)&amp;"元整"</f>
        <v>壹仟肆佰叁拾贰万元整</v>
      </c>
      <c r="P80" s="1304"/>
      <c r="Q80" s="2028"/>
      <c r="R80" s="2028"/>
      <c r="S80" s="2028"/>
      <c r="T80" s="2028"/>
      <c r="U80" s="2028"/>
      <c r="V80" s="2028"/>
    </row>
    <row r="81" spans="1:26" ht="13.5" thickBot="1">
      <c r="A81" s="381" t="s">
        <v>1823</v>
      </c>
      <c r="B81" s="371" t="s">
        <v>431</v>
      </c>
      <c r="C81" s="372">
        <f ca="1">ROUND((C82+C83)/(1+'数据-取费表'!C42),0)</f>
        <v>884</v>
      </c>
      <c r="D81" s="373"/>
      <c r="E81" s="374"/>
      <c r="F81" s="42"/>
      <c r="G81" s="42"/>
      <c r="H81" s="1003"/>
      <c r="I81" s="311"/>
      <c r="J81" s="2028"/>
      <c r="K81" s="3053">
        <f>K79+1</f>
        <v>7</v>
      </c>
      <c r="L81" s="3306" t="s">
        <v>2889</v>
      </c>
      <c r="M81" s="3307"/>
      <c r="N81" s="1306"/>
      <c r="O81" s="1307">
        <f ca="1">ROUND(O79*10000/'数据-汇总表'!E3,0)</f>
        <v>787</v>
      </c>
      <c r="P81" s="1308"/>
      <c r="Q81" s="2028"/>
      <c r="R81" s="2028"/>
      <c r="S81" s="2028"/>
      <c r="T81" s="2028"/>
      <c r="U81" s="2028"/>
      <c r="V81" s="2028"/>
    </row>
    <row r="82" spans="1:26" ht="13.5" thickTop="1">
      <c r="A82" s="375" t="s">
        <v>1824</v>
      </c>
      <c r="B82" s="376" t="s">
        <v>432</v>
      </c>
      <c r="C82" s="377">
        <f ca="1">D63</f>
        <v>928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281" t="s">
        <v>2876</v>
      </c>
      <c r="L83" s="3065" t="s">
        <v>2877</v>
      </c>
      <c r="M83" s="3055">
        <f ca="1">IF(N69&gt;10000,N69*0.5%,IF(AND(N69&gt;1000,N69&lt;=10000),N69*1%,IF(AND(N69&gt;100,N69&lt;=1000),N69*3%,IF(AND(N69&gt;10,N69&lt;=100),N69*5%,N69*8%))))</f>
        <v>15.47</v>
      </c>
      <c r="N83" s="53">
        <f ca="1">ROUND(M83,1)</f>
        <v>15.5</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281"/>
      <c r="L84" s="3065" t="s">
        <v>2878</v>
      </c>
      <c r="M84" s="3055">
        <f ca="1">IF(N69&gt;2000,N69*0.5%,IF(AND(N69&gt;1000,N69&lt;=2000),N69*0.6%,IF(AND(N69&gt;500,N69&lt;=1000),N69*0.7%,IF(AND(N69&gt;200,N69&lt;=500),N69*0.8%,IF(AND(N69&gt;100,N69&lt;=200),N69*0.9%,IF(AND(N69&gt;50,N69&lt;=100),N69*1%,IF(AND(N69&gt;20,N69&lt;=50),N69*1.5%,IF(AND(N69&gt;10,N69&lt;=20),N69*2%,IF(AND(N69&gt;1,N69&lt;=10),N69*2.5%)))))))))</f>
        <v>9.282</v>
      </c>
      <c r="N84" s="53">
        <f t="shared" ref="N84:N85" ca="1" si="2">ROUND(M84,1)</f>
        <v>9.3000000000000007</v>
      </c>
      <c r="O84" s="2028" t="s">
        <v>2879</v>
      </c>
      <c r="P84" s="2028"/>
      <c r="Q84" s="2028"/>
      <c r="R84" s="2028"/>
      <c r="S84" s="2028"/>
      <c r="T84" s="2028"/>
      <c r="U84" s="2028"/>
      <c r="V84" s="2028"/>
    </row>
    <row r="85" spans="1:26" ht="12.75">
      <c r="A85" s="381" t="s">
        <v>1827</v>
      </c>
      <c r="B85" s="382" t="s">
        <v>435</v>
      </c>
      <c r="C85" s="385">
        <f ca="1">C81-C84</f>
        <v>-1116</v>
      </c>
      <c r="D85" s="378" t="s">
        <v>19</v>
      </c>
      <c r="E85" s="379"/>
      <c r="F85" s="42"/>
      <c r="G85" s="42"/>
      <c r="H85" s="1003"/>
      <c r="I85" s="311"/>
      <c r="J85" s="2028"/>
      <c r="K85" s="3281"/>
      <c r="L85" s="3065" t="s">
        <v>2880</v>
      </c>
      <c r="M85" s="3055">
        <f ca="1">IF(N69&gt;1000,N69*0.1%,IF(AND(N69&gt;500,N69&lt;=1000),N69*0.5%,IF(AND(N69&gt;50,N69&lt;=500),N69*1%,IF(AND(N69&gt;1,N69&lt;=50),N69*1.5%))))</f>
        <v>1.5469999999999999</v>
      </c>
      <c r="N85" s="53">
        <f t="shared" ca="1" si="2"/>
        <v>1.5</v>
      </c>
      <c r="O85" s="2028" t="s">
        <v>2879</v>
      </c>
      <c r="P85" s="2028"/>
      <c r="Q85" s="2028"/>
      <c r="R85" s="2028"/>
      <c r="S85" s="2028"/>
      <c r="T85" s="2028"/>
      <c r="U85" s="2028"/>
      <c r="V85" s="2028"/>
    </row>
    <row r="86" spans="1:26" ht="13.5" thickBot="1">
      <c r="A86" s="386" t="s">
        <v>1828</v>
      </c>
      <c r="B86" s="387" t="s">
        <v>436</v>
      </c>
      <c r="C86" s="388">
        <f ca="1">IF(C85&lt;=0,0,ROUND(C85*D86,0))</f>
        <v>0</v>
      </c>
      <c r="D86" s="389">
        <f>'数据-取费表'!B41</f>
        <v>5.5000000000000007E-2</v>
      </c>
      <c r="E86" s="390"/>
      <c r="F86" s="42"/>
      <c r="G86" s="42"/>
      <c r="H86" s="1003"/>
      <c r="I86" s="311"/>
      <c r="J86" s="2028"/>
      <c r="K86" s="3281"/>
      <c r="L86" s="3065" t="s">
        <v>2881</v>
      </c>
      <c r="M86" s="3055">
        <f ca="1">N69*0.5%</f>
        <v>7.7350000000000003</v>
      </c>
      <c r="N86" s="53">
        <f ca="1">IF(M86&gt;0.5,0.5,ROUND(M86,0))</f>
        <v>0.5</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1"/>
      <c r="L87" s="3065" t="s">
        <v>2883</v>
      </c>
      <c r="M87" s="3055">
        <f ca="1">IF(N69&gt;=10000,(8.25+(N69-10000)*0.01%),IF(AND(N69&gt;=8000,N69&lt;10000),(7.85+(N69-8000)*0.02%),IF(AND(N69&gt;=5000,N69&lt;8000),(6.65+(N69-5000)*0.04%),IF(AND(N69&gt;=2000,N69&lt;5000),(4.25+(PN69-2000)*0.08%),IF(AND(N69&gt;=1000,N69&lt;2000),(2.75+(N69-1000)*0.15%),IF(AND(N69&gt;=100,N69&lt;1000),(0.5+(N69-100)*0.25%),IF(AND(N69&gt;0,N69&lt;100),N69*0.5%)))))))</f>
        <v>3.5705</v>
      </c>
      <c r="N87" s="53">
        <f ca="1">ROUND(M87*0.9,1)</f>
        <v>3.2</v>
      </c>
      <c r="O87" s="3058"/>
      <c r="P87" s="311"/>
      <c r="Q87" s="2028"/>
      <c r="R87" s="2028"/>
      <c r="S87" s="2028"/>
      <c r="T87" s="2028"/>
      <c r="U87" s="2028"/>
      <c r="V87" s="2028"/>
      <c r="W87" s="292"/>
      <c r="X87" s="292"/>
      <c r="Y87" s="292"/>
      <c r="Z87" s="292"/>
    </row>
    <row r="88" spans="1:26" s="1314" customFormat="1" ht="15" thickBot="1">
      <c r="A88" s="3335" t="s">
        <v>437</v>
      </c>
      <c r="B88" s="3336"/>
      <c r="C88" s="3336"/>
      <c r="D88" s="3336"/>
      <c r="E88" s="3336"/>
      <c r="F88" s="3336"/>
      <c r="G88" s="3336"/>
      <c r="H88" s="3336"/>
      <c r="I88" s="1315"/>
      <c r="J88" s="2036"/>
      <c r="K88" s="3281"/>
      <c r="L88" s="3065" t="s">
        <v>2884</v>
      </c>
      <c r="M88" s="3055">
        <f ca="1">IF(N69&gt;10000,N69*0.5%,IF(AND(N69&gt;5000,N69&lt;=10000),N69*1%,IF(AND(N69&gt;1000,N69&lt;=5000),N69*2%,IF(AND(N69&gt;200,N69&lt;=1000),N69*3%,N69*5%))))</f>
        <v>30.94</v>
      </c>
      <c r="N88" s="53">
        <f ca="1">ROUND(M88,1)</f>
        <v>30.9</v>
      </c>
      <c r="O88" s="3058"/>
      <c r="P88" s="11"/>
      <c r="Q88" s="2033"/>
      <c r="R88" s="2033"/>
      <c r="S88" s="2033"/>
      <c r="T88" s="2033"/>
      <c r="U88" s="2033"/>
      <c r="V88" s="2033"/>
      <c r="W88" s="2037"/>
      <c r="X88" s="2037"/>
      <c r="Y88" s="2037"/>
      <c r="Z88" s="2037"/>
    </row>
    <row r="89" spans="1:26" s="1314" customFormat="1" ht="14.25">
      <c r="A89" s="3299" t="s">
        <v>428</v>
      </c>
      <c r="B89" s="3300"/>
      <c r="C89" s="994"/>
      <c r="D89" s="994" t="s">
        <v>429</v>
      </c>
      <c r="E89" s="391" t="s">
        <v>438</v>
      </c>
      <c r="F89" s="392"/>
      <c r="G89" s="392"/>
      <c r="H89" s="393"/>
      <c r="I89" s="1316"/>
      <c r="J89" s="2038"/>
      <c r="K89" s="3281"/>
      <c r="L89" s="3065" t="s">
        <v>27</v>
      </c>
      <c r="M89" s="3056"/>
      <c r="N89" s="53">
        <f ca="1">ROUND(SUM(N83:N88),0)</f>
        <v>61</v>
      </c>
      <c r="O89" s="3066">
        <f ca="1">N89/N69</f>
        <v>3.94311570782159E-2</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884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2565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332" t="s">
        <v>447</v>
      </c>
      <c r="F94" s="3333"/>
      <c r="G94" s="3333"/>
      <c r="H94" s="3334"/>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4</v>
      </c>
      <c r="D96" s="406">
        <f>'数据-取费表'!B43</f>
        <v>5.000000000000001E-3</v>
      </c>
      <c r="E96" s="3322" t="s">
        <v>2430</v>
      </c>
      <c r="F96" s="3323"/>
      <c r="G96" s="3323"/>
      <c r="H96" s="3324"/>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-1681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5" t="s">
        <v>454</v>
      </c>
      <c r="B101" s="3336"/>
      <c r="C101" s="3336"/>
      <c r="D101" s="3336"/>
      <c r="E101" s="3336"/>
      <c r="F101" s="3336"/>
      <c r="G101" s="3336"/>
      <c r="H101" s="333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299" t="s">
        <v>428</v>
      </c>
      <c r="B102" s="3300"/>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884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694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25" t="s">
        <v>462</v>
      </c>
      <c r="F109" s="3323"/>
      <c r="G109" s="3323"/>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25" t="s">
        <v>464</v>
      </c>
      <c r="F110" s="3323"/>
      <c r="G110" s="3323"/>
      <c r="H110" s="3324"/>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4</v>
      </c>
      <c r="D111" s="406">
        <f>'数据-取费表'!B43</f>
        <v>5.000000000000001E-3</v>
      </c>
      <c r="E111" s="3322" t="s">
        <v>2430</v>
      </c>
      <c r="F111" s="3323"/>
      <c r="G111" s="3323"/>
      <c r="H111" s="3324"/>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25" t="s">
        <v>2455</v>
      </c>
      <c r="F112" s="3323"/>
      <c r="G112" s="3323"/>
      <c r="H112" s="3324"/>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190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0.2737752161383285</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M46" sqref="M4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10.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1592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875</v>
      </c>
      <c r="C3" s="2061"/>
      <c r="D3" s="256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2624</v>
      </c>
      <c r="C4" s="2061"/>
      <c r="D4" s="256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175</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80" t="s">
        <v>522</v>
      </c>
      <c r="D6" s="3381"/>
      <c r="E6" s="3380" t="s">
        <v>523</v>
      </c>
      <c r="F6" s="3381"/>
      <c r="G6" s="3380" t="s">
        <v>524</v>
      </c>
      <c r="H6" s="3381"/>
      <c r="I6" s="3380" t="s">
        <v>525</v>
      </c>
      <c r="J6" s="3381"/>
      <c r="K6" s="514" t="s">
        <v>526</v>
      </c>
      <c r="L6" s="2133"/>
      <c r="M6" s="2132"/>
      <c r="N6" s="2132"/>
      <c r="O6" s="2134"/>
      <c r="P6" s="3382" t="s">
        <v>527</v>
      </c>
      <c r="Q6" s="3383"/>
      <c r="R6" s="3368" t="s">
        <v>523</v>
      </c>
      <c r="S6" s="3369"/>
      <c r="T6" s="3368" t="s">
        <v>524</v>
      </c>
      <c r="U6" s="3369"/>
      <c r="V6" s="3388" t="s">
        <v>525</v>
      </c>
      <c r="W6" s="3388"/>
      <c r="X6" s="1568"/>
      <c r="Y6" s="3368" t="s">
        <v>527</v>
      </c>
      <c r="Z6" s="3369"/>
      <c r="AA6" s="3363" t="s">
        <v>523</v>
      </c>
      <c r="AB6" s="3364" t="s">
        <v>524</v>
      </c>
      <c r="AC6" s="3363" t="s">
        <v>525</v>
      </c>
    </row>
    <row r="7" spans="1:30" ht="20.25">
      <c r="A7" s="515"/>
      <c r="B7" s="516"/>
      <c r="C7" s="3391" t="s">
        <v>2928</v>
      </c>
      <c r="D7" s="3392"/>
      <c r="E7" s="3391" t="str">
        <f>Sheet1!A8</f>
        <v>寿光市元丰街以南、规划路以西</v>
      </c>
      <c r="F7" s="3392"/>
      <c r="G7" s="3391" t="str">
        <f>Sheet1!A9</f>
        <v>寿光市新兴街以北、北海路以东</v>
      </c>
      <c r="H7" s="3392"/>
      <c r="I7" s="3391" t="str">
        <f>Sheet1!A13</f>
        <v>寿光市广场街以南、银海路以东</v>
      </c>
      <c r="J7" s="3392"/>
      <c r="K7" s="514"/>
      <c r="L7" s="2133"/>
      <c r="M7" s="2132"/>
      <c r="N7" s="2132"/>
      <c r="O7" s="2134"/>
      <c r="P7" s="3384"/>
      <c r="Q7" s="3385"/>
      <c r="R7" s="3370"/>
      <c r="S7" s="3371"/>
      <c r="T7" s="3370"/>
      <c r="U7" s="3371"/>
      <c r="V7" s="3388"/>
      <c r="W7" s="3388"/>
      <c r="X7" s="1568"/>
      <c r="Y7" s="3370"/>
      <c r="Z7" s="3371"/>
      <c r="AA7" s="3364"/>
      <c r="AB7" s="3364"/>
      <c r="AC7" s="3364"/>
    </row>
    <row r="8" spans="1:30" ht="21" thickBot="1">
      <c r="A8" s="515"/>
      <c r="B8" s="516"/>
      <c r="C8" s="3393" t="s">
        <v>2932</v>
      </c>
      <c r="D8" s="3394"/>
      <c r="E8" s="3393" t="s">
        <v>2932</v>
      </c>
      <c r="F8" s="3394"/>
      <c r="G8" s="3389" t="s">
        <v>2932</v>
      </c>
      <c r="H8" s="3390"/>
      <c r="I8" s="3389" t="s">
        <v>2932</v>
      </c>
      <c r="J8" s="3390"/>
      <c r="K8" s="514" t="s">
        <v>528</v>
      </c>
      <c r="L8" s="2133"/>
      <c r="M8" s="2132"/>
      <c r="N8" s="2132"/>
      <c r="O8" s="2134"/>
      <c r="P8" s="3386"/>
      <c r="Q8" s="3387"/>
      <c r="R8" s="3370"/>
      <c r="S8" s="3371"/>
      <c r="T8" s="3372"/>
      <c r="U8" s="3373"/>
      <c r="V8" s="3388"/>
      <c r="W8" s="3388"/>
      <c r="X8" s="1568"/>
      <c r="Y8" s="3372"/>
      <c r="Z8" s="3373"/>
      <c r="AA8" s="3365"/>
      <c r="AB8" s="3365"/>
      <c r="AC8" s="3365"/>
    </row>
    <row r="9" spans="1:30" s="1220" customFormat="1" ht="21" thickBot="1">
      <c r="A9" s="2911"/>
      <c r="B9" s="2918" t="s">
        <v>529</v>
      </c>
      <c r="C9" s="2910">
        <f>'数据-取费表'!B2</f>
        <v>43417</v>
      </c>
      <c r="D9" s="520">
        <v>100</v>
      </c>
      <c r="E9" s="521" t="str">
        <f>Sheet1!H8</f>
        <v>2017-10-18</v>
      </c>
      <c r="F9" s="522">
        <f>SUMIF(72:72,YEAR(E9)&amp;"-"&amp;INT((MONTH(E9)+2)/3),73:73)</f>
        <v>98</v>
      </c>
      <c r="G9" s="523" t="str">
        <f>Sheet1!H9</f>
        <v>2017-08-13</v>
      </c>
      <c r="H9" s="520">
        <f>SUMIF(72:72,YEAR(G9)&amp;"-"&amp;INT((MONTH(G9)+2)/3),73:73)</f>
        <v>97.5</v>
      </c>
      <c r="I9" s="523" t="str">
        <f>Sheet1!H13</f>
        <v>2017-02-24</v>
      </c>
      <c r="J9" s="520">
        <f>SUMIF(72:72,YEAR(I9)&amp;"-"&amp;INT((MONTH(I9)+2)/3),73:73)</f>
        <v>96.5</v>
      </c>
      <c r="K9" s="524"/>
      <c r="L9" s="2135"/>
      <c r="M9" s="2132"/>
      <c r="N9" s="2132"/>
      <c r="O9" s="2136"/>
      <c r="P9" s="3366" t="s">
        <v>530</v>
      </c>
      <c r="Q9" s="3375"/>
      <c r="R9" s="1569" t="s">
        <v>8</v>
      </c>
      <c r="S9" s="1570">
        <f t="shared" ref="S9:S17" si="0">F9</f>
        <v>98</v>
      </c>
      <c r="T9" s="1569" t="s">
        <v>8</v>
      </c>
      <c r="U9" s="1570">
        <f t="shared" ref="U9:U17" si="1">H9</f>
        <v>97.5</v>
      </c>
      <c r="V9" s="1569" t="s">
        <v>8</v>
      </c>
      <c r="W9" s="1570">
        <f t="shared" ref="W9:W17" si="2">J9</f>
        <v>96.5</v>
      </c>
      <c r="X9" s="1571"/>
      <c r="Y9" s="3366" t="s">
        <v>530</v>
      </c>
      <c r="Z9" s="3367"/>
      <c r="AA9" s="1572">
        <f>D9/F9</f>
        <v>1.0204081632653061</v>
      </c>
      <c r="AB9" s="1572">
        <f>D9/H9</f>
        <v>1.0256410256410255</v>
      </c>
      <c r="AC9" s="1572">
        <f>D9/J9</f>
        <v>1.0362694300518134</v>
      </c>
    </row>
    <row r="10" spans="1:30" s="1220" customFormat="1" ht="21" thickBot="1">
      <c r="A10" s="2912"/>
      <c r="B10" s="2919" t="s">
        <v>531</v>
      </c>
      <c r="C10" s="856" t="s">
        <v>532</v>
      </c>
      <c r="D10" s="520">
        <v>100</v>
      </c>
      <c r="E10" s="3179" t="s">
        <v>3062</v>
      </c>
      <c r="F10" s="522">
        <f>SUMIF(75:75,E10,76:76)-SUMIF(75:75,C10,76:76)+100</f>
        <v>100</v>
      </c>
      <c r="G10" s="3179" t="s">
        <v>3062</v>
      </c>
      <c r="H10" s="520">
        <f>SUMIF(75:75,G10,76:76)-SUMIF(75:75,C10,76:76)+100</f>
        <v>100</v>
      </c>
      <c r="I10" s="3179" t="s">
        <v>3063</v>
      </c>
      <c r="J10" s="520">
        <f>SUMIF(75:75,I10,76:76)-SUMIF(75:75,C10,76:76)+100</f>
        <v>100</v>
      </c>
      <c r="K10" s="524"/>
      <c r="L10" s="2135"/>
      <c r="M10" s="2132"/>
      <c r="N10" s="2132"/>
      <c r="O10" s="2136"/>
      <c r="P10" s="3366" t="s">
        <v>533</v>
      </c>
      <c r="Q10" s="3367"/>
      <c r="R10" s="1569" t="s">
        <v>8</v>
      </c>
      <c r="S10" s="1570">
        <f t="shared" si="0"/>
        <v>100</v>
      </c>
      <c r="T10" s="1569" t="s">
        <v>8</v>
      </c>
      <c r="U10" s="1570">
        <f t="shared" si="1"/>
        <v>100</v>
      </c>
      <c r="V10" s="1569" t="s">
        <v>8</v>
      </c>
      <c r="W10" s="1570">
        <f t="shared" si="2"/>
        <v>100</v>
      </c>
      <c r="X10" s="1571"/>
      <c r="Y10" s="3366" t="s">
        <v>533</v>
      </c>
      <c r="Z10" s="3367"/>
      <c r="AA10" s="1572">
        <f t="shared" ref="AA10:AA47" si="3">D10/F10</f>
        <v>1</v>
      </c>
      <c r="AB10" s="1572">
        <f t="shared" ref="AB10:AB47" si="4">D10/H10</f>
        <v>1</v>
      </c>
      <c r="AC10" s="1572">
        <f t="shared" ref="AC10:AC47" si="5">D10/J10</f>
        <v>1</v>
      </c>
    </row>
    <row r="11" spans="1:30" s="1220" customFormat="1" ht="20.25">
      <c r="A11" s="2913"/>
      <c r="B11" s="2920" t="s">
        <v>2758</v>
      </c>
      <c r="C11" s="2907" t="s">
        <v>2991</v>
      </c>
      <c r="D11" s="254">
        <v>100</v>
      </c>
      <c r="E11" s="526" t="s">
        <v>2991</v>
      </c>
      <c r="F11" s="254">
        <f>SUMIF(77:77,E11,78:78)-SUMIF(77:77,C11,78:78)+100</f>
        <v>100</v>
      </c>
      <c r="G11" s="526" t="s">
        <v>2991</v>
      </c>
      <c r="H11" s="254">
        <f>SUMIF(77:77,G11,78:78)-SUMIF(77:77,C11,78:78)+100</f>
        <v>100</v>
      </c>
      <c r="I11" s="526" t="s">
        <v>2991</v>
      </c>
      <c r="J11" s="254">
        <f>SUMIF(77:77,I11,78:78)-SUMIF(77:77,C11,78:78)+100</f>
        <v>100</v>
      </c>
      <c r="K11" s="524"/>
      <c r="L11" s="2135"/>
      <c r="M11" s="2132"/>
      <c r="N11" s="2132"/>
      <c r="O11" s="2137"/>
      <c r="P11" s="3374" t="s">
        <v>535</v>
      </c>
      <c r="Q11" s="1151" t="str">
        <f t="shared" ref="Q11:Q17" si="6">B11</f>
        <v>用途</v>
      </c>
      <c r="R11" s="1569" t="s">
        <v>8</v>
      </c>
      <c r="S11" s="1570">
        <f t="shared" si="0"/>
        <v>100</v>
      </c>
      <c r="T11" s="1569" t="s">
        <v>8</v>
      </c>
      <c r="U11" s="1570">
        <f t="shared" si="1"/>
        <v>100</v>
      </c>
      <c r="V11" s="1569" t="s">
        <v>8</v>
      </c>
      <c r="W11" s="1570">
        <f t="shared" si="2"/>
        <v>100</v>
      </c>
      <c r="X11" s="1571"/>
      <c r="Y11" s="3331" t="s">
        <v>536</v>
      </c>
      <c r="Z11" s="1150" t="str">
        <f t="shared" ref="Z11:Z17" si="7">Q11</f>
        <v>用途</v>
      </c>
      <c r="AA11" s="1572">
        <f t="shared" si="3"/>
        <v>1</v>
      </c>
      <c r="AB11" s="1572">
        <f t="shared" si="4"/>
        <v>1</v>
      </c>
      <c r="AC11" s="1572">
        <f t="shared" si="5"/>
        <v>1</v>
      </c>
    </row>
    <row r="12" spans="1:30" s="1338" customFormat="1" ht="27">
      <c r="A12" s="2914"/>
      <c r="B12" s="2919" t="s">
        <v>2759</v>
      </c>
      <c r="C12" s="910"/>
      <c r="D12" s="255">
        <v>100</v>
      </c>
      <c r="E12" s="529"/>
      <c r="F12" s="255">
        <f>ROUND(100/'数据-取费表'!G16,0)</f>
        <v>104</v>
      </c>
      <c r="G12" s="530"/>
      <c r="H12" s="255">
        <f>ROUND(100/'数据-取费表'!G16,0)</f>
        <v>104</v>
      </c>
      <c r="I12" s="530"/>
      <c r="J12" s="255">
        <f>ROUND(100/'数据-取费表'!G16,0)</f>
        <v>104</v>
      </c>
      <c r="K12" s="531"/>
      <c r="L12" s="2138"/>
      <c r="M12" s="2132"/>
      <c r="N12" s="2132"/>
      <c r="O12" s="2139"/>
      <c r="P12" s="3374"/>
      <c r="Q12" s="1151" t="str">
        <f t="shared" si="6"/>
        <v>土地使用年限（年）</v>
      </c>
      <c r="R12" s="1569" t="s">
        <v>8</v>
      </c>
      <c r="S12" s="1570">
        <f t="shared" si="0"/>
        <v>104</v>
      </c>
      <c r="T12" s="1569" t="s">
        <v>8</v>
      </c>
      <c r="U12" s="1570">
        <f t="shared" si="1"/>
        <v>104</v>
      </c>
      <c r="V12" s="1569" t="s">
        <v>8</v>
      </c>
      <c r="W12" s="1570">
        <f t="shared" si="2"/>
        <v>104</v>
      </c>
      <c r="X12" s="1571"/>
      <c r="Y12" s="3331"/>
      <c r="Z12" s="1150" t="str">
        <f t="shared" si="7"/>
        <v>土地使用年限（年）</v>
      </c>
      <c r="AA12" s="1572">
        <f t="shared" si="3"/>
        <v>0.96153846153846156</v>
      </c>
      <c r="AB12" s="1572">
        <f t="shared" si="4"/>
        <v>0.96153846153846156</v>
      </c>
      <c r="AC12" s="1572">
        <f t="shared" si="5"/>
        <v>0.96153846153846156</v>
      </c>
    </row>
    <row r="13" spans="1:30" ht="20.25">
      <c r="A13" s="2915"/>
      <c r="B13" s="2919" t="s">
        <v>2760</v>
      </c>
      <c r="C13" s="534">
        <v>3.5</v>
      </c>
      <c r="D13" s="255">
        <v>100</v>
      </c>
      <c r="E13" s="533">
        <v>1</v>
      </c>
      <c r="F13" s="255">
        <f>LOOKUP(E13,82:82,83:83)-LOOKUP(C13,82:82,83:83)+100</f>
        <v>110</v>
      </c>
      <c r="G13" s="534">
        <v>3.5</v>
      </c>
      <c r="H13" s="255">
        <f>LOOKUP(G13,82:82,83:83)-LOOKUP(C13,82:82,83:83)+100</f>
        <v>100</v>
      </c>
      <c r="I13" s="533">
        <v>2</v>
      </c>
      <c r="J13" s="255">
        <f>LOOKUP(I13,82:82,83:83)-LOOKUP(C13,82:82,83:83)+100</f>
        <v>105</v>
      </c>
      <c r="K13" s="535">
        <v>5</v>
      </c>
      <c r="L13" s="2140"/>
      <c r="M13" s="2132"/>
      <c r="N13" s="2132"/>
      <c r="O13" s="2141"/>
      <c r="P13" s="3374"/>
      <c r="Q13" s="1151" t="str">
        <f t="shared" si="6"/>
        <v>容积率</v>
      </c>
      <c r="R13" s="1569" t="s">
        <v>8</v>
      </c>
      <c r="S13" s="1570">
        <f t="shared" si="0"/>
        <v>110</v>
      </c>
      <c r="T13" s="1569" t="s">
        <v>8</v>
      </c>
      <c r="U13" s="1570">
        <f t="shared" si="1"/>
        <v>100</v>
      </c>
      <c r="V13" s="1569" t="s">
        <v>8</v>
      </c>
      <c r="W13" s="1570">
        <f t="shared" si="2"/>
        <v>105</v>
      </c>
      <c r="X13" s="1571"/>
      <c r="Y13" s="3331"/>
      <c r="Z13" s="1150" t="str">
        <f t="shared" si="7"/>
        <v>容积率</v>
      </c>
      <c r="AA13" s="1572">
        <f t="shared" si="3"/>
        <v>0.90909090909090906</v>
      </c>
      <c r="AB13" s="1572">
        <f t="shared" si="4"/>
        <v>1</v>
      </c>
      <c r="AC13" s="1572">
        <f t="shared" si="5"/>
        <v>0.95238095238095233</v>
      </c>
    </row>
    <row r="14" spans="1:30" s="1220" customFormat="1" ht="20.25">
      <c r="A14" s="2912"/>
      <c r="B14" s="2921" t="s">
        <v>2761</v>
      </c>
      <c r="C14" s="2908"/>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74"/>
      <c r="Q14" s="1151" t="str">
        <f t="shared" si="6"/>
        <v>配建</v>
      </c>
      <c r="R14" s="1569" t="s">
        <v>8</v>
      </c>
      <c r="S14" s="1570">
        <f t="shared" si="0"/>
        <v>100</v>
      </c>
      <c r="T14" s="1569" t="s">
        <v>8</v>
      </c>
      <c r="U14" s="1570">
        <f t="shared" si="1"/>
        <v>100</v>
      </c>
      <c r="V14" s="1569" t="s">
        <v>8</v>
      </c>
      <c r="W14" s="1570">
        <f t="shared" si="2"/>
        <v>100</v>
      </c>
      <c r="X14" s="1571"/>
      <c r="Y14" s="3331"/>
      <c r="Z14" s="1150" t="str">
        <f t="shared" si="7"/>
        <v>配建</v>
      </c>
      <c r="AA14" s="1572">
        <f>D14/F14</f>
        <v>1</v>
      </c>
      <c r="AB14" s="1572">
        <f>D14/H14</f>
        <v>1</v>
      </c>
      <c r="AC14" s="1572">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4"/>
      <c r="Q15" s="1151">
        <f t="shared" si="6"/>
        <v>111</v>
      </c>
      <c r="R15" s="1569" t="s">
        <v>8</v>
      </c>
      <c r="S15" s="1570">
        <f t="shared" si="0"/>
        <v>100</v>
      </c>
      <c r="T15" s="1569" t="s">
        <v>8</v>
      </c>
      <c r="U15" s="1570">
        <f t="shared" si="1"/>
        <v>100</v>
      </c>
      <c r="V15" s="1569" t="s">
        <v>8</v>
      </c>
      <c r="W15" s="1570">
        <f t="shared" si="2"/>
        <v>100</v>
      </c>
      <c r="X15" s="1571"/>
      <c r="Y15" s="3331"/>
      <c r="Z15" s="1150">
        <f t="shared" si="7"/>
        <v>111</v>
      </c>
      <c r="AA15" s="1572">
        <f>D15/F15</f>
        <v>1</v>
      </c>
      <c r="AB15" s="1572">
        <f>D15/H15</f>
        <v>1</v>
      </c>
      <c r="AC15" s="1572">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4"/>
      <c r="Q16" s="1151">
        <f t="shared" si="6"/>
        <v>111</v>
      </c>
      <c r="R16" s="1569" t="s">
        <v>8</v>
      </c>
      <c r="S16" s="1570">
        <f t="shared" si="0"/>
        <v>100</v>
      </c>
      <c r="T16" s="1569" t="s">
        <v>8</v>
      </c>
      <c r="U16" s="1570">
        <f t="shared" si="1"/>
        <v>100</v>
      </c>
      <c r="V16" s="1569" t="s">
        <v>8</v>
      </c>
      <c r="W16" s="1570">
        <f t="shared" si="2"/>
        <v>100</v>
      </c>
      <c r="X16" s="1571"/>
      <c r="Y16" s="3331"/>
      <c r="Z16" s="1150">
        <f t="shared" si="7"/>
        <v>111</v>
      </c>
      <c r="AA16" s="1572">
        <f>D16/F16</f>
        <v>1</v>
      </c>
      <c r="AB16" s="1572">
        <f>D16/H16</f>
        <v>1</v>
      </c>
      <c r="AC16" s="1572">
        <f>D16/J16</f>
        <v>1</v>
      </c>
    </row>
    <row r="17" spans="1:29" ht="99.75" hidden="1">
      <c r="A17" s="2909"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76" t="s">
        <v>540</v>
      </c>
      <c r="Q17" s="1573" t="str">
        <f t="shared" si="6"/>
        <v>居住社区成熟度</v>
      </c>
      <c r="R17" s="1574" t="s">
        <v>8</v>
      </c>
      <c r="S17" s="1575">
        <f t="shared" si="0"/>
        <v>100</v>
      </c>
      <c r="T17" s="1574" t="s">
        <v>8</v>
      </c>
      <c r="U17" s="1575">
        <f t="shared" si="1"/>
        <v>100</v>
      </c>
      <c r="V17" s="1574" t="s">
        <v>8</v>
      </c>
      <c r="W17" s="1575">
        <f t="shared" si="2"/>
        <v>100</v>
      </c>
      <c r="X17" s="1568"/>
      <c r="Y17" s="3376"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2"/>
      <c r="M18" s="2132"/>
      <c r="N18" s="2132"/>
      <c r="O18" s="2141"/>
      <c r="P18" s="3377"/>
      <c r="Q18" s="1573"/>
      <c r="R18" s="1574"/>
      <c r="S18" s="1575"/>
      <c r="T18" s="1574"/>
      <c r="U18" s="1575"/>
      <c r="V18" s="1574"/>
      <c r="W18" s="1575"/>
      <c r="X18" s="1568"/>
      <c r="Y18" s="337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105</v>
      </c>
      <c r="K19" s="535">
        <v>5</v>
      </c>
      <c r="L19" s="2142"/>
      <c r="M19" s="2132"/>
      <c r="N19" s="2132"/>
      <c r="O19" s="2141"/>
      <c r="P19" s="3377"/>
      <c r="Q19" s="1573" t="str">
        <f>B19</f>
        <v>商业繁华度</v>
      </c>
      <c r="R19" s="1574" t="s">
        <v>8</v>
      </c>
      <c r="S19" s="1575">
        <f>F19</f>
        <v>100</v>
      </c>
      <c r="T19" s="1574" t="s">
        <v>8</v>
      </c>
      <c r="U19" s="1575">
        <f>H19</f>
        <v>100</v>
      </c>
      <c r="V19" s="1574" t="s">
        <v>8</v>
      </c>
      <c r="W19" s="1575">
        <f>J19</f>
        <v>105</v>
      </c>
      <c r="X19" s="1568"/>
      <c r="Y19" s="3377"/>
      <c r="Z19" s="1576" t="str">
        <f>Q19</f>
        <v>商业繁华度</v>
      </c>
      <c r="AA19" s="1577">
        <f t="shared" si="3"/>
        <v>1</v>
      </c>
      <c r="AB19" s="1577">
        <f t="shared" si="4"/>
        <v>1</v>
      </c>
      <c r="AC19" s="1577">
        <f t="shared" si="5"/>
        <v>0.95238095238095233</v>
      </c>
    </row>
    <row r="20" spans="1:29" ht="20.25">
      <c r="A20" s="532"/>
      <c r="B20" s="566"/>
      <c r="C20" s="567" t="s">
        <v>3098</v>
      </c>
      <c r="D20" s="563"/>
      <c r="E20" s="569" t="s">
        <v>3098</v>
      </c>
      <c r="F20" s="559"/>
      <c r="G20" s="568" t="s">
        <v>3098</v>
      </c>
      <c r="H20" s="555"/>
      <c r="I20" s="569" t="s">
        <v>3096</v>
      </c>
      <c r="J20" s="555"/>
      <c r="K20" s="531"/>
      <c r="L20" s="2142"/>
      <c r="M20" s="2132"/>
      <c r="N20" s="2132"/>
      <c r="O20" s="2141"/>
      <c r="P20" s="3377"/>
      <c r="Q20" s="1573"/>
      <c r="R20" s="1574"/>
      <c r="S20" s="1575"/>
      <c r="T20" s="1574"/>
      <c r="U20" s="1575"/>
      <c r="V20" s="1574"/>
      <c r="W20" s="1575"/>
      <c r="X20" s="1568"/>
      <c r="Y20" s="337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77"/>
      <c r="Q21" s="1573" t="str">
        <f>B21</f>
        <v>办公集聚程度</v>
      </c>
      <c r="R21" s="1574" t="s">
        <v>8</v>
      </c>
      <c r="S21" s="1575">
        <f>F21</f>
        <v>100</v>
      </c>
      <c r="T21" s="1574" t="s">
        <v>8</v>
      </c>
      <c r="U21" s="1575">
        <f>H21</f>
        <v>100</v>
      </c>
      <c r="V21" s="1574" t="s">
        <v>8</v>
      </c>
      <c r="W21" s="1575">
        <f>J21</f>
        <v>100</v>
      </c>
      <c r="X21" s="1568"/>
      <c r="Y21" s="337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77"/>
      <c r="Q22" s="1573"/>
      <c r="R22" s="1574"/>
      <c r="S22" s="1575"/>
      <c r="T22" s="1574"/>
      <c r="U22" s="1575"/>
      <c r="V22" s="1574"/>
      <c r="W22" s="1575"/>
      <c r="X22" s="1568"/>
      <c r="Y22" s="337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42"/>
      <c r="M23" s="2132"/>
      <c r="N23" s="2132"/>
      <c r="O23" s="2141"/>
      <c r="P23" s="3377"/>
      <c r="Q23" s="1573" t="str">
        <f>B23</f>
        <v>交通便捷度</v>
      </c>
      <c r="R23" s="1574" t="s">
        <v>8</v>
      </c>
      <c r="S23" s="1575">
        <f>F23</f>
        <v>100</v>
      </c>
      <c r="T23" s="1574" t="s">
        <v>8</v>
      </c>
      <c r="U23" s="1575">
        <f>H23</f>
        <v>100</v>
      </c>
      <c r="V23" s="1574" t="s">
        <v>8</v>
      </c>
      <c r="W23" s="1575">
        <f>J23</f>
        <v>103</v>
      </c>
      <c r="X23" s="1568"/>
      <c r="Y23" s="3377"/>
      <c r="Z23" s="1576" t="str">
        <f>Q23</f>
        <v>交通便捷度</v>
      </c>
      <c r="AA23" s="1577">
        <f t="shared" si="3"/>
        <v>1</v>
      </c>
      <c r="AB23" s="1577">
        <f t="shared" si="4"/>
        <v>1</v>
      </c>
      <c r="AC23" s="1577">
        <f t="shared" si="5"/>
        <v>0.970873786407767</v>
      </c>
    </row>
    <row r="24" spans="1:29" ht="20.25">
      <c r="A24" s="532"/>
      <c r="B24" s="578"/>
      <c r="C24" s="567" t="s">
        <v>3098</v>
      </c>
      <c r="D24" s="557"/>
      <c r="E24" s="567" t="s">
        <v>3098</v>
      </c>
      <c r="F24" s="555"/>
      <c r="G24" s="567" t="s">
        <v>3098</v>
      </c>
      <c r="H24" s="555"/>
      <c r="I24" s="558" t="s">
        <v>3096</v>
      </c>
      <c r="J24" s="555"/>
      <c r="K24" s="531"/>
      <c r="L24" s="2142"/>
      <c r="M24" s="2132"/>
      <c r="N24" s="2132"/>
      <c r="O24" s="2141"/>
      <c r="P24" s="3377"/>
      <c r="Q24" s="1573"/>
      <c r="R24" s="1574"/>
      <c r="S24" s="1575"/>
      <c r="T24" s="1574"/>
      <c r="U24" s="1575"/>
      <c r="V24" s="1574"/>
      <c r="W24" s="1575"/>
      <c r="X24" s="1568"/>
      <c r="Y24" s="337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77"/>
      <c r="Q25" s="1573" t="str">
        <f t="shared" ref="Q25:Q39" si="8">B25</f>
        <v>区域土地利用方向</v>
      </c>
      <c r="R25" s="1574" t="s">
        <v>8</v>
      </c>
      <c r="S25" s="1575">
        <f>F25</f>
        <v>100</v>
      </c>
      <c r="T25" s="1574" t="s">
        <v>8</v>
      </c>
      <c r="U25" s="1575">
        <f>H25</f>
        <v>100</v>
      </c>
      <c r="V25" s="1574" t="s">
        <v>8</v>
      </c>
      <c r="W25" s="1575">
        <f>J25</f>
        <v>100</v>
      </c>
      <c r="X25" s="1568"/>
      <c r="Y25" s="337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377"/>
      <c r="Q26" s="1573"/>
      <c r="R26" s="1574"/>
      <c r="S26" s="1575"/>
      <c r="T26" s="1574"/>
      <c r="U26" s="1575"/>
      <c r="V26" s="1574"/>
      <c r="W26" s="1575"/>
      <c r="X26" s="1568"/>
      <c r="Y26" s="337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77"/>
      <c r="Q27" s="1573" t="str">
        <f t="shared" si="8"/>
        <v>自然及人文环境状况</v>
      </c>
      <c r="R27" s="1574" t="s">
        <v>8</v>
      </c>
      <c r="S27" s="1575">
        <f>F27</f>
        <v>100</v>
      </c>
      <c r="T27" s="1574" t="s">
        <v>8</v>
      </c>
      <c r="U27" s="1575">
        <f>H27</f>
        <v>100</v>
      </c>
      <c r="V27" s="1574" t="s">
        <v>8</v>
      </c>
      <c r="W27" s="1575">
        <f>J27</f>
        <v>100</v>
      </c>
      <c r="X27" s="1568"/>
      <c r="Y27" s="337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377"/>
      <c r="Q28" s="1573"/>
      <c r="R28" s="1574"/>
      <c r="S28" s="1575"/>
      <c r="T28" s="1574"/>
      <c r="U28" s="1575"/>
      <c r="V28" s="1574"/>
      <c r="W28" s="1575"/>
      <c r="X28" s="1568"/>
      <c r="Y28" s="3377"/>
      <c r="Z28" s="1576"/>
      <c r="AA28" s="1577">
        <v>1</v>
      </c>
      <c r="AB28" s="1577">
        <v>1</v>
      </c>
      <c r="AC28" s="1577">
        <v>1</v>
      </c>
    </row>
    <row r="29" spans="1:29" s="1220" customFormat="1" ht="42.75">
      <c r="A29" s="577"/>
      <c r="B29" s="2590"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77"/>
      <c r="Q29" s="1151" t="str">
        <f t="shared" si="8"/>
        <v>公共配套设施</v>
      </c>
      <c r="R29" s="1569" t="s">
        <v>8</v>
      </c>
      <c r="S29" s="1570">
        <f>F29</f>
        <v>100</v>
      </c>
      <c r="T29" s="1569" t="s">
        <v>8</v>
      </c>
      <c r="U29" s="1570">
        <f>H29</f>
        <v>100</v>
      </c>
      <c r="V29" s="1569" t="s">
        <v>8</v>
      </c>
      <c r="W29" s="1570">
        <f>J29</f>
        <v>100</v>
      </c>
      <c r="X29" s="1571"/>
      <c r="Y29" s="337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5"/>
      <c r="M30" s="2132"/>
      <c r="N30" s="2132"/>
      <c r="O30" s="2137"/>
      <c r="P30" s="3377"/>
      <c r="Q30" s="1151"/>
      <c r="R30" s="1569"/>
      <c r="S30" s="1570"/>
      <c r="T30" s="1569"/>
      <c r="U30" s="1570"/>
      <c r="V30" s="1569"/>
      <c r="W30" s="1570"/>
      <c r="X30" s="1571"/>
      <c r="Y30" s="3377"/>
      <c r="Z30" s="1150"/>
      <c r="AA30" s="1577">
        <v>1</v>
      </c>
      <c r="AB30" s="1577">
        <v>1</v>
      </c>
      <c r="AC30" s="1577">
        <v>1</v>
      </c>
    </row>
    <row r="31" spans="1:29" s="1220" customFormat="1" ht="28.5">
      <c r="A31" s="577"/>
      <c r="B31" s="2590"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77"/>
      <c r="Q31" s="2577" t="str">
        <f t="shared" ref="Q31" si="9">B31</f>
        <v>基础设施水平</v>
      </c>
      <c r="R31" s="1569" t="s">
        <v>8</v>
      </c>
      <c r="S31" s="1570">
        <f>F31</f>
        <v>100</v>
      </c>
      <c r="T31" s="1569" t="s">
        <v>8</v>
      </c>
      <c r="U31" s="1570">
        <f>H31</f>
        <v>100</v>
      </c>
      <c r="V31" s="1569" t="s">
        <v>8</v>
      </c>
      <c r="W31" s="1570">
        <f>J31</f>
        <v>100</v>
      </c>
      <c r="X31" s="1571"/>
      <c r="Y31" s="3377"/>
      <c r="Z31" s="2574" t="str">
        <f>Q31</f>
        <v>基础设施水平</v>
      </c>
      <c r="AA31" s="1577">
        <f>D31/F31</f>
        <v>1</v>
      </c>
      <c r="AB31" s="1577">
        <f>D31/H31</f>
        <v>1</v>
      </c>
      <c r="AC31" s="1577">
        <f>D31/J31</f>
        <v>1</v>
      </c>
    </row>
    <row r="32" spans="1:29" s="1220" customFormat="1" ht="20.25">
      <c r="A32" s="577"/>
      <c r="B32" s="566"/>
      <c r="C32" s="579"/>
      <c r="D32" s="557"/>
      <c r="E32" s="2591"/>
      <c r="F32" s="555"/>
      <c r="G32" s="579"/>
      <c r="H32" s="555"/>
      <c r="I32" s="579"/>
      <c r="J32" s="555"/>
      <c r="K32" s="531"/>
      <c r="L32" s="2135"/>
      <c r="M32" s="2132"/>
      <c r="N32" s="2132"/>
      <c r="O32" s="2137"/>
      <c r="P32" s="3377"/>
      <c r="Q32" s="2577"/>
      <c r="R32" s="1569"/>
      <c r="S32" s="1570"/>
      <c r="T32" s="1569"/>
      <c r="U32" s="1570"/>
      <c r="V32" s="1569"/>
      <c r="W32" s="1570"/>
      <c r="X32" s="1571"/>
      <c r="Y32" s="3377"/>
      <c r="Z32" s="257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7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77"/>
      <c r="Q34" s="1573" t="str">
        <f t="shared" si="8"/>
        <v>毗邻道路的类型与等级</v>
      </c>
      <c r="R34" s="1574" t="s">
        <v>8</v>
      </c>
      <c r="S34" s="1575">
        <f t="shared" si="10"/>
        <v>100</v>
      </c>
      <c r="T34" s="1574" t="s">
        <v>8</v>
      </c>
      <c r="U34" s="1575">
        <f t="shared" si="11"/>
        <v>100</v>
      </c>
      <c r="V34" s="1574" t="s">
        <v>8</v>
      </c>
      <c r="W34" s="1575">
        <f t="shared" si="12"/>
        <v>100</v>
      </c>
      <c r="X34" s="1568"/>
      <c r="Y34" s="337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2"/>
      <c r="M35" s="2132"/>
      <c r="N35" s="2132"/>
      <c r="O35" s="2141"/>
      <c r="P35" s="3377"/>
      <c r="Q35" s="1573"/>
      <c r="R35" s="1574"/>
      <c r="S35" s="1575"/>
      <c r="T35" s="1574"/>
      <c r="U35" s="1575"/>
      <c r="V35" s="1574"/>
      <c r="W35" s="1575"/>
      <c r="X35" s="1568"/>
      <c r="Y35" s="337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77"/>
      <c r="Q36" s="1573" t="str">
        <f t="shared" si="8"/>
        <v>土地级别</v>
      </c>
      <c r="R36" s="1574" t="s">
        <v>8</v>
      </c>
      <c r="S36" s="1575">
        <f t="shared" si="10"/>
        <v>100</v>
      </c>
      <c r="T36" s="1574" t="s">
        <v>8</v>
      </c>
      <c r="U36" s="1575">
        <f t="shared" si="11"/>
        <v>100</v>
      </c>
      <c r="V36" s="1574" t="s">
        <v>8</v>
      </c>
      <c r="W36" s="1575">
        <f t="shared" si="12"/>
        <v>100</v>
      </c>
      <c r="X36" s="1568"/>
      <c r="Y36" s="337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7"/>
      <c r="Q37" s="1573">
        <f t="shared" si="8"/>
        <v>111</v>
      </c>
      <c r="R37" s="1574" t="s">
        <v>8</v>
      </c>
      <c r="S37" s="1575">
        <f t="shared" si="10"/>
        <v>100</v>
      </c>
      <c r="T37" s="1574" t="s">
        <v>8</v>
      </c>
      <c r="U37" s="1575">
        <f t="shared" si="11"/>
        <v>100</v>
      </c>
      <c r="V37" s="1574" t="s">
        <v>8</v>
      </c>
      <c r="W37" s="1575">
        <f t="shared" si="12"/>
        <v>100</v>
      </c>
      <c r="X37" s="1568"/>
      <c r="Y37" s="337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8" t="s">
        <v>550</v>
      </c>
      <c r="Q38" s="1573">
        <f t="shared" si="8"/>
        <v>111</v>
      </c>
      <c r="R38" s="1574" t="s">
        <v>8</v>
      </c>
      <c r="S38" s="1575">
        <f t="shared" si="10"/>
        <v>100</v>
      </c>
      <c r="T38" s="1574" t="s">
        <v>8</v>
      </c>
      <c r="U38" s="1575">
        <f t="shared" si="11"/>
        <v>100</v>
      </c>
      <c r="V38" s="1574" t="s">
        <v>8</v>
      </c>
      <c r="W38" s="1575">
        <f t="shared" si="12"/>
        <v>100</v>
      </c>
      <c r="X38" s="1568"/>
      <c r="Y38" s="337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79"/>
      <c r="Q39" s="1573">
        <f t="shared" si="8"/>
        <v>111</v>
      </c>
      <c r="R39" s="1578" t="s">
        <v>8</v>
      </c>
      <c r="S39" s="1579">
        <f t="shared" si="10"/>
        <v>100</v>
      </c>
      <c r="T39" s="1578" t="s">
        <v>8</v>
      </c>
      <c r="U39" s="1579">
        <f t="shared" si="11"/>
        <v>100</v>
      </c>
      <c r="V39" s="1578" t="s">
        <v>8</v>
      </c>
      <c r="W39" s="1579">
        <f t="shared" si="12"/>
        <v>100</v>
      </c>
      <c r="X39" s="1580"/>
      <c r="Y39" s="3379"/>
      <c r="Z39" s="1581">
        <f t="shared" si="13"/>
        <v>111</v>
      </c>
      <c r="AA39" s="1577">
        <f t="shared" si="3"/>
        <v>1</v>
      </c>
      <c r="AB39" s="1577">
        <f t="shared" si="4"/>
        <v>1</v>
      </c>
      <c r="AC39" s="1577">
        <f t="shared" si="5"/>
        <v>1</v>
      </c>
    </row>
    <row r="40" spans="1:29" ht="20.25">
      <c r="A40" s="2906" t="s">
        <v>2757</v>
      </c>
      <c r="B40" s="595" t="s">
        <v>552</v>
      </c>
      <c r="C40" s="596">
        <f>'数据-基础表'!A3</f>
        <v>6066</v>
      </c>
      <c r="D40" s="597">
        <v>100</v>
      </c>
      <c r="E40" s="596">
        <f>Sheet1!D8</f>
        <v>16178</v>
      </c>
      <c r="F40" s="597">
        <f>LOOKUP(E40,119:119,120:120)-LOOKUP(C40,119:119,120:120)+100</f>
        <v>101</v>
      </c>
      <c r="G40" s="596">
        <f>Sheet1!D9</f>
        <v>29174</v>
      </c>
      <c r="H40" s="597">
        <f>LOOKUP(G40,119:119,120:120)-LOOKUP(C40,119:119,120:120)+100</f>
        <v>102</v>
      </c>
      <c r="I40" s="598">
        <f>Sheet1!E13</f>
        <v>8044</v>
      </c>
      <c r="J40" s="597">
        <f>LOOKUP(I40,119:119,120:120)-LOOKUP(C40,119:119,120:120)+100</f>
        <v>100</v>
      </c>
      <c r="K40" s="581"/>
      <c r="L40" s="2142"/>
      <c r="M40" s="2132"/>
      <c r="N40" s="2132"/>
      <c r="O40" s="2141"/>
      <c r="P40" s="3379"/>
      <c r="Q40" s="1573" t="str">
        <f>B40</f>
        <v>宗地面积</v>
      </c>
      <c r="R40" s="1574" t="s">
        <v>8</v>
      </c>
      <c r="S40" s="1575">
        <f t="shared" si="10"/>
        <v>101</v>
      </c>
      <c r="T40" s="1574" t="s">
        <v>8</v>
      </c>
      <c r="U40" s="1575">
        <f t="shared" si="11"/>
        <v>102</v>
      </c>
      <c r="V40" s="1574" t="s">
        <v>8</v>
      </c>
      <c r="W40" s="1575">
        <f t="shared" si="12"/>
        <v>100</v>
      </c>
      <c r="X40" s="1568"/>
      <c r="Y40" s="3379"/>
      <c r="Z40" s="1576" t="str">
        <f t="shared" si="13"/>
        <v>宗地面积</v>
      </c>
      <c r="AA40" s="1577">
        <f t="shared" si="3"/>
        <v>0.99009900990099009</v>
      </c>
      <c r="AB40" s="1577">
        <f t="shared" si="4"/>
        <v>0.98039215686274506</v>
      </c>
      <c r="AC40" s="1577">
        <f t="shared" si="5"/>
        <v>1</v>
      </c>
    </row>
    <row r="41" spans="1:29" ht="20.25">
      <c r="A41" s="594"/>
      <c r="B41" s="527" t="s">
        <v>553</v>
      </c>
      <c r="C41" s="599" t="s">
        <v>3079</v>
      </c>
      <c r="D41" s="540">
        <v>100</v>
      </c>
      <c r="E41" s="599" t="s">
        <v>3079</v>
      </c>
      <c r="F41" s="540">
        <f>SUMIF(121:121,E41,122:122)-SUMIF(121:121,C41,122:122)+100</f>
        <v>100</v>
      </c>
      <c r="G41" s="599" t="s">
        <v>3079</v>
      </c>
      <c r="H41" s="540">
        <f>SUMIF(121:121,G41,122:122)-SUMIF(121:121,C41,122:122)+100</f>
        <v>100</v>
      </c>
      <c r="I41" s="599" t="s">
        <v>3079</v>
      </c>
      <c r="J41" s="540">
        <f>SUMIF(121:121,I41,122:122)-SUMIF(121:121,C41,122:122)+100</f>
        <v>100</v>
      </c>
      <c r="K41" s="584">
        <v>5</v>
      </c>
      <c r="L41" s="2142"/>
      <c r="M41" s="2132"/>
      <c r="N41" s="2132"/>
      <c r="O41" s="2141"/>
      <c r="P41" s="3379"/>
      <c r="Q41" s="1573" t="str">
        <f t="shared" ref="Q41:Q47" si="14">B41</f>
        <v>宗地形状</v>
      </c>
      <c r="R41" s="1574" t="s">
        <v>8</v>
      </c>
      <c r="S41" s="1575">
        <f t="shared" si="10"/>
        <v>100</v>
      </c>
      <c r="T41" s="1574" t="s">
        <v>8</v>
      </c>
      <c r="U41" s="1575">
        <f t="shared" si="11"/>
        <v>100</v>
      </c>
      <c r="V41" s="1574" t="s">
        <v>8</v>
      </c>
      <c r="W41" s="1575">
        <f t="shared" si="12"/>
        <v>100</v>
      </c>
      <c r="X41" s="1568"/>
      <c r="Y41" s="3379"/>
      <c r="Z41" s="1576" t="str">
        <f t="shared" si="13"/>
        <v>宗地形状</v>
      </c>
      <c r="AA41" s="1577">
        <f t="shared" si="3"/>
        <v>1</v>
      </c>
      <c r="AB41" s="1577">
        <f t="shared" si="4"/>
        <v>1</v>
      </c>
      <c r="AC41" s="1577">
        <f t="shared" si="5"/>
        <v>1</v>
      </c>
    </row>
    <row r="42" spans="1:29" ht="20.25">
      <c r="A42" s="594"/>
      <c r="B42" s="527" t="s">
        <v>554</v>
      </c>
      <c r="C42" s="599" t="s">
        <v>3087</v>
      </c>
      <c r="D42" s="540">
        <v>100</v>
      </c>
      <c r="E42" s="599" t="s">
        <v>3085</v>
      </c>
      <c r="F42" s="540">
        <f>SUMIF(123:123,E42,124:124)-SUMIF(123:123,C42,124:124)+100</f>
        <v>110</v>
      </c>
      <c r="G42" s="599" t="s">
        <v>3085</v>
      </c>
      <c r="H42" s="540">
        <f>SUMIF(123:123,G42,124:124)-SUMIF(123:123,C42,124:124)+100</f>
        <v>110</v>
      </c>
      <c r="I42" s="599" t="s">
        <v>3085</v>
      </c>
      <c r="J42" s="540">
        <f>SUMIF(123:123,I42,124:124)-SUMIF(123:123,C42,124:124)+100</f>
        <v>110</v>
      </c>
      <c r="K42" s="584">
        <v>10</v>
      </c>
      <c r="L42" s="2142"/>
      <c r="M42" s="2132"/>
      <c r="N42" s="2132"/>
      <c r="O42" s="2141"/>
      <c r="P42" s="3379"/>
      <c r="Q42" s="1573" t="str">
        <f t="shared" si="14"/>
        <v>临街宽度及深度</v>
      </c>
      <c r="R42" s="1574" t="s">
        <v>8</v>
      </c>
      <c r="S42" s="1575">
        <f t="shared" si="10"/>
        <v>110</v>
      </c>
      <c r="T42" s="1574" t="s">
        <v>8</v>
      </c>
      <c r="U42" s="1575">
        <f t="shared" si="11"/>
        <v>110</v>
      </c>
      <c r="V42" s="1574" t="s">
        <v>8</v>
      </c>
      <c r="W42" s="1575">
        <f t="shared" si="12"/>
        <v>110</v>
      </c>
      <c r="X42" s="1568"/>
      <c r="Y42" s="3379"/>
      <c r="Z42" s="1576" t="str">
        <f t="shared" si="13"/>
        <v>临街宽度及深度</v>
      </c>
      <c r="AA42" s="1577">
        <f t="shared" si="3"/>
        <v>0.90909090909090906</v>
      </c>
      <c r="AB42" s="1577">
        <f t="shared" si="4"/>
        <v>0.90909090909090906</v>
      </c>
      <c r="AC42" s="1577">
        <f t="shared" si="5"/>
        <v>0.90909090909090906</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79"/>
      <c r="Q43" s="1573" t="str">
        <f t="shared" si="14"/>
        <v>宗地开发程度</v>
      </c>
      <c r="R43" s="1569" t="s">
        <v>8</v>
      </c>
      <c r="S43" s="1570">
        <f t="shared" si="10"/>
        <v>100</v>
      </c>
      <c r="T43" s="1569" t="s">
        <v>8</v>
      </c>
      <c r="U43" s="1570">
        <f t="shared" si="11"/>
        <v>100</v>
      </c>
      <c r="V43" s="1569" t="s">
        <v>8</v>
      </c>
      <c r="W43" s="1570">
        <f t="shared" si="12"/>
        <v>100</v>
      </c>
      <c r="X43" s="1571"/>
      <c r="Y43" s="337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79" t="s">
        <v>550</v>
      </c>
      <c r="Q44" s="1573" t="str">
        <f t="shared" si="14"/>
        <v>工程地质条件</v>
      </c>
      <c r="R44" s="1574" t="s">
        <v>8</v>
      </c>
      <c r="S44" s="1575">
        <f t="shared" si="10"/>
        <v>100</v>
      </c>
      <c r="T44" s="1574" t="s">
        <v>8</v>
      </c>
      <c r="U44" s="1575">
        <f t="shared" si="11"/>
        <v>100</v>
      </c>
      <c r="V44" s="1574" t="s">
        <v>8</v>
      </c>
      <c r="W44" s="1575">
        <f t="shared" si="12"/>
        <v>100</v>
      </c>
      <c r="X44" s="1568"/>
      <c r="Y44" s="337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79"/>
      <c r="Q45" s="1573">
        <f t="shared" si="14"/>
        <v>111</v>
      </c>
      <c r="R45" s="1574" t="s">
        <v>8</v>
      </c>
      <c r="S45" s="1575">
        <f t="shared" si="10"/>
        <v>100</v>
      </c>
      <c r="T45" s="1574" t="s">
        <v>8</v>
      </c>
      <c r="U45" s="1575">
        <f t="shared" si="11"/>
        <v>100</v>
      </c>
      <c r="V45" s="1574" t="s">
        <v>8</v>
      </c>
      <c r="W45" s="1575">
        <f t="shared" si="12"/>
        <v>100</v>
      </c>
      <c r="X45" s="1568"/>
      <c r="Y45" s="337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79"/>
      <c r="Q46" s="1573">
        <f t="shared" si="14"/>
        <v>111</v>
      </c>
      <c r="R46" s="1574" t="s">
        <v>8</v>
      </c>
      <c r="S46" s="1575">
        <f t="shared" si="10"/>
        <v>100</v>
      </c>
      <c r="T46" s="1574" t="s">
        <v>8</v>
      </c>
      <c r="U46" s="1575">
        <f t="shared" si="11"/>
        <v>100</v>
      </c>
      <c r="V46" s="1574" t="s">
        <v>8</v>
      </c>
      <c r="W46" s="1575">
        <f t="shared" si="12"/>
        <v>100</v>
      </c>
      <c r="X46" s="1568"/>
      <c r="Y46" s="337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79"/>
      <c r="Q47" s="1573">
        <f t="shared" si="14"/>
        <v>111</v>
      </c>
      <c r="R47" s="1578" t="s">
        <v>8</v>
      </c>
      <c r="S47" s="1579">
        <f t="shared" si="10"/>
        <v>100</v>
      </c>
      <c r="T47" s="1578" t="s">
        <v>8</v>
      </c>
      <c r="U47" s="1579">
        <f t="shared" si="11"/>
        <v>100</v>
      </c>
      <c r="V47" s="1578" t="s">
        <v>8</v>
      </c>
      <c r="W47" s="1579">
        <f t="shared" si="12"/>
        <v>100</v>
      </c>
      <c r="X47" s="1580"/>
      <c r="Y47" s="3379"/>
      <c r="Z47" s="1581">
        <f t="shared" si="13"/>
        <v>111</v>
      </c>
      <c r="AA47" s="1577">
        <f t="shared" si="3"/>
        <v>1</v>
      </c>
      <c r="AB47" s="1577">
        <f t="shared" si="4"/>
        <v>1</v>
      </c>
      <c r="AC47" s="1577">
        <f t="shared" si="5"/>
        <v>1</v>
      </c>
    </row>
    <row r="48" spans="1:29" ht="20.25">
      <c r="A48" s="607" t="s">
        <v>556</v>
      </c>
      <c r="B48" s="608" t="s">
        <v>3064</v>
      </c>
      <c r="C48" s="609" t="s">
        <v>1</v>
      </c>
      <c r="D48" s="610"/>
      <c r="E48" s="611">
        <v>979</v>
      </c>
      <c r="F48" s="612"/>
      <c r="G48" s="613">
        <v>1021</v>
      </c>
      <c r="H48" s="614"/>
      <c r="I48" s="611">
        <f>Sheet1!K13</f>
        <v>1181</v>
      </c>
      <c r="J48" s="614"/>
      <c r="K48" s="1340"/>
      <c r="L48" s="2144"/>
      <c r="M48" s="2132"/>
      <c r="N48" s="2132"/>
      <c r="O48" s="2145"/>
      <c r="P48" s="3374" t="str">
        <f>A48</f>
        <v>成交单价</v>
      </c>
      <c r="Q48" s="3374"/>
      <c r="R48" s="3388">
        <f>E48</f>
        <v>979</v>
      </c>
      <c r="S48" s="3388"/>
      <c r="T48" s="3388">
        <f>G48</f>
        <v>1021</v>
      </c>
      <c r="U48" s="3388"/>
      <c r="V48" s="3388">
        <f>I48</f>
        <v>1181</v>
      </c>
      <c r="W48" s="3388"/>
      <c r="X48" s="1560"/>
      <c r="Y48" s="1582"/>
      <c r="Z48" s="1560"/>
      <c r="AA48" s="1560"/>
      <c r="AB48" s="1560"/>
      <c r="AC48" s="1560"/>
    </row>
    <row r="49" spans="1:29" ht="21" thickBot="1">
      <c r="A49" s="615" t="s">
        <v>2695</v>
      </c>
      <c r="B49" s="616"/>
      <c r="C49" s="617">
        <f>R50</f>
        <v>875</v>
      </c>
      <c r="D49" s="618"/>
      <c r="E49" s="617">
        <f>R49</f>
        <v>786</v>
      </c>
      <c r="F49" s="619"/>
      <c r="G49" s="620">
        <f>T49</f>
        <v>897</v>
      </c>
      <c r="H49" s="618"/>
      <c r="I49" s="617">
        <f>V49</f>
        <v>942</v>
      </c>
      <c r="J49" s="618"/>
      <c r="K49" s="1341"/>
      <c r="L49" s="2144"/>
      <c r="M49" s="2132"/>
      <c r="N49" s="2132"/>
      <c r="O49" s="2145"/>
      <c r="P49" s="3374" t="str">
        <f>A49</f>
        <v>比较价格（元/平方米）</v>
      </c>
      <c r="Q49" s="3374"/>
      <c r="R49" s="3398">
        <f>ROUND(PRODUCT(R48,AA9:AA47),0)</f>
        <v>786</v>
      </c>
      <c r="S49" s="3398"/>
      <c r="T49" s="3398">
        <f>ROUND(PRODUCT(T48,AB9:AB47),0)</f>
        <v>897</v>
      </c>
      <c r="U49" s="3398"/>
      <c r="V49" s="3398">
        <f>ROUND(PRODUCT(V48,AC9:AC47),0)</f>
        <v>942</v>
      </c>
      <c r="W49" s="3398"/>
      <c r="X49" s="1560"/>
      <c r="Y49" s="1560"/>
      <c r="Z49" s="1560"/>
      <c r="AA49" s="1560"/>
      <c r="AB49" s="1560"/>
      <c r="AC49" s="1560"/>
    </row>
    <row r="50" spans="1:29" ht="21" thickBot="1">
      <c r="A50" s="621" t="s">
        <v>2934</v>
      </c>
      <c r="B50" s="622"/>
      <c r="C50" s="623">
        <f>R50</f>
        <v>875</v>
      </c>
      <c r="D50" s="623"/>
      <c r="E50" s="623"/>
      <c r="F50" s="623"/>
      <c r="G50" s="623"/>
      <c r="H50" s="623"/>
      <c r="I50" s="623"/>
      <c r="J50" s="623"/>
      <c r="K50" s="1342"/>
      <c r="L50" s="2144"/>
      <c r="M50" s="2132"/>
      <c r="N50" s="2132"/>
      <c r="O50" s="2145"/>
      <c r="P50" s="3395" t="str">
        <f>A50</f>
        <v>估价对象XX用房的比较价格（楼面单价，元/平方米）</v>
      </c>
      <c r="Q50" s="3396"/>
      <c r="R50" s="3397">
        <f>ROUND(AVERAGE(R49:V49),0)</f>
        <v>875</v>
      </c>
      <c r="S50" s="3397"/>
      <c r="T50" s="3397"/>
      <c r="U50" s="3397"/>
      <c r="V50" s="3397"/>
      <c r="W50" s="3397"/>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0.24554707379134855</v>
      </c>
      <c r="F53" s="627" t="str">
        <f>IF(OR(E53&gt;=0.3,E53&lt;=-0.3),"超过30%","")</f>
        <v/>
      </c>
      <c r="G53" s="626">
        <f>IF(G48&lt;G49,G49/G48-1,G48/G49-1)</f>
        <v>0.1382385730211817</v>
      </c>
      <c r="H53" s="627" t="str">
        <f>IF(OR(G53&gt;=0.3,G53&lt;=-0.3),"超过30%","")</f>
        <v/>
      </c>
      <c r="I53" s="626">
        <f>IF(I48&lt;I49,I49/I48-1,I48/I49-1)</f>
        <v>0.25371549893842893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0.14122137404580148</v>
      </c>
      <c r="F54" s="627" t="str">
        <f>IF(OR(E54&gt;=0.2,E54&lt;=-0.2),"超过20%","")</f>
        <v/>
      </c>
      <c r="G54" s="626">
        <f>IF(G49&lt;I49,I49/G49-1,G49/I49-1)</f>
        <v>5.0167224080267525E-2</v>
      </c>
      <c r="H54" s="627" t="str">
        <f>IF(OR(G54&gt;=0.2,G54&lt;=-0.2),"超过20%","")</f>
        <v/>
      </c>
      <c r="I54" s="626">
        <f>IF(I49&lt;E49,E49/I49-1,I49/E49-1)</f>
        <v>0.1984732824427482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4.2900919305413732E-2</v>
      </c>
      <c r="F55" s="627" t="str">
        <f>IF(OR(E55&gt;=0.3,E55&lt;=-0.3),"超过30%","")</f>
        <v/>
      </c>
      <c r="G55" s="626">
        <f>IF(G48&lt;I48,I48/G48-1,G48/I48-1)</f>
        <v>0.1567091087169441</v>
      </c>
      <c r="H55" s="627" t="str">
        <f>IF(OR(G55&gt;=0.3,G55&lt;=-0.3),"超过30%","")</f>
        <v/>
      </c>
      <c r="I55" s="626">
        <f>IF(I48&lt;E48,E48/I48-1,I48/E48-1)</f>
        <v>0.20633299284984674</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58" t="s">
        <v>2283</v>
      </c>
      <c r="H57" s="3359"/>
      <c r="I57" s="1556" t="s">
        <v>1722</v>
      </c>
      <c r="J57" s="1556" t="str">
        <f>项目基本情况!F41</f>
        <v>山东省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875</v>
      </c>
      <c r="C58" s="635">
        <v>1</v>
      </c>
      <c r="D58" s="2228">
        <v>1</v>
      </c>
      <c r="E58" s="635">
        <f>'数据-汇总表'!E8+'数据-汇总表'!E9</f>
        <v>18198</v>
      </c>
      <c r="F58" s="636">
        <f t="shared" ref="F58:F67" si="15">ROUND(B58*E58/10000,0)</f>
        <v>1592</v>
      </c>
      <c r="G58" s="3360"/>
      <c r="H58" s="336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62"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62"/>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62"/>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62"/>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0"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18198</v>
      </c>
      <c r="F68" s="644">
        <f>IF(B48="楼面地价",SUM(F58:F67),ROUND(C50*E68/10000,0))</f>
        <v>1592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7" t="s">
        <v>2534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5" t="s">
        <v>2649</v>
      </c>
      <c r="B73" s="479" t="str">
        <f>"北京市平均增长率"&amp;TEXT(SUMIF(基准地价!N21:N25,A73,基准地价!P21:P25),"0.00%")</f>
        <v>北京市平均增长率2.19%</v>
      </c>
      <c r="C73" s="894">
        <v>100</v>
      </c>
      <c r="D73" s="730">
        <v>99.5</v>
      </c>
      <c r="E73" s="730">
        <v>99</v>
      </c>
      <c r="F73" s="730">
        <v>98.5</v>
      </c>
      <c r="G73" s="730">
        <v>98</v>
      </c>
      <c r="H73" s="730">
        <v>97.5</v>
      </c>
      <c r="I73" s="730">
        <v>97</v>
      </c>
      <c r="J73" s="730">
        <v>96.5</v>
      </c>
      <c r="K73" s="730">
        <v>96</v>
      </c>
      <c r="L73" s="730">
        <v>95.5</v>
      </c>
      <c r="M73" s="2791"/>
      <c r="N73" s="2792"/>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5" t="s">
        <v>2648</v>
      </c>
      <c r="B74" s="2804"/>
      <c r="C74" s="2789"/>
      <c r="D74" s="2790"/>
      <c r="E74" s="2790"/>
      <c r="F74" s="2790"/>
      <c r="G74" s="2790"/>
      <c r="H74" s="2790"/>
      <c r="I74" s="2790"/>
      <c r="J74" s="2790"/>
      <c r="K74" s="2790"/>
      <c r="L74" s="2790"/>
      <c r="M74" s="2790"/>
      <c r="N74" s="2790"/>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3" t="s">
        <v>3077</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6" t="s">
        <v>2552</v>
      </c>
      <c r="C104" s="2597" t="s">
        <v>2553</v>
      </c>
      <c r="D104" s="2597" t="s">
        <v>2554</v>
      </c>
      <c r="E104" s="2597" t="s">
        <v>2555</v>
      </c>
      <c r="F104" s="2597" t="s">
        <v>2556</v>
      </c>
      <c r="G104" s="2597"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8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90" t="str">
        <f t="shared" si="25"/>
        <v>70000(含)-80000</v>
      </c>
      <c r="K118" s="3090" t="str">
        <f t="shared" si="25"/>
        <v>80000(含)-90000</v>
      </c>
      <c r="L118" s="3091" t="str">
        <f t="shared" si="25"/>
        <v>90000(含)-100000</v>
      </c>
      <c r="M118" s="3092" t="str">
        <f>M119&amp;"(含)"&amp;"-"&amp;P119</f>
        <v>100000(含)-130000</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2366">
        <v>70000</v>
      </c>
      <c r="K119" s="2366">
        <v>80000</v>
      </c>
      <c r="L119" s="2367">
        <v>90000</v>
      </c>
      <c r="M119" s="2368">
        <v>100000</v>
      </c>
      <c r="N119" s="2164">
        <v>110000</v>
      </c>
      <c r="O119" s="2164">
        <v>120000</v>
      </c>
      <c r="P119" s="2165">
        <v>130000</v>
      </c>
      <c r="Q119" s="2162">
        <v>140000</v>
      </c>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66">
        <v>111</v>
      </c>
      <c r="O120" s="2166">
        <v>112</v>
      </c>
      <c r="P120" s="2165">
        <v>113</v>
      </c>
      <c r="Q120" s="2162">
        <v>114</v>
      </c>
      <c r="R120" s="2145"/>
      <c r="S120" s="2145"/>
      <c r="T120" s="2145"/>
      <c r="U120" s="2145"/>
      <c r="V120" s="2145"/>
      <c r="W120" s="2145"/>
      <c r="X120" s="2145"/>
      <c r="Y120" s="2145"/>
      <c r="Z120" s="2145"/>
      <c r="AA120" s="2145"/>
      <c r="AB120" s="2145"/>
      <c r="AC120" s="2145"/>
    </row>
    <row r="121" spans="1:29" ht="15" thickTop="1">
      <c r="A121" s="735"/>
      <c r="B121" s="673" t="s">
        <v>594</v>
      </c>
      <c r="C121" s="3184" t="s">
        <v>3078</v>
      </c>
      <c r="D121" s="3184" t="s">
        <v>3080</v>
      </c>
      <c r="E121" s="3184" t="s">
        <v>3081</v>
      </c>
      <c r="F121" s="3184" t="s">
        <v>3083</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5" t="s">
        <v>3084</v>
      </c>
      <c r="D123" s="3185" t="s">
        <v>3086</v>
      </c>
      <c r="E123" s="3185" t="s">
        <v>3088</v>
      </c>
      <c r="F123" s="3184" t="s">
        <v>3089</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90</v>
      </c>
      <c r="E124" s="679">
        <f t="shared" si="27"/>
        <v>80</v>
      </c>
      <c r="F124" s="679">
        <f t="shared" si="27"/>
        <v>70</v>
      </c>
      <c r="G124" s="679">
        <f t="shared" si="27"/>
        <v>60</v>
      </c>
      <c r="H124" s="679">
        <f t="shared" si="27"/>
        <v>50</v>
      </c>
      <c r="I124" s="679">
        <f t="shared" si="27"/>
        <v>40</v>
      </c>
      <c r="J124" s="679">
        <f t="shared" si="27"/>
        <v>30</v>
      </c>
      <c r="K124" s="679">
        <f t="shared" si="27"/>
        <v>20</v>
      </c>
      <c r="L124" s="679">
        <f t="shared" si="27"/>
        <v>10</v>
      </c>
      <c r="M124" s="680">
        <f t="shared" si="27"/>
        <v>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t="s">
        <v>3090</v>
      </c>
      <c r="D125" s="1376" t="s">
        <v>3091</v>
      </c>
      <c r="E125" s="1376" t="s">
        <v>3092</v>
      </c>
      <c r="F125" s="1376" t="s">
        <v>3093</v>
      </c>
      <c r="G125" s="1376" t="s">
        <v>3094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5" t="s">
        <v>3095</v>
      </c>
      <c r="D127" s="3185" t="s">
        <v>3097</v>
      </c>
      <c r="E127" s="3184" t="s">
        <v>3099</v>
      </c>
      <c r="F127" s="3184" t="s">
        <v>3100</v>
      </c>
      <c r="G127" s="3184" t="s">
        <v>3101</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8"/>
      <c r="C1" s="2104"/>
      <c r="D1" s="2104"/>
      <c r="E1" s="2104"/>
      <c r="F1" s="2104"/>
      <c r="G1" s="2104"/>
      <c r="H1" s="2104"/>
      <c r="I1" s="2104"/>
      <c r="J1" s="2104"/>
      <c r="K1" s="422">
        <f>MATCH(B1,'数据-取费表'!A6:A16,0)+5</f>
        <v>7</v>
      </c>
    </row>
    <row r="2" spans="1:31" s="2041" customFormat="1" ht="18" customHeight="1">
      <c r="A2" s="2101" t="s">
        <v>467</v>
      </c>
      <c r="B2" s="2105">
        <f ca="1">C36</f>
        <v>1502</v>
      </c>
      <c r="C2" s="2104"/>
      <c r="D2" s="2104"/>
      <c r="E2" s="2104"/>
      <c r="F2" s="2104"/>
      <c r="G2" s="2104"/>
      <c r="H2" s="2104"/>
      <c r="I2" s="2104"/>
      <c r="J2" s="2104"/>
      <c r="K2" s="2104"/>
    </row>
    <row r="3" spans="1:31" s="2041" customFormat="1" ht="18" customHeight="1">
      <c r="A3" s="2106" t="s">
        <v>1684</v>
      </c>
      <c r="B3" s="2107">
        <f ca="1">ROUND(B2*10000/IF(B1="",'数据-汇总表'!E3,INDIRECT("'数据-取费表'!K"&amp;$K$1)),0)</f>
        <v>825</v>
      </c>
      <c r="C3" s="2104"/>
      <c r="D3" s="2104"/>
      <c r="E3" s="2104"/>
      <c r="F3" s="2104"/>
      <c r="G3" s="2104"/>
      <c r="H3" s="2104"/>
      <c r="I3" s="2104"/>
      <c r="J3" s="2104"/>
      <c r="K3" s="2104"/>
    </row>
    <row r="4" spans="1:31" s="2041" customFormat="1" ht="18" customHeight="1">
      <c r="A4" s="426" t="s">
        <v>468</v>
      </c>
      <c r="B4" s="427">
        <f ca="1">ROUND(B2*10000/IF(B1="",'数据-汇总表'!D3,INDIRECT("'数据-取费表'!R"&amp;$K$1)),0)</f>
        <v>2476</v>
      </c>
      <c r="C4" s="428"/>
      <c r="D4" s="422"/>
      <c r="E4" s="422"/>
      <c r="F4" s="422"/>
      <c r="G4" s="422"/>
      <c r="H4" s="422"/>
      <c r="I4" s="422"/>
      <c r="J4" s="422"/>
      <c r="K4" s="422"/>
    </row>
    <row r="5" spans="1:31" s="2041" customFormat="1" ht="18" customHeight="1" thickBot="1">
      <c r="A5" s="429"/>
      <c r="B5" s="430">
        <f ca="1">ROUND(B2/(IF(B1="",'数据-汇总表'!D3,INDIRECT("'数据-取费表'!R"&amp;$K$1))/666.67),0)</f>
        <v>165</v>
      </c>
      <c r="C5" s="431" t="s">
        <v>469</v>
      </c>
      <c r="D5" s="422"/>
      <c r="E5" s="422"/>
      <c r="F5" s="422"/>
      <c r="G5" s="422"/>
      <c r="H5" s="422"/>
      <c r="I5" s="422"/>
      <c r="J5" s="422"/>
      <c r="K5" s="422"/>
    </row>
    <row r="6" spans="1:31" s="2111" customFormat="1" ht="16.5" customHeight="1">
      <c r="A6" s="2827" t="s">
        <v>1842</v>
      </c>
      <c r="B6" s="2828"/>
      <c r="C6" s="2829">
        <f ca="1">SUM(C10:K10)</f>
        <v>9340</v>
      </c>
      <c r="D6" s="2828"/>
      <c r="E6" s="2828"/>
      <c r="F6" s="2828"/>
      <c r="G6" s="2828"/>
      <c r="H6" s="2828"/>
      <c r="I6" s="2828"/>
      <c r="J6" s="2828"/>
      <c r="K6" s="2830"/>
    </row>
    <row r="7" spans="1:31" s="2113" customFormat="1" ht="15">
      <c r="A7" s="2831" t="s">
        <v>470</v>
      </c>
      <c r="B7" s="2832" t="s">
        <v>471</v>
      </c>
      <c r="C7" s="436" t="s">
        <v>2991</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3">
        <f ca="1">不动产收益法!B3</f>
        <v>5132</v>
      </c>
      <c r="D8" s="2833"/>
      <c r="E8" s="2833"/>
      <c r="F8" s="2833"/>
      <c r="G8" s="2833"/>
      <c r="H8" s="2833"/>
      <c r="I8" s="2833"/>
      <c r="J8" s="2833"/>
      <c r="K8" s="283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18198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5" t="s">
        <v>1847</v>
      </c>
      <c r="B10" s="2821" t="s">
        <v>474</v>
      </c>
      <c r="C10" s="3028">
        <f ca="1">不动产收益法!B2</f>
        <v>9340</v>
      </c>
      <c r="D10" s="3028"/>
      <c r="E10" s="3028"/>
      <c r="F10" s="2836"/>
      <c r="G10" s="2836"/>
      <c r="H10" s="2836"/>
      <c r="I10" s="2836"/>
      <c r="J10" s="2836"/>
      <c r="K10" s="283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8" t="s">
        <v>1843</v>
      </c>
      <c r="B11" s="2828"/>
      <c r="C11" s="2828"/>
      <c r="D11" s="2828"/>
      <c r="E11" s="2828"/>
      <c r="F11" s="2828"/>
      <c r="G11" s="2828"/>
      <c r="H11" s="2828"/>
      <c r="I11" s="2828"/>
      <c r="J11" s="2828"/>
      <c r="K11" s="2830"/>
    </row>
    <row r="12" spans="1:31" s="2085" customFormat="1" ht="13.5" customHeight="1">
      <c r="A12" s="2839" t="s">
        <v>470</v>
      </c>
      <c r="B12" s="2811" t="s">
        <v>471</v>
      </c>
      <c r="C12" s="2840" t="s">
        <v>475</v>
      </c>
      <c r="D12" s="2807" t="s">
        <v>476</v>
      </c>
      <c r="E12" s="2807" t="s">
        <v>477</v>
      </c>
      <c r="F12" s="2807" t="s">
        <v>478</v>
      </c>
      <c r="G12" s="2811"/>
      <c r="H12" s="2812"/>
      <c r="I12" s="2812"/>
      <c r="J12" s="2812"/>
      <c r="K12" s="2813"/>
    </row>
    <row r="13" spans="1:31" s="2116" customFormat="1" ht="13.5" customHeight="1">
      <c r="A13" s="2841" t="s">
        <v>1848</v>
      </c>
      <c r="B13" s="2842" t="s">
        <v>479</v>
      </c>
      <c r="C13" s="450">
        <f ca="1">IF(B1="",'数据-取费表'!P16,INDIRECT("'数据-取费表'!p"&amp;$K$1)+INDIRECT("'数据-取费表'!t"&amp;$K$1))</f>
        <v>4550</v>
      </c>
      <c r="D13" s="2843"/>
      <c r="E13" s="2844"/>
      <c r="F13" s="2845"/>
      <c r="G13" s="2811"/>
      <c r="H13" s="2812"/>
      <c r="I13" s="2812"/>
      <c r="J13" s="2812"/>
      <c r="K13" s="2813"/>
    </row>
    <row r="14" spans="1:31" s="2116" customFormat="1" ht="13.5" customHeight="1">
      <c r="A14" s="2841" t="s">
        <v>1849</v>
      </c>
      <c r="B14" s="2842" t="s">
        <v>480</v>
      </c>
      <c r="C14" s="53">
        <f ca="1">ROUND(C13*F14,0)</f>
        <v>137</v>
      </c>
      <c r="D14" s="2843"/>
      <c r="E14" s="2844"/>
      <c r="F14" s="2846">
        <f>'数据-取费表'!B33</f>
        <v>0.03</v>
      </c>
      <c r="G14" s="2811" t="s">
        <v>481</v>
      </c>
      <c r="H14" s="2812"/>
      <c r="I14" s="2812"/>
      <c r="J14" s="2812"/>
      <c r="K14" s="2813"/>
    </row>
    <row r="15" spans="1:31" s="2116" customFormat="1" ht="13.5" customHeight="1">
      <c r="A15" s="2841" t="s">
        <v>1850</v>
      </c>
      <c r="B15" s="2842" t="s">
        <v>482</v>
      </c>
      <c r="C15" s="53">
        <f ca="1">ROUND(IF(B1="",SUMIF('数据-取费表'!C:C,"住宅",'数据-取费表'!P:P)*F15,IF(INDIRECT("'数据-取费表'!c"&amp;$K$1)="住宅",INDIRECT("'数据-取费表'!P"&amp;$K$1)*F15,0)),0)</f>
        <v>0</v>
      </c>
      <c r="D15" s="2843"/>
      <c r="E15" s="2844"/>
      <c r="F15" s="2846">
        <f>'数据-取费表'!B34</f>
        <v>0</v>
      </c>
      <c r="G15" s="2811" t="s">
        <v>483</v>
      </c>
      <c r="H15" s="2812"/>
      <c r="I15" s="2812"/>
      <c r="J15" s="2812"/>
      <c r="K15" s="2813"/>
    </row>
    <row r="16" spans="1:31" s="2117" customFormat="1" ht="13.5" customHeight="1">
      <c r="A16" s="2841" t="s">
        <v>1851</v>
      </c>
      <c r="B16" s="2842" t="s">
        <v>484</v>
      </c>
      <c r="C16" s="53">
        <f ca="1">ROUND(D16*E16/10000,0)</f>
        <v>364</v>
      </c>
      <c r="D16" s="2843">
        <f ca="1">IF(B1="",'数据-汇总表'!E3,INDIRECT("'数据-取费表'!K"&amp;$K$1)+INDIRECT("'数据-取费表'!S"&amp;$K$1))</f>
        <v>18198</v>
      </c>
      <c r="E16" s="53">
        <f>'数据-取费表'!B35</f>
        <v>200</v>
      </c>
      <c r="F16" s="2846"/>
      <c r="G16" s="2811"/>
      <c r="H16" s="2812"/>
      <c r="I16" s="2812"/>
      <c r="J16" s="2812"/>
      <c r="K16" s="281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1" t="s">
        <v>1852</v>
      </c>
      <c r="B17" s="2842" t="s">
        <v>485</v>
      </c>
      <c r="C17" s="2847">
        <f ca="1">ROUND(C13*F17,0)</f>
        <v>68</v>
      </c>
      <c r="D17" s="475"/>
      <c r="E17" s="2847"/>
      <c r="F17" s="2848">
        <f>'数据-取费表'!B36</f>
        <v>1.4999999999999999E-2</v>
      </c>
      <c r="G17" s="261" t="s">
        <v>486</v>
      </c>
      <c r="H17" s="2814"/>
      <c r="I17" s="2814"/>
      <c r="J17" s="2814"/>
      <c r="K17" s="279"/>
    </row>
    <row r="18" spans="1:14" s="2116" customFormat="1" ht="13.5" customHeight="1">
      <c r="A18" s="2849" t="s">
        <v>1853</v>
      </c>
      <c r="B18" s="2850" t="s">
        <v>487</v>
      </c>
      <c r="C18" s="2851">
        <f ca="1">SUM(C13:C17)</f>
        <v>5119</v>
      </c>
      <c r="D18" s="2852"/>
      <c r="E18" s="468"/>
      <c r="F18" s="468"/>
      <c r="G18" s="2815" t="s">
        <v>2432</v>
      </c>
      <c r="H18" s="2816"/>
      <c r="I18" s="2816"/>
      <c r="J18" s="2816"/>
      <c r="K18" s="2817"/>
    </row>
    <row r="19" spans="1:14" s="2116" customFormat="1" ht="13.5" customHeight="1">
      <c r="A19" s="2849" t="s">
        <v>1854</v>
      </c>
      <c r="B19" s="2850" t="s">
        <v>488</v>
      </c>
      <c r="C19" s="2807">
        <f ca="1">ROUND(D19*E19/10000,0)</f>
        <v>91</v>
      </c>
      <c r="D19" s="2853">
        <f ca="1">D16</f>
        <v>18198</v>
      </c>
      <c r="E19" s="2807">
        <f>'数据-取费表'!B32</f>
        <v>50</v>
      </c>
      <c r="F19" s="468"/>
      <c r="G19" s="2811" t="s">
        <v>489</v>
      </c>
      <c r="H19" s="2812"/>
      <c r="I19" s="2816"/>
      <c r="J19" s="2816"/>
      <c r="K19" s="2817"/>
    </row>
    <row r="20" spans="1:14" s="2116" customFormat="1" ht="13.5" customHeight="1">
      <c r="A20" s="2849" t="s">
        <v>1855</v>
      </c>
      <c r="B20" s="2850" t="s">
        <v>490</v>
      </c>
      <c r="C20" s="2807">
        <f ca="1">C21+C22-IF(B1="",'数据-取费表'!B29,IF(G20="已全部缴纳",C21+C22,H20))</f>
        <v>273</v>
      </c>
      <c r="D20" s="2853"/>
      <c r="E20" s="2807"/>
      <c r="F20" s="2854"/>
      <c r="G20" s="3088"/>
      <c r="H20" s="2809"/>
      <c r="I20" s="2810" t="s">
        <v>2653</v>
      </c>
      <c r="J20" s="2816"/>
      <c r="K20" s="2817"/>
    </row>
    <row r="21" spans="1:14" s="2116" customFormat="1" ht="13.5" customHeight="1">
      <c r="A21" s="2841" t="s">
        <v>1856</v>
      </c>
      <c r="B21" s="2842" t="s">
        <v>491</v>
      </c>
      <c r="C21" s="53">
        <f ca="1">ROUND(D21*E21/10000,0)</f>
        <v>0</v>
      </c>
      <c r="D21" s="2843">
        <f ca="1">IF(B1="",'数据-汇总表'!E5,IF(INDIRECT("'数据-取费表'!c"&amp;$K$1)="住宅",INDIRECT("'数据-取费表'!k"&amp;$K$1),0))</f>
        <v>0</v>
      </c>
      <c r="E21" s="53">
        <f>'数据-取费表'!B27</f>
        <v>0</v>
      </c>
      <c r="F21" s="2846"/>
      <c r="G21" s="26"/>
      <c r="H21" s="51"/>
      <c r="I21" s="51"/>
      <c r="J21" s="51"/>
      <c r="K21" s="2818"/>
    </row>
    <row r="22" spans="1:14" s="2116" customFormat="1" ht="13.5" customHeight="1">
      <c r="A22" s="2841" t="s">
        <v>1857</v>
      </c>
      <c r="B22" s="2842" t="s">
        <v>492</v>
      </c>
      <c r="C22" s="53">
        <f ca="1">ROUND(D22*E22/10000,0)</f>
        <v>273</v>
      </c>
      <c r="D22" s="2843">
        <f ca="1">IF(B1="",'数据-汇总表'!E6,IF(INDIRECT("'数据-取费表'!c"&amp;$K$1)="住宅",INDIRECT("'数据-取费表'!s"&amp;$K$1),INDIRECT("'数据-取费表'!k"&amp;$K$1)+INDIRECT("'数据-取费表'!s"&amp;$K$1)))</f>
        <v>18198</v>
      </c>
      <c r="E22" s="53">
        <f>'数据-取费表'!B28</f>
        <v>150</v>
      </c>
      <c r="F22" s="2846"/>
      <c r="G22" s="26"/>
      <c r="H22" s="51"/>
      <c r="I22" s="51"/>
      <c r="J22" s="51"/>
      <c r="K22" s="2818"/>
    </row>
    <row r="23" spans="1:14" s="2116" customFormat="1" ht="13.5" customHeight="1">
      <c r="A23" s="2849" t="s">
        <v>1858</v>
      </c>
      <c r="B23" s="3034" t="s">
        <v>2836</v>
      </c>
      <c r="C23" s="2851">
        <f ca="1">ROUND((C18+C19+C20)*F23,0)</f>
        <v>110</v>
      </c>
      <c r="D23" s="468"/>
      <c r="E23" s="468"/>
      <c r="F23" s="2855">
        <f>'数据-取费表'!B37</f>
        <v>0.02</v>
      </c>
      <c r="G23" s="2811" t="s">
        <v>2433</v>
      </c>
      <c r="H23" s="2812"/>
      <c r="I23" s="2812"/>
      <c r="J23" s="2812"/>
      <c r="K23" s="2813"/>
      <c r="L23" s="2118"/>
      <c r="M23" s="2118"/>
      <c r="N23" s="2118"/>
    </row>
    <row r="24" spans="1:14" s="2116" customFormat="1" ht="13.5" customHeight="1">
      <c r="A24" s="2849" t="s">
        <v>1859</v>
      </c>
      <c r="B24" s="3034" t="s">
        <v>2839</v>
      </c>
      <c r="C24" s="2851">
        <f ca="1">ROUND(C6*F24,0)</f>
        <v>280</v>
      </c>
      <c r="D24" s="475"/>
      <c r="E24" s="473"/>
      <c r="F24" s="2855">
        <f>'数据-取费表'!B38</f>
        <v>0.03</v>
      </c>
      <c r="G24" s="2820" t="s">
        <v>499</v>
      </c>
      <c r="H24" s="2814"/>
      <c r="I24" s="2814"/>
      <c r="J24" s="2814"/>
      <c r="K24" s="279"/>
      <c r="L24" s="2118"/>
      <c r="M24" s="2118"/>
      <c r="N24" s="2118"/>
    </row>
    <row r="25" spans="1:14" s="2119" customFormat="1" ht="13.5" customHeight="1">
      <c r="A25" s="2849" t="s">
        <v>1860</v>
      </c>
      <c r="B25" s="3034" t="s">
        <v>2837</v>
      </c>
      <c r="C25" s="467">
        <f>ROUND(F25/(1+'数据-取费表'!C42),4)</f>
        <v>2.9000000000000001E-2</v>
      </c>
      <c r="D25" s="462" t="s">
        <v>2831</v>
      </c>
      <c r="E25" s="469"/>
      <c r="F25" s="2855">
        <f>'数据-取费表'!B48+'数据-取费表'!B49</f>
        <v>3.0499999999999999E-2</v>
      </c>
      <c r="G25" s="2819" t="s">
        <v>2291</v>
      </c>
      <c r="H25" s="2812"/>
      <c r="I25" s="2812"/>
      <c r="J25" s="2812"/>
      <c r="K25" s="2813"/>
    </row>
    <row r="26" spans="1:14" s="2118" customFormat="1" ht="13.5" customHeight="1">
      <c r="A26" s="2849" t="s">
        <v>1861</v>
      </c>
      <c r="B26" s="3035" t="s">
        <v>2838</v>
      </c>
      <c r="C26" s="2856">
        <f ca="1">C28</f>
        <v>208</v>
      </c>
      <c r="D26" s="467">
        <f ca="1">C27</f>
        <v>7.4200000000000002E-2</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20" customFormat="1" ht="13.5" customHeight="1">
      <c r="A27" s="803" t="s">
        <v>1856</v>
      </c>
      <c r="B27" s="2857" t="s">
        <v>496</v>
      </c>
      <c r="C27" s="2858">
        <f ca="1">ROUND(IF('数据-取费表'!B22&lt;=1,(1+C25)*F26*'数据-取费表'!B24,(1+C25)*(POWER((1+F26),'数据-取费表'!B24)-1)),4)</f>
        <v>7.4200000000000002E-2</v>
      </c>
      <c r="D27" s="472"/>
      <c r="E27" s="473"/>
      <c r="F27" s="474"/>
      <c r="G27" s="2571" t="str">
        <f>IF('数据-取费表'!B22&lt;=1,"（1+取得税费率/(1+5%)）×年利率×建设期","（1+取得税费率）/(1+5%)×((1+年利率)^建设期-1)")</f>
        <v>（1+取得税费率）/(1+5%)×((1+年利率)^建设期-1)</v>
      </c>
      <c r="H27" s="2814"/>
      <c r="I27" s="2814"/>
      <c r="J27" s="2814"/>
      <c r="K27" s="279"/>
    </row>
    <row r="28" spans="1:14" s="2120" customFormat="1" ht="13.5" customHeight="1">
      <c r="A28" s="803" t="s">
        <v>1857</v>
      </c>
      <c r="B28" s="2857" t="s">
        <v>2840</v>
      </c>
      <c r="C28" s="2859">
        <f ca="1">ROUND(IF('数据-取费表'!B22&lt;=1,(C18+C19+C20+C23+C24)*F26*'数据-取费表'!B24/2,(C18+C19+C20+C23+C24)*(POWER((1+F26),'数据-取费表'!B24/2)-1)),0)</f>
        <v>208</v>
      </c>
      <c r="D28" s="472"/>
      <c r="E28" s="473"/>
      <c r="F28" s="474"/>
      <c r="G28" s="2571" t="str">
        <f>IF('数据-取费表'!B22&lt;=1,"（1）-（4）项×年利率×建设期÷2","（1）-（4）项×((1+年利率)^(建设期÷2)-1)")</f>
        <v>（1）-（4）项×((1+年利率)^(建设期÷2)-1)</v>
      </c>
      <c r="H28" s="2814"/>
      <c r="I28" s="2814"/>
      <c r="J28" s="2814"/>
      <c r="K28" s="279"/>
    </row>
    <row r="29" spans="1:14" s="2120" customFormat="1" ht="13.5" customHeight="1">
      <c r="A29" s="2860" t="s">
        <v>1862</v>
      </c>
      <c r="B29" s="2850" t="s">
        <v>497</v>
      </c>
      <c r="C29" s="2851">
        <f ca="1">ROUND(C6*F29/(1+'数据-取费表'!C42),0)</f>
        <v>489</v>
      </c>
      <c r="D29" s="468"/>
      <c r="E29" s="468"/>
      <c r="F29" s="3036">
        <f>'数据-取费表'!B41</f>
        <v>5.5000000000000007E-2</v>
      </c>
      <c r="G29" s="2820" t="s">
        <v>498</v>
      </c>
      <c r="H29" s="2812"/>
      <c r="I29" s="2812"/>
      <c r="J29" s="2812"/>
      <c r="K29" s="2813"/>
    </row>
    <row r="30" spans="1:14" s="2121" customFormat="1" ht="13.5" customHeight="1">
      <c r="A30" s="1636" t="s">
        <v>1863</v>
      </c>
      <c r="B30" s="2861" t="s">
        <v>500</v>
      </c>
      <c r="C30" s="2856">
        <f ca="1">C31</f>
        <v>6570</v>
      </c>
      <c r="D30" s="477">
        <f ca="1">C32</f>
        <v>0.1032</v>
      </c>
      <c r="E30" s="469" t="s">
        <v>495</v>
      </c>
      <c r="F30" s="471"/>
      <c r="G30" s="2819" t="s">
        <v>2972</v>
      </c>
      <c r="H30" s="2812"/>
      <c r="I30" s="2812"/>
      <c r="J30" s="2812"/>
      <c r="K30" s="2813"/>
    </row>
    <row r="31" spans="1:14" s="2120" customFormat="1" ht="13.5" customHeight="1">
      <c r="A31" s="803" t="s">
        <v>1856</v>
      </c>
      <c r="B31" s="2857"/>
      <c r="C31" s="450">
        <f ca="1">C18+C19+C20+C23+C24+C26+C29</f>
        <v>6570</v>
      </c>
      <c r="D31" s="472"/>
      <c r="E31" s="473"/>
      <c r="F31" s="474"/>
      <c r="G31" s="261"/>
      <c r="H31" s="2814"/>
      <c r="I31" s="2814"/>
      <c r="J31" s="2814"/>
      <c r="K31" s="279"/>
    </row>
    <row r="32" spans="1:14" s="2120" customFormat="1" ht="13.5" customHeight="1">
      <c r="A32" s="803" t="s">
        <v>1857</v>
      </c>
      <c r="B32" s="2857"/>
      <c r="C32" s="53">
        <f ca="1">ROUND(C25+D26,4)</f>
        <v>0.1032</v>
      </c>
      <c r="D32" s="472"/>
      <c r="E32" s="473"/>
      <c r="F32" s="474"/>
      <c r="G32" s="261"/>
      <c r="H32" s="2814"/>
      <c r="I32" s="2814"/>
      <c r="J32" s="2814"/>
      <c r="K32" s="279"/>
    </row>
    <row r="33" spans="1:11" s="2122" customFormat="1" ht="13.5" customHeight="1">
      <c r="A33" s="3033" t="s">
        <v>2835</v>
      </c>
      <c r="B33" s="3031" t="s">
        <v>2833</v>
      </c>
      <c r="C33" s="478">
        <f ca="1">C35</f>
        <v>881</v>
      </c>
      <c r="D33" s="467">
        <f ca="1">C34</f>
        <v>0.15440000000000001</v>
      </c>
      <c r="E33" s="469" t="s">
        <v>495</v>
      </c>
      <c r="F33" s="479">
        <f ca="1">IF(B1="",'数据-取费表'!Q16,INDIRECT("'数据-取费表'!q"&amp;$K$1))</f>
        <v>0.15</v>
      </c>
      <c r="G33" s="2815"/>
      <c r="H33" s="2816"/>
      <c r="I33" s="2816"/>
      <c r="J33" s="2816"/>
      <c r="K33" s="2817"/>
    </row>
    <row r="34" spans="1:11" s="2123" customFormat="1" ht="13.5" customHeight="1">
      <c r="A34" s="375" t="s">
        <v>1856</v>
      </c>
      <c r="B34" s="2862" t="s">
        <v>501</v>
      </c>
      <c r="C34" s="472">
        <f ca="1">ROUND((1+C25)*F33,4)</f>
        <v>0.15440000000000001</v>
      </c>
      <c r="D34" s="472"/>
      <c r="E34" s="473"/>
      <c r="F34" s="480"/>
      <c r="G34" s="261" t="s">
        <v>2292</v>
      </c>
      <c r="H34" s="2814"/>
      <c r="I34" s="2814"/>
      <c r="J34" s="2814"/>
      <c r="K34" s="279"/>
    </row>
    <row r="35" spans="1:11" s="2123" customFormat="1" ht="13.5" customHeight="1" thickBot="1">
      <c r="A35" s="1637" t="s">
        <v>1857</v>
      </c>
      <c r="B35" s="3032" t="s">
        <v>2841</v>
      </c>
      <c r="C35" s="1629">
        <f ca="1">ROUND((C18+C19+C20+C23+C24)*F33,0)</f>
        <v>881</v>
      </c>
      <c r="D35" s="1630"/>
      <c r="E35" s="2863"/>
      <c r="F35" s="1631"/>
      <c r="G35" s="2821"/>
      <c r="H35" s="2822"/>
      <c r="I35" s="2822"/>
      <c r="J35" s="2822"/>
      <c r="K35" s="2823"/>
    </row>
    <row r="36" spans="1:11" s="2085" customFormat="1" ht="13.5" customHeight="1" thickBot="1">
      <c r="A36" s="284" t="s">
        <v>1844</v>
      </c>
      <c r="B36" s="2825"/>
      <c r="C36" s="2864">
        <f ca="1">ROUND((C6-C30-C33)/(1+D30+D33),0)</f>
        <v>1502</v>
      </c>
      <c r="D36" s="2825"/>
      <c r="E36" s="2825"/>
      <c r="F36" s="2825"/>
      <c r="G36" s="2824" t="s">
        <v>2842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3" t="str">
        <f>项目基本情况!B1</f>
        <v>山东省出让国有建设用地使用权抵押价格预评估</v>
      </c>
      <c r="C37" s="3193"/>
      <c r="D37" s="3193"/>
      <c r="E37" s="3193"/>
      <c r="F37" s="3193"/>
      <c r="G37" s="3193"/>
      <c r="H37" s="3193"/>
      <c r="I37" s="3193"/>
    </row>
    <row r="38" spans="1:9">
      <c r="A38" s="1657"/>
      <c r="B38" s="1657"/>
    </row>
    <row r="39" spans="1:9">
      <c r="A39" s="1655" t="s">
        <v>1901</v>
      </c>
      <c r="B39" s="1655" t="s">
        <v>2048</v>
      </c>
    </row>
    <row r="40" spans="1:9">
      <c r="A40" s="1655"/>
      <c r="B40" s="1655" t="str">
        <f>项目基本情况!B5</f>
        <v>华澳国际信托有限公司</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8"/>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4550</v>
      </c>
      <c r="D13" s="451"/>
      <c r="E13" s="365"/>
      <c r="F13" s="452"/>
      <c r="G13" s="444"/>
      <c r="H13" s="447"/>
      <c r="I13" s="447"/>
      <c r="J13" s="447"/>
      <c r="K13" s="448"/>
    </row>
    <row r="14" spans="1:41" s="2116" customFormat="1" ht="13.5" customHeight="1">
      <c r="A14" s="1634" t="s">
        <v>1849</v>
      </c>
      <c r="B14" s="449" t="s">
        <v>480</v>
      </c>
      <c r="C14" s="53">
        <f ca="1">ROUND(C13*F14,0)</f>
        <v>137</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4" t="s">
        <v>1851</v>
      </c>
      <c r="B16" s="449" t="s">
        <v>484</v>
      </c>
      <c r="C16" s="53">
        <f ca="1">ROUND(D16*E16/10000,0)</f>
        <v>364</v>
      </c>
      <c r="D16" s="451">
        <f ca="1">IF(B1="",'数据-汇总表'!E3,INDIRECT("'数据-取费表'!K"&amp;$K$1)+INDIRECT("'数据-取费表'!S"&amp;$K$1))</f>
        <v>18198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68</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5119</v>
      </c>
      <c r="D18" s="461"/>
      <c r="E18" s="462"/>
      <c r="F18" s="462"/>
      <c r="G18" s="1327" t="s">
        <v>2434</v>
      </c>
      <c r="H18" s="447"/>
      <c r="I18" s="447"/>
      <c r="J18" s="447"/>
      <c r="K18" s="448"/>
    </row>
    <row r="19" spans="1:14" s="2119" customFormat="1" ht="13.5" customHeight="1">
      <c r="A19" s="1635" t="s">
        <v>1854</v>
      </c>
      <c r="B19" s="459" t="s">
        <v>493</v>
      </c>
      <c r="C19" s="460">
        <f ca="1">ROUND(C18*F19,0)</f>
        <v>102</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1858</v>
      </c>
      <c r="B21" s="461" t="s">
        <v>494</v>
      </c>
      <c r="C21" s="470">
        <f ca="1">C22</f>
        <v>185</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185</v>
      </c>
      <c r="D22" s="472"/>
      <c r="E22" s="473"/>
      <c r="F22" s="474"/>
      <c r="G22" s="2566"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1.1000000000000001E-3</v>
      </c>
      <c r="D23" s="472"/>
      <c r="E23" s="473"/>
      <c r="F23" s="474"/>
      <c r="G23" s="2566"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783</v>
      </c>
      <c r="D24" s="489">
        <f ca="1">C26</f>
        <v>4.4999999999999997E-3</v>
      </c>
      <c r="E24" s="469" t="s">
        <v>507</v>
      </c>
      <c r="F24" s="479">
        <f ca="1">IF(B1="",'数据-取费表'!Q16,INDIRECT("'数据-取费表'!q"&amp;$K$1))</f>
        <v>0.15</v>
      </c>
      <c r="G24" s="444"/>
      <c r="H24" s="447"/>
      <c r="I24" s="447"/>
      <c r="J24" s="447"/>
      <c r="K24" s="448"/>
    </row>
    <row r="25" spans="1:14" s="2120" customFormat="1" ht="13.5" customHeight="1">
      <c r="A25" s="1634" t="s">
        <v>1848</v>
      </c>
      <c r="B25" s="1328" t="s">
        <v>2438</v>
      </c>
      <c r="C25" s="490">
        <f ca="1">ROUND((C18+C19)*F24,0)</f>
        <v>783</v>
      </c>
      <c r="D25" s="472"/>
      <c r="E25" s="473"/>
      <c r="F25" s="480"/>
      <c r="G25" s="1326" t="s">
        <v>2435</v>
      </c>
      <c r="H25" s="457"/>
      <c r="I25" s="457"/>
      <c r="J25" s="457"/>
      <c r="K25" s="458"/>
    </row>
    <row r="26" spans="1:14" s="2120" customFormat="1" ht="13.5" customHeight="1">
      <c r="A26" s="1634" t="s">
        <v>1849</v>
      </c>
      <c r="B26" s="1328" t="s">
        <v>509</v>
      </c>
      <c r="C26" s="491">
        <f ca="1">ROUND(F20*F24,4)</f>
        <v>4.4999999999999997E-3</v>
      </c>
      <c r="D26" s="472"/>
      <c r="E26" s="481"/>
      <c r="F26" s="480"/>
      <c r="G26" s="1326" t="s">
        <v>510</v>
      </c>
      <c r="H26" s="457"/>
      <c r="I26" s="457"/>
      <c r="J26" s="457"/>
      <c r="K26" s="458"/>
    </row>
    <row r="27" spans="1:14" s="2120" customFormat="1" ht="13.5" customHeight="1">
      <c r="A27" s="1638" t="s">
        <v>1867</v>
      </c>
      <c r="B27" s="459" t="s">
        <v>511</v>
      </c>
      <c r="C27" s="3030">
        <f>ROUND(F27/(1+'数据-取费表'!C42),4)</f>
        <v>5.2400000000000002E-2</v>
      </c>
      <c r="D27" s="462" t="s">
        <v>2832</v>
      </c>
      <c r="E27" s="462"/>
      <c r="F27" s="466">
        <f>'数据-取费表'!B41</f>
        <v>5.5000000000000007E-2</v>
      </c>
      <c r="G27" s="1962" t="s">
        <v>2293</v>
      </c>
      <c r="H27" s="447"/>
      <c r="I27" s="447"/>
      <c r="J27" s="447"/>
      <c r="K27" s="448"/>
    </row>
    <row r="28" spans="1:14" s="2121" customFormat="1" ht="13.5" customHeight="1">
      <c r="A28" s="1638" t="s">
        <v>1868</v>
      </c>
      <c r="B28" s="476" t="s">
        <v>512</v>
      </c>
      <c r="C28" s="470">
        <f ca="1">ROUND((C18+C19+C21+C24)/(1-C20-D21-D24-C27),0)</f>
        <v>6786</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1"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2"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80" t="s">
        <v>522</v>
      </c>
      <c r="D6" s="3381"/>
      <c r="E6" s="3404" t="s">
        <v>523</v>
      </c>
      <c r="F6" s="3405"/>
      <c r="G6" s="3380" t="s">
        <v>524</v>
      </c>
      <c r="H6" s="3381"/>
      <c r="I6" s="3380" t="s">
        <v>525</v>
      </c>
      <c r="J6" s="3381"/>
      <c r="K6" s="514" t="s">
        <v>526</v>
      </c>
      <c r="L6" s="2133"/>
      <c r="M6" s="2134"/>
      <c r="N6" s="2134"/>
      <c r="O6" s="2134"/>
      <c r="P6" s="3382" t="s">
        <v>527</v>
      </c>
      <c r="Q6" s="3383"/>
      <c r="R6" s="3368" t="s">
        <v>523</v>
      </c>
      <c r="S6" s="3369"/>
      <c r="T6" s="3368" t="s">
        <v>524</v>
      </c>
      <c r="U6" s="3369"/>
      <c r="V6" s="3388" t="s">
        <v>525</v>
      </c>
      <c r="W6" s="3388"/>
      <c r="X6" s="1568"/>
      <c r="Y6" s="3368" t="s">
        <v>527</v>
      </c>
      <c r="Z6" s="3369"/>
      <c r="AA6" s="3363" t="s">
        <v>523</v>
      </c>
      <c r="AB6" s="3364" t="s">
        <v>524</v>
      </c>
      <c r="AC6" s="3363" t="s">
        <v>525</v>
      </c>
    </row>
    <row r="7" spans="1:29" ht="15">
      <c r="A7" s="515"/>
      <c r="B7" s="516"/>
      <c r="C7" s="3391" t="s">
        <v>2928</v>
      </c>
      <c r="D7" s="3392"/>
      <c r="E7" s="3406" t="s">
        <v>2929</v>
      </c>
      <c r="F7" s="3407"/>
      <c r="G7" s="3391" t="s">
        <v>2930</v>
      </c>
      <c r="H7" s="3392"/>
      <c r="I7" s="3391" t="s">
        <v>2931</v>
      </c>
      <c r="J7" s="3392"/>
      <c r="K7" s="514"/>
      <c r="L7" s="2133"/>
      <c r="M7" s="2134"/>
      <c r="N7" s="2134"/>
      <c r="O7" s="2134"/>
      <c r="P7" s="3384"/>
      <c r="Q7" s="3385"/>
      <c r="R7" s="3370"/>
      <c r="S7" s="3371"/>
      <c r="T7" s="3370"/>
      <c r="U7" s="3371"/>
      <c r="V7" s="3388"/>
      <c r="W7" s="3388"/>
      <c r="X7" s="1568"/>
      <c r="Y7" s="3370"/>
      <c r="Z7" s="3371"/>
      <c r="AA7" s="3364"/>
      <c r="AB7" s="3364"/>
      <c r="AC7" s="3364"/>
    </row>
    <row r="8" spans="1:29" ht="15.75" thickBot="1">
      <c r="A8" s="517"/>
      <c r="B8" s="518"/>
      <c r="C8" s="3389" t="s">
        <v>2932</v>
      </c>
      <c r="D8" s="3390"/>
      <c r="E8" s="3408" t="s">
        <v>2932</v>
      </c>
      <c r="F8" s="3409"/>
      <c r="G8" s="3389" t="s">
        <v>2932</v>
      </c>
      <c r="H8" s="3390"/>
      <c r="I8" s="3389" t="s">
        <v>2932</v>
      </c>
      <c r="J8" s="3390"/>
      <c r="K8" s="514" t="s">
        <v>528</v>
      </c>
      <c r="L8" s="2133"/>
      <c r="M8" s="2134"/>
      <c r="N8" s="2134"/>
      <c r="O8" s="2134"/>
      <c r="P8" s="3386"/>
      <c r="Q8" s="3387"/>
      <c r="R8" s="3370"/>
      <c r="S8" s="3371"/>
      <c r="T8" s="3372"/>
      <c r="U8" s="3373"/>
      <c r="V8" s="3388"/>
      <c r="W8" s="3388"/>
      <c r="X8" s="1568"/>
      <c r="Y8" s="3372"/>
      <c r="Z8" s="3373"/>
      <c r="AA8" s="3365"/>
      <c r="AB8" s="3365"/>
      <c r="AC8" s="3365"/>
    </row>
    <row r="9" spans="1:29" s="1220" customFormat="1" ht="15.75" thickBot="1">
      <c r="A9" s="2911"/>
      <c r="B9" s="2918" t="s">
        <v>529</v>
      </c>
      <c r="C9" s="519">
        <f>'数据-取费表'!B2</f>
        <v>43417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66" t="s">
        <v>530</v>
      </c>
      <c r="Q9" s="3375"/>
      <c r="R9" s="1569" t="s">
        <v>8</v>
      </c>
      <c r="S9" s="1570">
        <f t="shared" ref="S9:S17" si="0">F9</f>
        <v>0</v>
      </c>
      <c r="T9" s="1569" t="s">
        <v>8</v>
      </c>
      <c r="U9" s="1570">
        <f t="shared" ref="U9:U17" si="1">H9</f>
        <v>0</v>
      </c>
      <c r="V9" s="1569" t="s">
        <v>8</v>
      </c>
      <c r="W9" s="1570">
        <f t="shared" ref="W9:W17" si="2">J9</f>
        <v>0</v>
      </c>
      <c r="X9" s="1571"/>
      <c r="Y9" s="3366" t="s">
        <v>530</v>
      </c>
      <c r="Z9" s="3367"/>
      <c r="AA9" s="1572" t="e">
        <f>D9/F9</f>
        <v>#DIV/0!</v>
      </c>
      <c r="AB9" s="1572" t="e">
        <f>D9/H9</f>
        <v>#DIV/0!</v>
      </c>
      <c r="AC9" s="1572"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66" t="s">
        <v>533</v>
      </c>
      <c r="Q10" s="3367"/>
      <c r="R10" s="1569" t="s">
        <v>8</v>
      </c>
      <c r="S10" s="1570">
        <f t="shared" si="0"/>
        <v>0</v>
      </c>
      <c r="T10" s="1569" t="s">
        <v>8</v>
      </c>
      <c r="U10" s="1570">
        <f t="shared" si="1"/>
        <v>0</v>
      </c>
      <c r="V10" s="1569" t="s">
        <v>8</v>
      </c>
      <c r="W10" s="1570">
        <f t="shared" si="2"/>
        <v>0</v>
      </c>
      <c r="X10" s="1571"/>
      <c r="Y10" s="3366" t="s">
        <v>533</v>
      </c>
      <c r="Z10" s="3367"/>
      <c r="AA10" s="1572" t="e">
        <f t="shared" ref="AA10:AA42" si="3">D10/F10</f>
        <v>#DIV/0!</v>
      </c>
      <c r="AB10" s="1572" t="e">
        <f t="shared" ref="AB10:AB42" si="4">D10/H10</f>
        <v>#DIV/0!</v>
      </c>
      <c r="AC10" s="1572" t="e">
        <f t="shared" ref="AC10:AC42" si="5">D10/J10</f>
        <v>#DIV/0!</v>
      </c>
    </row>
    <row r="11" spans="1:29" s="1220"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4" t="s">
        <v>535</v>
      </c>
      <c r="Q11" s="1151" t="str">
        <f t="shared" ref="Q11:Q17" si="6">B11</f>
        <v>用途</v>
      </c>
      <c r="R11" s="1569" t="s">
        <v>8</v>
      </c>
      <c r="S11" s="1570">
        <f t="shared" si="0"/>
        <v>100</v>
      </c>
      <c r="T11" s="1569" t="s">
        <v>8</v>
      </c>
      <c r="U11" s="1570">
        <f t="shared" si="1"/>
        <v>100</v>
      </c>
      <c r="V11" s="1569" t="s">
        <v>8</v>
      </c>
      <c r="W11" s="1570">
        <f t="shared" si="2"/>
        <v>100</v>
      </c>
      <c r="X11" s="1571"/>
      <c r="Y11" s="3331" t="s">
        <v>536</v>
      </c>
      <c r="Z11" s="1150" t="str">
        <f t="shared" ref="Z11:Z17" si="7">Q11</f>
        <v>用途</v>
      </c>
      <c r="AA11" s="1572">
        <f t="shared" si="3"/>
        <v>1</v>
      </c>
      <c r="AB11" s="1572">
        <f t="shared" si="4"/>
        <v>1</v>
      </c>
      <c r="AC11" s="1572">
        <f t="shared" si="5"/>
        <v>1</v>
      </c>
    </row>
    <row r="12" spans="1:29" s="1338" customFormat="1" ht="27">
      <c r="A12" s="2914"/>
      <c r="B12" s="2919" t="s">
        <v>2759</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374"/>
      <c r="Q12" s="1151" t="str">
        <f t="shared" si="6"/>
        <v>土地使用年限（年）</v>
      </c>
      <c r="R12" s="1569" t="s">
        <v>8</v>
      </c>
      <c r="S12" s="1570">
        <f t="shared" si="0"/>
        <v>104</v>
      </c>
      <c r="T12" s="1569" t="s">
        <v>8</v>
      </c>
      <c r="U12" s="1570">
        <f t="shared" si="1"/>
        <v>104</v>
      </c>
      <c r="V12" s="1569" t="s">
        <v>8</v>
      </c>
      <c r="W12" s="1570">
        <f t="shared" si="2"/>
        <v>104</v>
      </c>
      <c r="X12" s="1571"/>
      <c r="Y12" s="3331"/>
      <c r="Z12" s="1150" t="str">
        <f t="shared" si="7"/>
        <v>土地使用年限（年）</v>
      </c>
      <c r="AA12" s="1572">
        <f t="shared" si="3"/>
        <v>0.96153846153846156</v>
      </c>
      <c r="AB12" s="1572">
        <f t="shared" si="4"/>
        <v>0.96153846153846156</v>
      </c>
      <c r="AC12" s="1572">
        <f t="shared" si="5"/>
        <v>0.96153846153846156</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4"/>
      <c r="Q13" s="1151" t="str">
        <f t="shared" si="6"/>
        <v>容积率</v>
      </c>
      <c r="R13" s="1569" t="s">
        <v>8</v>
      </c>
      <c r="S13" s="1570" t="e">
        <f t="shared" si="0"/>
        <v>#N/A</v>
      </c>
      <c r="T13" s="1569" t="s">
        <v>8</v>
      </c>
      <c r="U13" s="1570" t="e">
        <f t="shared" si="1"/>
        <v>#N/A</v>
      </c>
      <c r="V13" s="1569" t="s">
        <v>8</v>
      </c>
      <c r="W13" s="1570" t="e">
        <f t="shared" si="2"/>
        <v>#N/A</v>
      </c>
      <c r="X13" s="1571"/>
      <c r="Y13" s="3331"/>
      <c r="Z13" s="1150" t="str">
        <f t="shared" si="7"/>
        <v>容积率</v>
      </c>
      <c r="AA13" s="1572" t="e">
        <f t="shared" si="3"/>
        <v>#N/A</v>
      </c>
      <c r="AB13" s="1572" t="e">
        <f t="shared" si="4"/>
        <v>#N/A</v>
      </c>
      <c r="AC13" s="1572"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4"/>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D14/F14</f>
        <v>1</v>
      </c>
      <c r="AB14" s="1572">
        <f>D14/H14</f>
        <v>1</v>
      </c>
      <c r="AC14" s="1572">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4"/>
      <c r="Q15" s="1151">
        <f t="shared" si="6"/>
        <v>111</v>
      </c>
      <c r="R15" s="1569" t="s">
        <v>8</v>
      </c>
      <c r="S15" s="1570">
        <f t="shared" si="0"/>
        <v>100</v>
      </c>
      <c r="T15" s="1569" t="s">
        <v>8</v>
      </c>
      <c r="U15" s="1570">
        <f t="shared" si="1"/>
        <v>100</v>
      </c>
      <c r="V15" s="1569" t="s">
        <v>8</v>
      </c>
      <c r="W15" s="1570">
        <f t="shared" si="2"/>
        <v>100</v>
      </c>
      <c r="X15" s="1571"/>
      <c r="Y15" s="3331"/>
      <c r="Z15" s="1150">
        <f t="shared" si="7"/>
        <v>111</v>
      </c>
      <c r="AA15" s="1572">
        <f t="shared" si="3"/>
        <v>1</v>
      </c>
      <c r="AB15" s="1572">
        <f t="shared" si="4"/>
        <v>1</v>
      </c>
      <c r="AC15" s="1572">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4"/>
      <c r="Q16" s="1151">
        <f t="shared" si="6"/>
        <v>111</v>
      </c>
      <c r="R16" s="1569" t="s">
        <v>8</v>
      </c>
      <c r="S16" s="1570">
        <f t="shared" si="0"/>
        <v>100</v>
      </c>
      <c r="T16" s="1569" t="s">
        <v>8</v>
      </c>
      <c r="U16" s="1570">
        <f t="shared" si="1"/>
        <v>100</v>
      </c>
      <c r="V16" s="1569" t="s">
        <v>8</v>
      </c>
      <c r="W16" s="1570">
        <f t="shared" si="2"/>
        <v>100</v>
      </c>
      <c r="X16" s="1571"/>
      <c r="Y16" s="3331"/>
      <c r="Z16" s="1150">
        <f t="shared" si="7"/>
        <v>111</v>
      </c>
      <c r="AA16" s="1572">
        <f t="shared" si="3"/>
        <v>1</v>
      </c>
      <c r="AB16" s="1572">
        <f t="shared" si="4"/>
        <v>1</v>
      </c>
      <c r="AC16" s="1572">
        <f t="shared" si="5"/>
        <v>1</v>
      </c>
    </row>
    <row r="17" spans="1:29" ht="57">
      <c r="A17" s="2909"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6" t="s">
        <v>540</v>
      </c>
      <c r="Q17" s="1573" t="str">
        <f t="shared" si="6"/>
        <v>产业集聚程度</v>
      </c>
      <c r="R17" s="1574" t="s">
        <v>8</v>
      </c>
      <c r="S17" s="1575">
        <f t="shared" si="0"/>
        <v>100</v>
      </c>
      <c r="T17" s="1574" t="s">
        <v>8</v>
      </c>
      <c r="U17" s="1575">
        <f t="shared" si="1"/>
        <v>100</v>
      </c>
      <c r="V17" s="1574" t="s">
        <v>8</v>
      </c>
      <c r="W17" s="1575">
        <f t="shared" si="2"/>
        <v>100</v>
      </c>
      <c r="X17" s="1568"/>
      <c r="Y17" s="337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77"/>
      <c r="Q18" s="1573"/>
      <c r="R18" s="1574"/>
      <c r="S18" s="1575"/>
      <c r="T18" s="1574"/>
      <c r="U18" s="1575"/>
      <c r="V18" s="1574"/>
      <c r="W18" s="1575"/>
      <c r="X18" s="1568"/>
      <c r="Y18" s="337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7"/>
      <c r="Q19" s="1573" t="str">
        <f>B19</f>
        <v>交通便捷度</v>
      </c>
      <c r="R19" s="1574" t="s">
        <v>8</v>
      </c>
      <c r="S19" s="1575">
        <f>F19</f>
        <v>100</v>
      </c>
      <c r="T19" s="1574" t="s">
        <v>8</v>
      </c>
      <c r="U19" s="1575">
        <f>H19</f>
        <v>100</v>
      </c>
      <c r="V19" s="1574" t="s">
        <v>8</v>
      </c>
      <c r="W19" s="1575">
        <f>J19</f>
        <v>100</v>
      </c>
      <c r="X19" s="1568"/>
      <c r="Y19" s="337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77"/>
      <c r="Q20" s="1573"/>
      <c r="R20" s="1574"/>
      <c r="S20" s="1575"/>
      <c r="T20" s="1574"/>
      <c r="U20" s="1575"/>
      <c r="V20" s="1574"/>
      <c r="W20" s="1575"/>
      <c r="X20" s="1568"/>
      <c r="Y20" s="337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77"/>
      <c r="Q21" s="1573" t="str">
        <f t="shared" ref="Q21:Q35" si="8">B21</f>
        <v>区域土地利用方向</v>
      </c>
      <c r="R21" s="1574" t="s">
        <v>8</v>
      </c>
      <c r="S21" s="1575">
        <f>F21</f>
        <v>100</v>
      </c>
      <c r="T21" s="1574" t="s">
        <v>8</v>
      </c>
      <c r="U21" s="1575">
        <f>H21</f>
        <v>100</v>
      </c>
      <c r="V21" s="1574" t="s">
        <v>8</v>
      </c>
      <c r="W21" s="1575">
        <f>J21</f>
        <v>100</v>
      </c>
      <c r="X21" s="1568"/>
      <c r="Y21" s="337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77"/>
      <c r="Q22" s="1573"/>
      <c r="R22" s="1574"/>
      <c r="S22" s="1575"/>
      <c r="T22" s="1574"/>
      <c r="U22" s="1575"/>
      <c r="V22" s="1574"/>
      <c r="W22" s="1575"/>
      <c r="X22" s="1568"/>
      <c r="Y22" s="337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7"/>
      <c r="Q23" s="1573" t="str">
        <f t="shared" si="8"/>
        <v>环境状况</v>
      </c>
      <c r="R23" s="1574" t="s">
        <v>8</v>
      </c>
      <c r="S23" s="1575">
        <f>F23</f>
        <v>100</v>
      </c>
      <c r="T23" s="1574" t="s">
        <v>8</v>
      </c>
      <c r="U23" s="1575">
        <f>H23</f>
        <v>100</v>
      </c>
      <c r="V23" s="1574" t="s">
        <v>8</v>
      </c>
      <c r="W23" s="1575">
        <f>J23</f>
        <v>100</v>
      </c>
      <c r="X23" s="1568"/>
      <c r="Y23" s="337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77"/>
      <c r="Q24" s="1573"/>
      <c r="R24" s="1574"/>
      <c r="S24" s="1575"/>
      <c r="T24" s="1574"/>
      <c r="U24" s="1575"/>
      <c r="V24" s="1574"/>
      <c r="W24" s="1575"/>
      <c r="X24" s="1568"/>
      <c r="Y24" s="3377"/>
      <c r="Z24" s="1576"/>
      <c r="AA24" s="1577">
        <v>1</v>
      </c>
      <c r="AB24" s="1577">
        <v>1</v>
      </c>
      <c r="AC24" s="1577">
        <v>1</v>
      </c>
    </row>
    <row r="25" spans="1:29" s="1220" customFormat="1" ht="42.75">
      <c r="A25" s="577"/>
      <c r="B25" s="2592"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7"/>
      <c r="Q25" s="1151" t="str">
        <f t="shared" si="8"/>
        <v>公共配套设施</v>
      </c>
      <c r="R25" s="1569" t="s">
        <v>8</v>
      </c>
      <c r="S25" s="1570">
        <f>F25</f>
        <v>100</v>
      </c>
      <c r="T25" s="1569" t="s">
        <v>8</v>
      </c>
      <c r="U25" s="1570">
        <f>H25</f>
        <v>100</v>
      </c>
      <c r="V25" s="1569" t="s">
        <v>8</v>
      </c>
      <c r="W25" s="1570">
        <f>J25</f>
        <v>100</v>
      </c>
      <c r="X25" s="1571"/>
      <c r="Y25" s="3377"/>
      <c r="Z25" s="1150" t="str">
        <f>Q25</f>
        <v>公共配套设施</v>
      </c>
      <c r="AA25" s="1577">
        <f>D25/F25</f>
        <v>1</v>
      </c>
      <c r="AB25" s="1577">
        <f>D25/H25</f>
        <v>1</v>
      </c>
      <c r="AC25" s="1577">
        <f>D25/J25</f>
        <v>1</v>
      </c>
    </row>
    <row r="26" spans="1:29" s="1220" customFormat="1" ht="15">
      <c r="A26" s="577"/>
      <c r="B26" s="595"/>
      <c r="C26" s="2591"/>
      <c r="D26" s="555"/>
      <c r="E26" s="554"/>
      <c r="F26" s="555"/>
      <c r="G26" s="554"/>
      <c r="H26" s="555"/>
      <c r="I26" s="576"/>
      <c r="J26" s="555"/>
      <c r="K26" s="531"/>
      <c r="L26" s="2135"/>
      <c r="M26" s="2136"/>
      <c r="N26" s="2136"/>
      <c r="O26" s="2137"/>
      <c r="P26" s="3377"/>
      <c r="Q26" s="1151"/>
      <c r="R26" s="1569"/>
      <c r="S26" s="1570"/>
      <c r="T26" s="1569"/>
      <c r="U26" s="1570"/>
      <c r="V26" s="1569"/>
      <c r="W26" s="1570"/>
      <c r="X26" s="1571"/>
      <c r="Y26" s="3377"/>
      <c r="Z26" s="1150"/>
      <c r="AA26" s="1572">
        <v>1</v>
      </c>
      <c r="AB26" s="1572">
        <v>1</v>
      </c>
      <c r="AC26" s="1572">
        <v>1</v>
      </c>
    </row>
    <row r="27" spans="1:29" s="1220" customFormat="1" ht="28.5">
      <c r="A27" s="577"/>
      <c r="B27" s="2592"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7"/>
      <c r="Q27" s="2577" t="str">
        <f t="shared" ref="Q27" si="9">B27</f>
        <v>基础设施水平</v>
      </c>
      <c r="R27" s="1569" t="s">
        <v>8</v>
      </c>
      <c r="S27" s="1570">
        <f>F27</f>
        <v>100</v>
      </c>
      <c r="T27" s="1569" t="s">
        <v>8</v>
      </c>
      <c r="U27" s="1570">
        <f>H27</f>
        <v>100</v>
      </c>
      <c r="V27" s="1569" t="s">
        <v>8</v>
      </c>
      <c r="W27" s="1570">
        <f>J27</f>
        <v>100</v>
      </c>
      <c r="X27" s="1571"/>
      <c r="Y27" s="3377"/>
      <c r="Z27" s="2574" t="str">
        <f>Q27</f>
        <v>基础设施水平</v>
      </c>
      <c r="AA27" s="1577">
        <f>D27/F27</f>
        <v>1</v>
      </c>
      <c r="AB27" s="1577">
        <f>D27/H27</f>
        <v>1</v>
      </c>
      <c r="AC27" s="1577">
        <f>D27/J27</f>
        <v>1</v>
      </c>
    </row>
    <row r="28" spans="1:29" s="1220" customFormat="1" ht="15">
      <c r="A28" s="577"/>
      <c r="B28" s="595"/>
      <c r="C28" s="2591"/>
      <c r="D28" s="555"/>
      <c r="E28" s="579"/>
      <c r="F28" s="555"/>
      <c r="G28" s="579"/>
      <c r="H28" s="555"/>
      <c r="I28" s="579"/>
      <c r="J28" s="555"/>
      <c r="K28" s="531"/>
      <c r="L28" s="2135"/>
      <c r="M28" s="2136"/>
      <c r="N28" s="2136"/>
      <c r="O28" s="2137"/>
      <c r="P28" s="3377"/>
      <c r="Q28" s="2577"/>
      <c r="R28" s="1569"/>
      <c r="S28" s="1570"/>
      <c r="T28" s="1569"/>
      <c r="U28" s="1570"/>
      <c r="V28" s="1569"/>
      <c r="W28" s="1570"/>
      <c r="X28" s="1571"/>
      <c r="Y28" s="3377"/>
      <c r="Z28" s="257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7"/>
      <c r="Z29" s="1576" t="str">
        <f t="shared" ref="Z29:Z42" si="13">Q29</f>
        <v>临街状况</v>
      </c>
      <c r="AA29" s="1577">
        <f t="shared" si="3"/>
        <v>1</v>
      </c>
      <c r="AB29" s="1577">
        <f t="shared" si="4"/>
        <v>1</v>
      </c>
      <c r="AC29" s="1577">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7"/>
      <c r="Q30" s="1573" t="str">
        <f t="shared" si="8"/>
        <v>毗邻道路的类型与等级</v>
      </c>
      <c r="R30" s="1574" t="s">
        <v>8</v>
      </c>
      <c r="S30" s="1575">
        <f t="shared" si="10"/>
        <v>100</v>
      </c>
      <c r="T30" s="1574" t="s">
        <v>8</v>
      </c>
      <c r="U30" s="1575">
        <f t="shared" si="11"/>
        <v>100</v>
      </c>
      <c r="V30" s="1574" t="s">
        <v>8</v>
      </c>
      <c r="W30" s="1575">
        <f t="shared" si="12"/>
        <v>100</v>
      </c>
      <c r="X30" s="1568"/>
      <c r="Y30" s="337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77"/>
      <c r="Q31" s="1573"/>
      <c r="R31" s="1574"/>
      <c r="S31" s="1575"/>
      <c r="T31" s="1574"/>
      <c r="U31" s="1575"/>
      <c r="V31" s="1574"/>
      <c r="W31" s="1575"/>
      <c r="X31" s="1568"/>
      <c r="Y31" s="3377"/>
      <c r="Z31" s="1576"/>
      <c r="AA31" s="1577">
        <v>1</v>
      </c>
      <c r="AB31" s="1577">
        <v>1</v>
      </c>
      <c r="AC31" s="1577">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7"/>
      <c r="Q32" s="1573" t="str">
        <f t="shared" si="8"/>
        <v>土地级别</v>
      </c>
      <c r="R32" s="1574" t="s">
        <v>8</v>
      </c>
      <c r="S32" s="1575">
        <f t="shared" si="10"/>
        <v>100</v>
      </c>
      <c r="T32" s="1574" t="s">
        <v>8</v>
      </c>
      <c r="U32" s="1575">
        <f t="shared" si="11"/>
        <v>100</v>
      </c>
      <c r="V32" s="1574" t="s">
        <v>8</v>
      </c>
      <c r="W32" s="1575">
        <f t="shared" si="12"/>
        <v>100</v>
      </c>
      <c r="X32" s="1568"/>
      <c r="Y32" s="337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7"/>
      <c r="Q33" s="1573">
        <f t="shared" si="8"/>
        <v>111</v>
      </c>
      <c r="R33" s="1574" t="s">
        <v>8</v>
      </c>
      <c r="S33" s="1575">
        <f t="shared" si="10"/>
        <v>100</v>
      </c>
      <c r="T33" s="1574" t="s">
        <v>8</v>
      </c>
      <c r="U33" s="1575">
        <f t="shared" si="11"/>
        <v>100</v>
      </c>
      <c r="V33" s="1574" t="s">
        <v>8</v>
      </c>
      <c r="W33" s="1575">
        <f t="shared" si="12"/>
        <v>100</v>
      </c>
      <c r="X33" s="1568"/>
      <c r="Y33" s="337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8" t="s">
        <v>550</v>
      </c>
      <c r="Q34" s="1573">
        <f t="shared" si="8"/>
        <v>111</v>
      </c>
      <c r="R34" s="1574" t="s">
        <v>8</v>
      </c>
      <c r="S34" s="1575">
        <f t="shared" si="10"/>
        <v>100</v>
      </c>
      <c r="T34" s="1574" t="s">
        <v>8</v>
      </c>
      <c r="U34" s="1575">
        <f t="shared" si="11"/>
        <v>100</v>
      </c>
      <c r="V34" s="1574" t="s">
        <v>8</v>
      </c>
      <c r="W34" s="1575">
        <f t="shared" si="12"/>
        <v>100</v>
      </c>
      <c r="X34" s="1568"/>
      <c r="Y34" s="3379" t="s">
        <v>550</v>
      </c>
      <c r="Z34" s="1576">
        <f t="shared" si="13"/>
        <v>111</v>
      </c>
      <c r="AA34" s="1577">
        <f t="shared" si="3"/>
        <v>1</v>
      </c>
      <c r="AB34" s="1577">
        <f t="shared" si="4"/>
        <v>1</v>
      </c>
      <c r="AC34" s="1577">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79"/>
      <c r="Q35" s="1573">
        <f t="shared" si="8"/>
        <v>111</v>
      </c>
      <c r="R35" s="1578" t="s">
        <v>8</v>
      </c>
      <c r="S35" s="1579">
        <f t="shared" si="10"/>
        <v>100</v>
      </c>
      <c r="T35" s="1578" t="s">
        <v>8</v>
      </c>
      <c r="U35" s="1579">
        <f t="shared" si="11"/>
        <v>100</v>
      </c>
      <c r="V35" s="1578" t="s">
        <v>8</v>
      </c>
      <c r="W35" s="1579">
        <f t="shared" si="12"/>
        <v>100</v>
      </c>
      <c r="X35" s="1580"/>
      <c r="Y35" s="3379"/>
      <c r="Z35" s="1581">
        <f t="shared" si="13"/>
        <v>111</v>
      </c>
      <c r="AA35" s="1577">
        <f t="shared" si="3"/>
        <v>1</v>
      </c>
      <c r="AB35" s="1577">
        <f t="shared" si="4"/>
        <v>1</v>
      </c>
      <c r="AC35" s="1577">
        <f t="shared" si="5"/>
        <v>1</v>
      </c>
    </row>
    <row r="36" spans="1:29" ht="15">
      <c r="A36" s="2906"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79"/>
      <c r="Q36" s="1573" t="str">
        <f>B36</f>
        <v>宗地面积</v>
      </c>
      <c r="R36" s="1574" t="s">
        <v>8</v>
      </c>
      <c r="S36" s="1575" t="e">
        <f t="shared" si="10"/>
        <v>#N/A</v>
      </c>
      <c r="T36" s="1574" t="s">
        <v>8</v>
      </c>
      <c r="U36" s="1575" t="e">
        <f t="shared" si="11"/>
        <v>#N/A</v>
      </c>
      <c r="V36" s="1574" t="s">
        <v>8</v>
      </c>
      <c r="W36" s="1575" t="e">
        <f t="shared" si="12"/>
        <v>#N/A</v>
      </c>
      <c r="X36" s="1568"/>
      <c r="Y36" s="337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79"/>
      <c r="Q37" s="1573" t="str">
        <f t="shared" ref="Q37:Q42" si="14">B37</f>
        <v>宗地形状</v>
      </c>
      <c r="R37" s="1574" t="s">
        <v>8</v>
      </c>
      <c r="S37" s="1575">
        <f t="shared" si="10"/>
        <v>100</v>
      </c>
      <c r="T37" s="1574" t="s">
        <v>8</v>
      </c>
      <c r="U37" s="1575">
        <f t="shared" si="11"/>
        <v>100</v>
      </c>
      <c r="V37" s="1574" t="s">
        <v>8</v>
      </c>
      <c r="W37" s="1575">
        <f t="shared" si="12"/>
        <v>100</v>
      </c>
      <c r="X37" s="1568"/>
      <c r="Y37" s="3379"/>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79"/>
      <c r="Q38" s="1573" t="str">
        <f t="shared" si="14"/>
        <v>宗地开发程度</v>
      </c>
      <c r="R38" s="1569" t="s">
        <v>8</v>
      </c>
      <c r="S38" s="1570">
        <f t="shared" si="10"/>
        <v>100</v>
      </c>
      <c r="T38" s="1569" t="s">
        <v>8</v>
      </c>
      <c r="U38" s="1570">
        <f t="shared" si="11"/>
        <v>100</v>
      </c>
      <c r="V38" s="1569" t="s">
        <v>8</v>
      </c>
      <c r="W38" s="1570">
        <f t="shared" si="12"/>
        <v>100</v>
      </c>
      <c r="X38" s="1571"/>
      <c r="Y38" s="337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9" t="s">
        <v>601</v>
      </c>
      <c r="Q39" s="1573" t="str">
        <f t="shared" si="14"/>
        <v>工程地质条件</v>
      </c>
      <c r="R39" s="1574" t="s">
        <v>8</v>
      </c>
      <c r="S39" s="1575">
        <f t="shared" si="10"/>
        <v>100</v>
      </c>
      <c r="T39" s="1574" t="s">
        <v>8</v>
      </c>
      <c r="U39" s="1575">
        <f t="shared" si="11"/>
        <v>100</v>
      </c>
      <c r="V39" s="1574" t="s">
        <v>8</v>
      </c>
      <c r="W39" s="1575">
        <f t="shared" si="12"/>
        <v>100</v>
      </c>
      <c r="X39" s="1568"/>
      <c r="Y39" s="337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79"/>
      <c r="Q40" s="1573">
        <f t="shared" si="14"/>
        <v>111</v>
      </c>
      <c r="R40" s="1574" t="s">
        <v>8</v>
      </c>
      <c r="S40" s="1575">
        <f t="shared" si="10"/>
        <v>100</v>
      </c>
      <c r="T40" s="1574" t="s">
        <v>8</v>
      </c>
      <c r="U40" s="1575">
        <f t="shared" si="11"/>
        <v>100</v>
      </c>
      <c r="V40" s="1574" t="s">
        <v>8</v>
      </c>
      <c r="W40" s="1575">
        <f t="shared" si="12"/>
        <v>100</v>
      </c>
      <c r="X40" s="1568"/>
      <c r="Y40" s="337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79"/>
      <c r="Q41" s="1573">
        <f t="shared" si="14"/>
        <v>111</v>
      </c>
      <c r="R41" s="1574" t="s">
        <v>8</v>
      </c>
      <c r="S41" s="1575">
        <f t="shared" si="10"/>
        <v>100</v>
      </c>
      <c r="T41" s="1574" t="s">
        <v>8</v>
      </c>
      <c r="U41" s="1575">
        <f t="shared" si="11"/>
        <v>100</v>
      </c>
      <c r="V41" s="1574" t="s">
        <v>8</v>
      </c>
      <c r="W41" s="1575">
        <f t="shared" si="12"/>
        <v>100</v>
      </c>
      <c r="X41" s="1568"/>
      <c r="Y41" s="337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79"/>
      <c r="Q42" s="1573">
        <f t="shared" si="14"/>
        <v>111</v>
      </c>
      <c r="R42" s="1578" t="s">
        <v>8</v>
      </c>
      <c r="S42" s="1579">
        <f t="shared" si="10"/>
        <v>100</v>
      </c>
      <c r="T42" s="1578" t="s">
        <v>8</v>
      </c>
      <c r="U42" s="1579">
        <f t="shared" si="11"/>
        <v>100</v>
      </c>
      <c r="V42" s="1578" t="s">
        <v>8</v>
      </c>
      <c r="W42" s="1579">
        <f t="shared" si="12"/>
        <v>100</v>
      </c>
      <c r="X42" s="1580"/>
      <c r="Y42" s="3379"/>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74" t="str">
        <f>A43</f>
        <v>成交单价</v>
      </c>
      <c r="Q43" s="3374"/>
      <c r="R43" s="3388">
        <f>E43</f>
        <v>0</v>
      </c>
      <c r="S43" s="3388"/>
      <c r="T43" s="3388">
        <f>G43</f>
        <v>0</v>
      </c>
      <c r="U43" s="3388"/>
      <c r="V43" s="3388">
        <f>I43</f>
        <v>0</v>
      </c>
      <c r="W43" s="3388"/>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74" t="str">
        <f>A44</f>
        <v>比较价格（元/平方米）</v>
      </c>
      <c r="Q44" s="3374"/>
      <c r="R44" s="3398" t="e">
        <f>ROUND(PRODUCT(R43,AA9:AA42),0)</f>
        <v>#DIV/0!</v>
      </c>
      <c r="S44" s="3398"/>
      <c r="T44" s="3398" t="e">
        <f>ROUND(PRODUCT(T43,AB9:AB42),0)</f>
        <v>#DIV/0!</v>
      </c>
      <c r="U44" s="3398"/>
      <c r="V44" s="3398" t="e">
        <f>ROUND(PRODUCT(V43,AC9:AC42),0)</f>
        <v>#DIV/0!</v>
      </c>
      <c r="W44" s="3398"/>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95" t="str">
        <f>A45</f>
        <v>估价对象XX用房的比较价格（楼面单价，元/平方米）</v>
      </c>
      <c r="Q45" s="3396"/>
      <c r="R45" s="3397" t="e">
        <f>ROUND(AVERAGE(R44:V44),0)</f>
        <v>#DIV/0!</v>
      </c>
      <c r="S45" s="3397"/>
      <c r="T45" s="3397"/>
      <c r="U45" s="3397"/>
      <c r="V45" s="3397"/>
      <c r="W45" s="3397"/>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399" t="s">
        <v>2286</v>
      </c>
      <c r="H52" s="3400"/>
      <c r="I52" s="1954" t="s">
        <v>1947</v>
      </c>
      <c r="J52" s="1556" t="str">
        <f>项目基本情况!F41</f>
        <v>山东省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18198</v>
      </c>
      <c r="F53" s="1952" t="e">
        <f t="shared" ref="F53:F62" si="15">ROUND(B53*E53/10000,0)</f>
        <v>#DIV/0!</v>
      </c>
      <c r="G53" s="3401"/>
      <c r="H53" s="3402"/>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03"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03"/>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03"/>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03"/>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0"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6066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7" t="s">
        <v>2535</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7" t="s">
        <v>2651</v>
      </c>
      <c r="B68" s="479" t="str">
        <f>"北京市平均增长率"&amp;TEXT(基准地价!P24,"0.00%")</f>
        <v>北京市平均增长率1.42%</v>
      </c>
      <c r="C68" s="894">
        <v>100</v>
      </c>
      <c r="D68" s="730"/>
      <c r="E68" s="730"/>
      <c r="F68" s="730"/>
      <c r="G68" s="730"/>
      <c r="H68" s="730"/>
      <c r="I68" s="730"/>
      <c r="J68" s="730"/>
      <c r="K68" s="730"/>
      <c r="L68" s="730"/>
      <c r="M68" s="2791"/>
      <c r="N68" s="2792"/>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89"/>
      <c r="D69" s="2790"/>
      <c r="E69" s="2790"/>
      <c r="F69" s="2790"/>
      <c r="G69" s="2790"/>
      <c r="H69" s="2790"/>
      <c r="I69" s="2790"/>
      <c r="J69" s="2790"/>
      <c r="K69" s="2790"/>
      <c r="L69" s="2790"/>
      <c r="M69" s="2790"/>
      <c r="N69" s="2790"/>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6" t="s">
        <v>2552</v>
      </c>
      <c r="C95" s="2597" t="s">
        <v>2553</v>
      </c>
      <c r="D95" s="2597" t="s">
        <v>2554</v>
      </c>
      <c r="E95" s="2597" t="s">
        <v>2555</v>
      </c>
      <c r="F95" s="2597" t="s">
        <v>2556</v>
      </c>
      <c r="G95" s="2597"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1"/>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5" t="s">
        <v>2764</v>
      </c>
      <c r="S1" s="2935" t="s">
        <v>2765</v>
      </c>
      <c r="T1" s="2935" t="s">
        <v>2786</v>
      </c>
      <c r="U1" s="2935" t="s">
        <v>2787</v>
      </c>
      <c r="V1" s="2935"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3" t="s">
        <v>2282</v>
      </c>
      <c r="B4" s="2452"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20"/>
      <c r="AE6" s="1420"/>
      <c r="AF6" s="1420"/>
      <c r="AG6" s="1420"/>
      <c r="AH6" s="1420"/>
      <c r="AI6" s="1420"/>
      <c r="AJ6" s="1421"/>
    </row>
    <row r="7" spans="1:39" ht="24">
      <c r="A7" s="3411"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3</v>
      </c>
      <c r="AA7" s="2192"/>
      <c r="AB7" s="2192"/>
      <c r="AC7" s="2193"/>
      <c r="AD7" s="2928"/>
      <c r="AE7" s="2928"/>
      <c r="AF7" s="2928"/>
      <c r="AG7" s="2928"/>
      <c r="AH7" s="2928"/>
      <c r="AI7" s="2928"/>
      <c r="AJ7" s="2929"/>
    </row>
    <row r="8" spans="1:39" ht="15">
      <c r="A8" s="3412"/>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6">
        <v>7</v>
      </c>
      <c r="S8" s="2925"/>
      <c r="T8" s="2936" t="e">
        <f t="shared" si="0"/>
        <v>#DIV/0!</v>
      </c>
      <c r="U8" s="2925"/>
      <c r="V8" s="2936" t="e">
        <f t="shared" si="1"/>
        <v>#DIV/0!</v>
      </c>
      <c r="W8" s="3421" t="s">
        <v>2785</v>
      </c>
      <c r="X8" s="3422"/>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12"/>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6">
        <v>8</v>
      </c>
      <c r="S9" s="2925"/>
      <c r="T9" s="2936" t="e">
        <f t="shared" si="0"/>
        <v>#DIV/0!</v>
      </c>
      <c r="U9" s="2925"/>
      <c r="V9" s="2936" t="e">
        <f t="shared" si="1"/>
        <v>#DIV/0!</v>
      </c>
      <c r="W9" s="3420" t="s">
        <v>2781</v>
      </c>
      <c r="X9" s="2930" t="s">
        <v>2782</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2"/>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6">
        <v>9</v>
      </c>
      <c r="S10" s="2925"/>
      <c r="T10" s="2936" t="e">
        <f t="shared" si="0"/>
        <v>#DIV/0!</v>
      </c>
      <c r="U10" s="2925"/>
      <c r="V10" s="2936" t="e">
        <f t="shared" si="1"/>
        <v>#DIV/0!</v>
      </c>
      <c r="W10" s="342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2"/>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6">
        <v>10</v>
      </c>
      <c r="S11" s="2925"/>
      <c r="T11" s="2936" t="e">
        <f t="shared" si="0"/>
        <v>#DIV/0!</v>
      </c>
      <c r="U11" s="2925"/>
      <c r="V11" s="2936" t="e">
        <f t="shared" si="1"/>
        <v>#DIV/0!</v>
      </c>
      <c r="W11" s="3420"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1"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6">
        <v>11</v>
      </c>
      <c r="S12" s="2925"/>
      <c r="T12" s="2936" t="e">
        <f t="shared" si="0"/>
        <v>#DIV/0!</v>
      </c>
      <c r="U12" s="2925"/>
      <c r="V12" s="2936" t="e">
        <f t="shared" si="1"/>
        <v>#DIV/0!</v>
      </c>
      <c r="W12" s="3420"/>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3"/>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6">
        <v>12</v>
      </c>
      <c r="S13" s="2925"/>
      <c r="T13" s="2936" t="e">
        <f t="shared" si="0"/>
        <v>#DIV/0!</v>
      </c>
      <c r="U13" s="2925"/>
      <c r="V13" s="2936" t="e">
        <f t="shared" si="1"/>
        <v>#DIV/0!</v>
      </c>
      <c r="W13" s="3420"/>
      <c r="X13" s="2933"/>
      <c r="Y13" s="2932">
        <f>(-0.163*(Y12^2)-0.59*Y12+7617)*(10^(-4))/Y11</f>
        <v>0.25390000000000001</v>
      </c>
      <c r="Z13" s="2932">
        <f t="shared" ref="Z13:AJ13" si="5">(-0.163*(Z12^2)-0.59*Z12+7617)*(10^(-4))/Z11</f>
        <v>0.25390000000000001</v>
      </c>
      <c r="AA13" s="2932">
        <f t="shared" si="5"/>
        <v>0.25390000000000001</v>
      </c>
      <c r="AB13" s="2932">
        <f t="shared" si="5"/>
        <v>0.25390000000000001</v>
      </c>
      <c r="AC13" s="2932">
        <f t="shared" si="5"/>
        <v>0.25390000000000001</v>
      </c>
      <c r="AD13" s="2932">
        <f t="shared" si="5"/>
        <v>0.25390000000000001</v>
      </c>
      <c r="AE13" s="2932">
        <f t="shared" si="5"/>
        <v>0.25390000000000001</v>
      </c>
      <c r="AF13" s="2932">
        <f t="shared" si="5"/>
        <v>0.25390000000000001</v>
      </c>
      <c r="AG13" s="2932">
        <f t="shared" si="5"/>
        <v>0.25390000000000001</v>
      </c>
      <c r="AH13" s="2932">
        <f t="shared" si="5"/>
        <v>0.25390000000000001</v>
      </c>
      <c r="AI13" s="2932">
        <f t="shared" si="5"/>
        <v>0.25390000000000001</v>
      </c>
      <c r="AJ13" s="2932">
        <f t="shared" si="5"/>
        <v>0.25390000000000001</v>
      </c>
    </row>
    <row r="14" spans="1:39" ht="12.75" customHeight="1" thickBot="1">
      <c r="A14" s="3413"/>
      <c r="B14" s="1452"/>
      <c r="C14" s="1453"/>
      <c r="D14" s="1454"/>
      <c r="E14" s="1454"/>
      <c r="F14" s="1455"/>
      <c r="G14" s="1456" t="s">
        <v>948</v>
      </c>
      <c r="H14" s="1457"/>
      <c r="I14" s="1458"/>
      <c r="J14" s="1459"/>
      <c r="K14" s="1402"/>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14"/>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6">
        <v>14</v>
      </c>
      <c r="S15" s="2925"/>
      <c r="T15" s="2936" t="e">
        <f t="shared" si="0"/>
        <v>#DIV/0!</v>
      </c>
      <c r="U15" s="2925"/>
      <c r="V15" s="2936" t="e">
        <f t="shared" si="1"/>
        <v>#DIV/0!</v>
      </c>
      <c r="W15" s="2189"/>
      <c r="X15" s="2189"/>
      <c r="Y15" s="2189"/>
      <c r="Z15" s="2189"/>
      <c r="AA15" s="2189"/>
      <c r="AB15" s="2189"/>
      <c r="AC15" s="2190"/>
    </row>
    <row r="16" spans="1:39" ht="24">
      <c r="A16" s="3411"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12"/>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1" t="s">
        <v>955</v>
      </c>
      <c r="C18" s="2772">
        <f>SUMIF(修正!C18:C39,E3,修正!E18:E39)</f>
        <v>0</v>
      </c>
      <c r="D18" s="2773"/>
      <c r="E18" s="2774"/>
      <c r="F18" s="2775"/>
      <c r="G18" s="2769"/>
      <c r="H18" s="2769"/>
      <c r="I18" s="2769"/>
      <c r="J18" s="2776"/>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43417</v>
      </c>
      <c r="H19" s="1476" t="s">
        <v>2936</v>
      </c>
      <c r="I19" s="2783" t="str">
        <f>IF(H19="季度增幅（自定义）",SUMIF(N21:N24,E2,O21:O24),"")</f>
        <v/>
      </c>
      <c r="J19" s="1472"/>
      <c r="K19" s="1482"/>
      <c r="L19" s="3039" t="s">
        <v>2843</v>
      </c>
      <c r="M19" s="3040">
        <f>ROUND(SUMIF(地价!B2:F2,E2,地价!B24:F24),0)</f>
        <v>0</v>
      </c>
      <c r="N19" s="2785" t="s">
        <v>1676</v>
      </c>
      <c r="O19" s="2784">
        <f>ROUNDDOWN(DATEDIF(E19,G19,"M")/3,0)</f>
        <v>19</v>
      </c>
      <c r="P19" s="1597"/>
      <c r="R19" s="2924"/>
      <c r="S19" s="2924"/>
      <c r="T19" s="2924"/>
      <c r="U19" s="2924"/>
      <c r="V19" s="2924"/>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7" t="s">
        <v>1836</v>
      </c>
      <c r="B20" s="2778" t="s">
        <v>971</v>
      </c>
      <c r="C20" s="2779" t="e">
        <f>ROUND(POWER(1+G20,J20-I20)*(POWER(1+G20,I20)-1)/(POWER(1+G20,J20)-1),4)</f>
        <v>#DIV/0!</v>
      </c>
      <c r="D20" s="2780" t="s">
        <v>972</v>
      </c>
      <c r="E20" s="3093">
        <f ca="1">存贷款利率!I4/100</f>
        <v>4.3499999999999997E-2</v>
      </c>
      <c r="F20" s="2780" t="s">
        <v>973</v>
      </c>
      <c r="G20" s="2781">
        <f>SUMIF(M15:P15,E2,M17:P17)</f>
        <v>0</v>
      </c>
      <c r="H20" s="2780" t="s">
        <v>974</v>
      </c>
      <c r="I20" s="2770" t="e">
        <f>SUMIF('数据-取费表'!C6:C15,E2,'数据-取费表'!F6:F15)/COUNTIF('数据-取费表'!C6:C15,E2)</f>
        <v>#DIV/0!</v>
      </c>
      <c r="J20" s="2782">
        <f>IF(E2="住宅",70,IF(E2="商业",40,50))</f>
        <v>50</v>
      </c>
      <c r="K20" s="1482"/>
      <c r="L20" s="3041" t="s">
        <v>2844</v>
      </c>
      <c r="M20" s="3042">
        <f>ROUND(SUMPRODUCT((地价!A4:A24=YEAR(G19)&amp;"-"&amp;ROUNDUP(MONTH(G19)/3,0))*(地价!B2:F2=E2)*(地价!B4:F24)),0)</f>
        <v>0</v>
      </c>
      <c r="N20" s="2788" t="s">
        <v>2647</v>
      </c>
      <c r="O20" s="2786" t="s">
        <v>2646</v>
      </c>
      <c r="P20" s="2787" t="s">
        <v>2652</v>
      </c>
      <c r="R20" s="2924"/>
      <c r="S20" s="2924"/>
      <c r="T20" s="2924"/>
      <c r="U20" s="2924"/>
      <c r="V20" s="2924"/>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8">
        <f>SUMPRODUCT((地价!A3:A24=YEAR(G19)&amp;"-"&amp;ROUNDUP(MONTH(G19)/3,0))*(地价!AD2:AH2=N21)*(地价!AD3:AH24))</f>
        <v>1.5299999999999999E-2</v>
      </c>
      <c r="R21" s="2924"/>
      <c r="S21" s="2924"/>
      <c r="T21" s="2924"/>
      <c r="U21" s="2924"/>
      <c r="V21" s="2924"/>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8">
        <f>SUMPRODUCT((地价!A3:A24=YEAR(G19)&amp;"-"&amp;ROUNDUP(MONTH(G19)/3,0))*(地价!AD2:AH2=N22)*(地价!AD3:AH24))</f>
        <v>1.5299999999999999E-2</v>
      </c>
      <c r="R22" s="2924"/>
      <c r="S22" s="2924"/>
      <c r="T22" s="2924"/>
      <c r="U22" s="2924"/>
      <c r="V22" s="2924"/>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8">
        <f>SUMPRODUCT((地价!A3:A24=YEAR(G19)&amp;"-"&amp;ROUNDUP(MONTH(G19)/3,0))*(地价!AD2:AH2=N23)*(地价!AD3:AH24))</f>
        <v>2.41E-2</v>
      </c>
      <c r="R23" s="2924"/>
      <c r="S23" s="2924"/>
      <c r="T23" s="2924"/>
      <c r="U23" s="2924"/>
      <c r="V23" s="2924"/>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4"/>
      <c r="S24" s="2924"/>
      <c r="T24" s="2924"/>
      <c r="U24" s="2924"/>
      <c r="V24" s="2924"/>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6" t="s">
        <v>2650</v>
      </c>
      <c r="O25" s="2195"/>
      <c r="P25" s="1542">
        <f>SUMPRODUCT((地价!A3:A24=YEAR(G19)&amp;"-"&amp;ROUNDUP(MONTH(G19)/3,0))*(地价!AD2:AH2=N25)*(地价!AD3:AH24))</f>
        <v>2.1899999999999999E-2</v>
      </c>
      <c r="R25" s="2924"/>
      <c r="S25" s="2924"/>
      <c r="T25" s="2924"/>
      <c r="U25" s="2924"/>
      <c r="V25" s="2924"/>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4"/>
      <c r="S26" s="2924"/>
      <c r="T26" s="2924"/>
      <c r="U26" s="2924"/>
      <c r="V26" s="2924"/>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4"/>
      <c r="S27" s="2924"/>
      <c r="T27" s="2924"/>
      <c r="U27" s="2924"/>
      <c r="V27" s="2924"/>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4"/>
      <c r="S28" s="2924"/>
      <c r="T28" s="2924"/>
      <c r="U28" s="2924"/>
      <c r="V28" s="2924"/>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4"/>
      <c r="S29" s="2924"/>
      <c r="T29" s="2924"/>
      <c r="U29" s="2924"/>
      <c r="V29" s="2924"/>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17"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18"/>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18"/>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9"/>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8" t="s">
        <v>1006</v>
      </c>
      <c r="B44" s="2419"/>
      <c r="C44" s="2420"/>
      <c r="D44" s="2421"/>
      <c r="E44" s="2421"/>
      <c r="F44" s="2422"/>
      <c r="G44" s="1066"/>
      <c r="H44" s="242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3" t="s">
        <v>1007</v>
      </c>
      <c r="B45" s="2424">
        <f>1+E47</f>
        <v>1</v>
      </c>
      <c r="C45" s="2425"/>
      <c r="D45" s="2426"/>
      <c r="E45" s="2427"/>
      <c r="F45" s="2428"/>
      <c r="G45" s="2422"/>
      <c r="H45" s="242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7" t="s">
        <v>1009</v>
      </c>
      <c r="C46" s="2429" t="s">
        <v>1010</v>
      </c>
      <c r="D46" s="2430" t="s">
        <v>1011</v>
      </c>
      <c r="E46" s="2431" t="s">
        <v>1013</v>
      </c>
      <c r="F46" s="2432" t="s">
        <v>2252</v>
      </c>
      <c r="G46" s="2430" t="s">
        <v>1014</v>
      </c>
      <c r="H46" s="2413" t="s">
        <v>2420</v>
      </c>
      <c r="I46" s="2430" t="s">
        <v>1012</v>
      </c>
      <c r="J46" s="2433" t="s">
        <v>1015</v>
      </c>
      <c r="K46" s="2433" t="s">
        <v>1016</v>
      </c>
      <c r="L46" s="2433" t="s">
        <v>1017</v>
      </c>
      <c r="M46" s="2433" t="s">
        <v>1018</v>
      </c>
      <c r="N46" s="2433"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0" t="str">
        <f>估价对象房地状况!C16</f>
        <v>估价对象位于XX商圈，周边商业氛围成熟，人流量大，商业繁华度好</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7" t="str">
        <f>估价对象房地状况!C18</f>
        <v>估价对象周边道路状况、公共交通通达情况、停车便捷程度，综合评价交通便捷度较好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7">
        <f>估价对象房地状况!C24</f>
        <v>0</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9" t="s">
        <v>1026</v>
      </c>
      <c r="B53" s="2408" t="str">
        <f>估价对象房地状况!C21</f>
        <v>估价对象所在区域公共配套设施齐备情况</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9" t="s">
        <v>1027</v>
      </c>
      <c r="B54" s="2407" t="str">
        <f>估价对象房地状况!C22</f>
        <v>估价对象所在区域基础设施水平</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0" t="s">
        <v>1028</v>
      </c>
      <c r="B55" s="2411" t="str">
        <f>估价对象房地状况!C20</f>
        <v>区域自然环境：；人文环境；综合评价环境状况一般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3" t="s">
        <v>1029</v>
      </c>
      <c r="B56" s="2424">
        <f>1+E58</f>
        <v>1</v>
      </c>
      <c r="C56" s="2443"/>
      <c r="D56" s="2426"/>
      <c r="E56" s="2427"/>
      <c r="F56" s="2428"/>
      <c r="G56" s="2422"/>
      <c r="H56" s="2422"/>
      <c r="I56" s="242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7"/>
      <c r="C57" s="2429" t="s">
        <v>1010</v>
      </c>
      <c r="D57" s="2430" t="s">
        <v>1011</v>
      </c>
      <c r="E57" s="2431" t="s">
        <v>1013</v>
      </c>
      <c r="F57" s="2432" t="s">
        <v>2253</v>
      </c>
      <c r="G57" s="2430" t="s">
        <v>1014</v>
      </c>
      <c r="H57" s="2413" t="s">
        <v>2420</v>
      </c>
      <c r="I57" s="2430" t="s">
        <v>1012</v>
      </c>
      <c r="J57" s="2433" t="s">
        <v>1015</v>
      </c>
      <c r="K57" s="2433" t="s">
        <v>1016</v>
      </c>
      <c r="L57" s="2433" t="s">
        <v>1017</v>
      </c>
      <c r="M57" s="2433" t="s">
        <v>1018</v>
      </c>
      <c r="N57" s="2433"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0" t="str">
        <f>估价对象房地状况!C17</f>
        <v>估价对象位于XX商圈，周边办公楼项目较多，入驻率高，办公集聚程度较好</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7" t="str">
        <f>估价对象房地状况!C18</f>
        <v>估价对象周边道路状况、公共交通通达情况、停车便捷程度，综合评价交通便捷度较好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7">
        <f>估价对象房地状况!C24</f>
        <v>0</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8" t="str">
        <f>估价对象房地状况!C21</f>
        <v>估价对象所在区域公共配套设施齐备情况</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8" t="str">
        <f>估价对象房地状况!C22</f>
        <v>估价对象所在区域基础设施水平</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0" t="s">
        <v>1028</v>
      </c>
      <c r="B66" s="2412" t="str">
        <f>估价对象房地状况!C20</f>
        <v>区域自然环境：；人文环境；综合评价环境状况一般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3" t="s">
        <v>1031</v>
      </c>
      <c r="B67" s="2424">
        <f>1+E69</f>
        <v>1</v>
      </c>
      <c r="C67" s="2443"/>
      <c r="D67" s="2426"/>
      <c r="E67" s="2427"/>
      <c r="F67" s="2428"/>
      <c r="G67" s="2422"/>
      <c r="H67" s="2422"/>
      <c r="I67" s="242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7"/>
      <c r="C68" s="2429" t="s">
        <v>1010</v>
      </c>
      <c r="D68" s="2430" t="s">
        <v>1011</v>
      </c>
      <c r="E68" s="2431" t="s">
        <v>1013</v>
      </c>
      <c r="F68" s="2432" t="s">
        <v>2254</v>
      </c>
      <c r="G68" s="2430" t="s">
        <v>1014</v>
      </c>
      <c r="H68" s="2413" t="s">
        <v>2420</v>
      </c>
      <c r="I68" s="2430" t="s">
        <v>1012</v>
      </c>
      <c r="J68" s="2433" t="s">
        <v>1015</v>
      </c>
      <c r="K68" s="2433" t="s">
        <v>1016</v>
      </c>
      <c r="L68" s="2433" t="s">
        <v>1017</v>
      </c>
      <c r="M68" s="2433" t="s">
        <v>1018</v>
      </c>
      <c r="N68" s="2433"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0" t="str">
        <f>估价对象房地状况!C15</f>
        <v>估价对象周边居住用地比例、居住小区规模和社区发展完善程度，综合评价居住社区成熟度一般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7" t="str">
        <f>估价对象房地状况!C18</f>
        <v>估价对象周边道路状况、公共交通通达情况、停车便捷程度，综合评价交通便捷度较好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7">
        <f>估价对象房地状况!C24</f>
        <v>0</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8" t="str">
        <f>估价对象房地状况!C21</f>
        <v>估价对象所在区域公共配套设施齐备情况</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8" t="str">
        <f>估价对象房地状况!C22</f>
        <v>估价对象所在区域基础设施水平</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0" t="str">
        <f>估价对象房地状况!C20</f>
        <v>区域自然环境：；人文环境；综合评价环境状况一般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0" t="s">
        <v>1035</v>
      </c>
      <c r="B77" s="1852"/>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6"/>
      <c r="AD77" s="1405"/>
      <c r="AJ77" s="1404"/>
      <c r="AN77" s="1405"/>
    </row>
    <row r="78" spans="1:40" ht="15">
      <c r="A78" s="2423" t="s">
        <v>1036</v>
      </c>
      <c r="B78" s="2424">
        <f>1+E80</f>
        <v>1</v>
      </c>
      <c r="C78" s="2443"/>
      <c r="D78" s="2426"/>
      <c r="E78" s="2427"/>
      <c r="F78" s="2428"/>
      <c r="G78" s="2422"/>
      <c r="H78" s="2422"/>
      <c r="I78" s="2422"/>
      <c r="J78" s="1066"/>
      <c r="K78" s="1066"/>
      <c r="L78" s="1066"/>
      <c r="M78" s="1066"/>
      <c r="N78" s="1066"/>
      <c r="AC78" s="1406"/>
      <c r="AD78" s="1405"/>
      <c r="AJ78" s="1404"/>
      <c r="AN78" s="1405"/>
    </row>
    <row r="79" spans="1:40" ht="24">
      <c r="A79" s="1067" t="s">
        <v>1008</v>
      </c>
      <c r="B79" s="2407"/>
      <c r="C79" s="2429" t="s">
        <v>1010</v>
      </c>
      <c r="D79" s="2430" t="s">
        <v>1011</v>
      </c>
      <c r="E79" s="2431" t="s">
        <v>1013</v>
      </c>
      <c r="F79" s="2432" t="s">
        <v>2255</v>
      </c>
      <c r="G79" s="2430" t="s">
        <v>1014</v>
      </c>
      <c r="H79" s="2413" t="s">
        <v>2420</v>
      </c>
      <c r="I79" s="2430" t="s">
        <v>1012</v>
      </c>
      <c r="J79" s="2433" t="s">
        <v>1015</v>
      </c>
      <c r="K79" s="2433" t="s">
        <v>1016</v>
      </c>
      <c r="L79" s="2433" t="s">
        <v>1017</v>
      </c>
      <c r="M79" s="2433" t="s">
        <v>1018</v>
      </c>
      <c r="N79" s="2433" t="s">
        <v>1019</v>
      </c>
      <c r="AC79" s="1406"/>
      <c r="AD79" s="1405"/>
      <c r="AJ79" s="1404"/>
      <c r="AN79" s="1405"/>
    </row>
    <row r="80" spans="1:40" ht="36">
      <c r="A80" s="1067" t="s">
        <v>1037</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6"/>
      <c r="AD80" s="1405"/>
      <c r="AJ80" s="1404"/>
      <c r="AN80" s="1405"/>
    </row>
    <row r="81" spans="1:40" ht="48">
      <c r="A81" s="1067" t="s">
        <v>1033</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6"/>
      <c r="AD81" s="1405"/>
      <c r="AJ81" s="1404"/>
      <c r="AN81" s="1405"/>
    </row>
    <row r="82" spans="1:40" ht="24">
      <c r="A82" s="1067" t="s">
        <v>1022</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6"/>
      <c r="AD82" s="1405"/>
      <c r="AJ82" s="1404"/>
      <c r="AN82" s="1405"/>
    </row>
    <row r="83" spans="1:40" ht="14.25">
      <c r="A83" s="1067" t="s">
        <v>1034</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6"/>
      <c r="AD83" s="1405"/>
      <c r="AJ83" s="1404"/>
      <c r="AN83" s="1405"/>
    </row>
    <row r="84" spans="1:40" ht="24">
      <c r="A84" s="1067" t="s">
        <v>1026</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6"/>
      <c r="AD84" s="1405"/>
      <c r="AJ84" s="1404"/>
      <c r="AN84" s="1405"/>
    </row>
    <row r="85" spans="1:40" ht="24">
      <c r="A85" s="1067" t="s">
        <v>1027</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6"/>
      <c r="AD85" s="1405"/>
      <c r="AJ85" s="1404"/>
      <c r="AN85" s="1405"/>
    </row>
    <row r="86" spans="1:40" ht="24">
      <c r="A86" s="1067" t="s">
        <v>1025</v>
      </c>
      <c r="B86" s="3094" t="s">
        <v>2937</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6"/>
      <c r="AD86" s="1405"/>
      <c r="AJ86" s="1404"/>
      <c r="AN86" s="1405"/>
    </row>
    <row r="87" spans="1:40" ht="36.75" thickBot="1">
      <c r="A87" s="2440" t="s">
        <v>1038</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6"/>
      <c r="AD87" s="1405"/>
      <c r="AJ87" s="1404"/>
      <c r="AN87" s="1405"/>
    </row>
    <row r="90" spans="1:40">
      <c r="A90" s="3415" t="s">
        <v>1633</v>
      </c>
      <c r="B90" s="3415"/>
      <c r="C90" s="3415"/>
      <c r="D90" s="3415"/>
      <c r="E90" s="3415"/>
      <c r="F90" s="3415"/>
      <c r="G90" s="3415"/>
      <c r="H90" s="3415"/>
      <c r="I90" s="3415"/>
      <c r="J90" s="3415"/>
      <c r="K90" s="2449"/>
      <c r="L90" s="2449"/>
      <c r="M90" s="2449"/>
      <c r="N90" s="2449"/>
    </row>
    <row r="91" spans="1:40">
      <c r="A91" s="3416" t="s">
        <v>1443</v>
      </c>
      <c r="B91" s="3416" t="s">
        <v>1634</v>
      </c>
      <c r="C91" s="1140" t="s">
        <v>1635</v>
      </c>
      <c r="D91" s="1141"/>
      <c r="E91" s="1141"/>
      <c r="F91" s="1141"/>
      <c r="G91" s="1141"/>
      <c r="H91" s="1141"/>
      <c r="I91" s="1141"/>
      <c r="J91" s="1142"/>
      <c r="K91" s="1134"/>
      <c r="L91" s="1134"/>
      <c r="M91" s="1134"/>
      <c r="N91" s="1134"/>
    </row>
    <row r="92" spans="1:40">
      <c r="A92" s="3416"/>
      <c r="B92" s="3416"/>
      <c r="C92" s="2448" t="s">
        <v>906</v>
      </c>
      <c r="D92" s="2448" t="s">
        <v>884</v>
      </c>
      <c r="E92" s="2448" t="s">
        <v>885</v>
      </c>
      <c r="F92" s="2448" t="s">
        <v>909</v>
      </c>
      <c r="G92" s="2448" t="s">
        <v>887</v>
      </c>
      <c r="H92" s="2448" t="s">
        <v>888</v>
      </c>
      <c r="I92" s="2448" t="s">
        <v>889</v>
      </c>
      <c r="J92" s="2448" t="s">
        <v>890</v>
      </c>
      <c r="K92" s="2448" t="s">
        <v>914</v>
      </c>
      <c r="L92" s="2448" t="s">
        <v>892</v>
      </c>
      <c r="M92" s="2448" t="s">
        <v>893</v>
      </c>
      <c r="N92" s="2448" t="s">
        <v>917</v>
      </c>
    </row>
    <row r="93" spans="1:40">
      <c r="A93" s="342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3"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4"/>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4"/>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4"/>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4"/>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4"/>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4"/>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4"/>
      <c r="B108" s="342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5"/>
      <c r="B109" s="3427"/>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0" t="s">
        <v>1639</v>
      </c>
      <c r="B110" s="3410"/>
      <c r="C110" s="3410"/>
      <c r="D110" s="3410"/>
      <c r="E110" s="3410"/>
      <c r="F110" s="3410"/>
      <c r="G110" s="3410"/>
      <c r="H110" s="3410"/>
      <c r="I110" s="3410"/>
      <c r="J110" s="3410"/>
      <c r="K110" s="2447"/>
      <c r="L110" s="2447"/>
      <c r="M110" s="2447"/>
      <c r="N110" s="2447"/>
    </row>
    <row r="112" spans="1:14" ht="12.75" thickBot="1"/>
    <row r="113" spans="1:13" ht="25.5" thickBot="1">
      <c r="A113" s="1016" t="s">
        <v>895</v>
      </c>
      <c r="B113" s="2450">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16" t="s">
        <v>1007</v>
      </c>
      <c r="B18" s="1154" t="s">
        <v>1446</v>
      </c>
      <c r="C18" s="1131" t="s">
        <v>1447</v>
      </c>
      <c r="D18" s="1132"/>
      <c r="E18" s="1154">
        <v>1</v>
      </c>
      <c r="F18" s="1133" t="s">
        <v>1448</v>
      </c>
      <c r="G18" s="1134"/>
      <c r="H18" s="1105"/>
      <c r="I18" s="1105"/>
    </row>
    <row r="19" spans="1:9" s="1600" customFormat="1" ht="19.5" customHeight="1">
      <c r="A19" s="3416"/>
      <c r="B19" s="3416" t="s">
        <v>1449</v>
      </c>
      <c r="C19" s="1131" t="s">
        <v>1450</v>
      </c>
      <c r="D19" s="1132"/>
      <c r="E19" s="1154">
        <v>0.9</v>
      </c>
      <c r="F19" s="1133" t="s">
        <v>1451</v>
      </c>
      <c r="G19" s="1134"/>
      <c r="H19" s="1105"/>
      <c r="I19" s="1105"/>
    </row>
    <row r="20" spans="1:9" s="1600" customFormat="1" ht="19.5" customHeight="1">
      <c r="A20" s="3416"/>
      <c r="B20" s="3416"/>
      <c r="C20" s="1131" t="s">
        <v>1452</v>
      </c>
      <c r="D20" s="1132"/>
      <c r="E20" s="1154">
        <v>1.1000000000000001</v>
      </c>
      <c r="F20" s="1133" t="s">
        <v>1453</v>
      </c>
      <c r="G20" s="1134"/>
      <c r="H20" s="1105"/>
      <c r="I20" s="1105"/>
    </row>
    <row r="21" spans="1:9" s="1600" customFormat="1" ht="19.5" customHeight="1">
      <c r="A21" s="3416"/>
      <c r="B21" s="3416"/>
      <c r="C21" s="1131" t="s">
        <v>1454</v>
      </c>
      <c r="D21" s="1132"/>
      <c r="E21" s="1154">
        <v>0.8</v>
      </c>
      <c r="F21" s="1133" t="s">
        <v>1455</v>
      </c>
      <c r="G21" s="1134"/>
      <c r="H21" s="1105"/>
      <c r="I21" s="1105"/>
    </row>
    <row r="22" spans="1:9" s="1600" customFormat="1" ht="19.5" customHeight="1">
      <c r="A22" s="3416"/>
      <c r="B22" s="3416"/>
      <c r="C22" s="1131" t="s">
        <v>1456</v>
      </c>
      <c r="D22" s="1132"/>
      <c r="E22" s="1154">
        <v>0.5</v>
      </c>
      <c r="F22" s="1133"/>
      <c r="G22" s="1134"/>
      <c r="H22" s="1105"/>
      <c r="I22" s="1105"/>
    </row>
    <row r="23" spans="1:9" s="1600" customFormat="1" ht="19.5" customHeight="1">
      <c r="A23" s="3416" t="s">
        <v>1029</v>
      </c>
      <c r="B23" s="1154" t="s">
        <v>1446</v>
      </c>
      <c r="C23" s="1131" t="s">
        <v>1457</v>
      </c>
      <c r="D23" s="1132"/>
      <c r="E23" s="1154">
        <v>1</v>
      </c>
      <c r="F23" s="1133" t="s">
        <v>1458</v>
      </c>
      <c r="G23" s="1134"/>
      <c r="H23" s="1105"/>
      <c r="I23" s="1105"/>
    </row>
    <row r="24" spans="1:9" s="1600" customFormat="1" ht="19.5" customHeight="1">
      <c r="A24" s="3416"/>
      <c r="B24" s="3416" t="s">
        <v>1449</v>
      </c>
      <c r="C24" s="1131" t="s">
        <v>1459</v>
      </c>
      <c r="D24" s="1132"/>
      <c r="E24" s="1154">
        <v>0.5</v>
      </c>
      <c r="F24" s="1133"/>
      <c r="G24" s="1134"/>
      <c r="H24" s="1105"/>
      <c r="I24" s="1105"/>
    </row>
    <row r="25" spans="1:9" s="1600" customFormat="1" ht="19.5" customHeight="1">
      <c r="A25" s="3416"/>
      <c r="B25" s="3416"/>
      <c r="C25" s="1131" t="s">
        <v>1460</v>
      </c>
      <c r="D25" s="1132"/>
      <c r="E25" s="1154">
        <v>1.1000000000000001</v>
      </c>
      <c r="F25" s="1133"/>
      <c r="G25" s="1134"/>
      <c r="H25" s="1105"/>
      <c r="I25" s="1105"/>
    </row>
    <row r="26" spans="1:9" s="1600" customFormat="1" ht="19.5" customHeight="1">
      <c r="A26" s="3416"/>
      <c r="B26" s="3416"/>
      <c r="C26" s="1131" t="s">
        <v>1461</v>
      </c>
      <c r="D26" s="1132"/>
      <c r="E26" s="1154">
        <v>1.1000000000000001</v>
      </c>
      <c r="F26" s="1133"/>
      <c r="G26" s="1134"/>
      <c r="H26" s="1105"/>
      <c r="I26" s="1105"/>
    </row>
    <row r="27" spans="1:9" s="1600" customFormat="1" ht="19.5" customHeight="1">
      <c r="A27" s="3416"/>
      <c r="B27" s="3416"/>
      <c r="C27" s="1131" t="s">
        <v>1462</v>
      </c>
      <c r="D27" s="1132"/>
      <c r="E27" s="1154">
        <v>0.9</v>
      </c>
      <c r="F27" s="1133" t="s">
        <v>1463</v>
      </c>
      <c r="G27" s="1134"/>
      <c r="H27" s="1105"/>
      <c r="I27" s="1105"/>
    </row>
    <row r="28" spans="1:9" s="1600" customFormat="1" ht="19.5" customHeight="1">
      <c r="A28" s="3416"/>
      <c r="B28" s="3416"/>
      <c r="C28" s="1131" t="s">
        <v>1464</v>
      </c>
      <c r="D28" s="1132"/>
      <c r="E28" s="1154">
        <v>0.9</v>
      </c>
      <c r="F28" s="1133" t="s">
        <v>1465</v>
      </c>
      <c r="G28" s="1134"/>
      <c r="H28" s="1105"/>
      <c r="I28" s="1105"/>
    </row>
    <row r="29" spans="1:9" s="1600" customFormat="1" ht="19.5" customHeight="1">
      <c r="A29" s="3416"/>
      <c r="B29" s="3416"/>
      <c r="C29" s="1131" t="s">
        <v>1466</v>
      </c>
      <c r="D29" s="1132"/>
      <c r="E29" s="1154">
        <v>0.9</v>
      </c>
      <c r="F29" s="1133" t="s">
        <v>1467</v>
      </c>
      <c r="G29" s="1134"/>
      <c r="H29" s="1105"/>
      <c r="I29" s="1105"/>
    </row>
    <row r="30" spans="1:9" s="1600" customFormat="1" ht="19.5" customHeight="1">
      <c r="A30" s="3416"/>
      <c r="B30" s="3416"/>
      <c r="C30" s="1131" t="s">
        <v>1468</v>
      </c>
      <c r="D30" s="1132"/>
      <c r="E30" s="1154">
        <v>0.9</v>
      </c>
      <c r="F30" s="1133" t="s">
        <v>1469</v>
      </c>
      <c r="G30" s="1134"/>
      <c r="H30" s="1105"/>
      <c r="I30" s="1105"/>
    </row>
    <row r="31" spans="1:9" s="1600" customFormat="1" ht="19.5" customHeight="1">
      <c r="A31" s="3416"/>
      <c r="B31" s="3416"/>
      <c r="C31" s="1131" t="s">
        <v>1470</v>
      </c>
      <c r="D31" s="1132"/>
      <c r="E31" s="1154">
        <v>0.8</v>
      </c>
      <c r="F31" s="1133" t="s">
        <v>1471</v>
      </c>
      <c r="G31" s="1134"/>
      <c r="H31" s="1105"/>
      <c r="I31" s="1105"/>
    </row>
    <row r="32" spans="1:9" s="1600" customFormat="1" ht="19.5" customHeight="1">
      <c r="A32" s="3416"/>
      <c r="B32" s="3416"/>
      <c r="C32" s="1131" t="s">
        <v>1472</v>
      </c>
      <c r="D32" s="1132"/>
      <c r="E32" s="1154">
        <v>0.8</v>
      </c>
      <c r="F32" s="1133" t="s">
        <v>1473</v>
      </c>
      <c r="G32" s="1134"/>
      <c r="H32" s="1105"/>
      <c r="I32" s="1105"/>
    </row>
    <row r="33" spans="1:9" s="1600" customFormat="1" ht="19.5" customHeight="1">
      <c r="A33" s="3416" t="s">
        <v>1474</v>
      </c>
      <c r="B33" s="1154" t="s">
        <v>1446</v>
      </c>
      <c r="C33" s="1131" t="s">
        <v>1475</v>
      </c>
      <c r="D33" s="1132"/>
      <c r="E33" s="1154">
        <v>1</v>
      </c>
      <c r="F33" s="1133" t="s">
        <v>1476</v>
      </c>
      <c r="G33" s="1134"/>
      <c r="H33" s="1105"/>
      <c r="I33" s="1105"/>
    </row>
    <row r="34" spans="1:9" s="1600" customFormat="1" ht="19.5" customHeight="1">
      <c r="A34" s="3416"/>
      <c r="B34" s="1154" t="s">
        <v>1449</v>
      </c>
      <c r="C34" s="1131" t="s">
        <v>1477</v>
      </c>
      <c r="D34" s="1132"/>
      <c r="E34" s="1154">
        <v>1.5</v>
      </c>
      <c r="F34" s="1133" t="s">
        <v>1478</v>
      </c>
      <c r="G34" s="1134"/>
      <c r="H34" s="1105"/>
      <c r="I34" s="1105"/>
    </row>
    <row r="35" spans="1:9" s="1600" customFormat="1" ht="19.5" customHeight="1">
      <c r="A35" s="3416" t="s">
        <v>1432</v>
      </c>
      <c r="B35" s="1154" t="s">
        <v>1446</v>
      </c>
      <c r="C35" s="1131" t="s">
        <v>1479</v>
      </c>
      <c r="D35" s="1132"/>
      <c r="E35" s="1154">
        <v>1</v>
      </c>
      <c r="F35" s="1133" t="s">
        <v>1480</v>
      </c>
      <c r="G35" s="1134"/>
      <c r="H35" s="1105"/>
      <c r="I35" s="1105"/>
    </row>
    <row r="36" spans="1:9" s="1600" customFormat="1" ht="19.5" customHeight="1">
      <c r="A36" s="3416"/>
      <c r="B36" s="3416" t="s">
        <v>1449</v>
      </c>
      <c r="C36" s="1131" t="s">
        <v>1481</v>
      </c>
      <c r="D36" s="1132"/>
      <c r="E36" s="1154">
        <v>1</v>
      </c>
      <c r="F36" s="1133" t="s">
        <v>1482</v>
      </c>
      <c r="G36" s="1134"/>
      <c r="H36" s="1105"/>
      <c r="I36" s="1105"/>
    </row>
    <row r="37" spans="1:9" s="1600" customFormat="1" ht="19.5" customHeight="1">
      <c r="A37" s="3416"/>
      <c r="B37" s="3416"/>
      <c r="C37" s="1131" t="s">
        <v>1483</v>
      </c>
      <c r="D37" s="1132"/>
      <c r="E37" s="1154">
        <v>1.5</v>
      </c>
      <c r="F37" s="1133" t="s">
        <v>1484</v>
      </c>
      <c r="G37" s="1134"/>
      <c r="H37" s="1105"/>
      <c r="I37" s="1105"/>
    </row>
    <row r="38" spans="1:9" s="1600" customFormat="1" ht="19.5" customHeight="1">
      <c r="A38" s="3416"/>
      <c r="B38" s="3416"/>
      <c r="C38" s="1131" t="s">
        <v>1485</v>
      </c>
      <c r="D38" s="1132"/>
      <c r="E38" s="1154">
        <v>1</v>
      </c>
      <c r="F38" s="1133" t="s">
        <v>1486</v>
      </c>
      <c r="G38" s="1134"/>
      <c r="H38" s="1105"/>
      <c r="I38" s="1105"/>
    </row>
    <row r="39" spans="1:9" s="1600" customFormat="1" ht="19.5" customHeight="1">
      <c r="A39" s="3416"/>
      <c r="B39" s="3416"/>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16" t="s">
        <v>1501</v>
      </c>
      <c r="C61" s="1068" t="s">
        <v>1502</v>
      </c>
      <c r="D61" s="1068" t="s">
        <v>1503</v>
      </c>
      <c r="E61" s="1139">
        <v>0.5</v>
      </c>
      <c r="F61" s="1154">
        <v>80</v>
      </c>
      <c r="H61" s="1105">
        <f>SUMIF(C59:C119,基准地价!C8,E59:E119)</f>
        <v>0</v>
      </c>
    </row>
    <row r="62" spans="1:8" s="1105" customFormat="1" ht="24">
      <c r="A62" s="1154">
        <v>2</v>
      </c>
      <c r="B62" s="3416"/>
      <c r="C62" s="1068" t="s">
        <v>1504</v>
      </c>
      <c r="D62" s="1068" t="s">
        <v>1505</v>
      </c>
      <c r="E62" s="1139">
        <v>0.5</v>
      </c>
      <c r="F62" s="1154">
        <v>80</v>
      </c>
    </row>
    <row r="63" spans="1:8" s="1105" customFormat="1" ht="36">
      <c r="A63" s="1154">
        <v>3</v>
      </c>
      <c r="B63" s="3416"/>
      <c r="C63" s="1068" t="s">
        <v>1506</v>
      </c>
      <c r="D63" s="1068" t="s">
        <v>1507</v>
      </c>
      <c r="E63" s="1139">
        <v>0.5</v>
      </c>
      <c r="F63" s="1154">
        <v>80</v>
      </c>
    </row>
    <row r="64" spans="1:8" s="1105" customFormat="1" ht="36">
      <c r="A64" s="1154">
        <v>4</v>
      </c>
      <c r="B64" s="3416"/>
      <c r="C64" s="1068" t="s">
        <v>1508</v>
      </c>
      <c r="D64" s="1068" t="s">
        <v>1509</v>
      </c>
      <c r="E64" s="1139">
        <v>0.4</v>
      </c>
      <c r="F64" s="1154">
        <v>60</v>
      </c>
    </row>
    <row r="65" spans="1:6" s="1105" customFormat="1" ht="36">
      <c r="A65" s="1154">
        <v>5</v>
      </c>
      <c r="B65" s="3416"/>
      <c r="C65" s="1068" t="s">
        <v>1510</v>
      </c>
      <c r="D65" s="1068" t="s">
        <v>1511</v>
      </c>
      <c r="E65" s="1139">
        <v>0.2</v>
      </c>
      <c r="F65" s="1154">
        <v>30</v>
      </c>
    </row>
    <row r="66" spans="1:6" s="1105" customFormat="1" ht="36">
      <c r="A66" s="1154">
        <v>6</v>
      </c>
      <c r="B66" s="3416"/>
      <c r="C66" s="1068" t="s">
        <v>1512</v>
      </c>
      <c r="D66" s="1068" t="s">
        <v>1513</v>
      </c>
      <c r="E66" s="1139">
        <v>0.3</v>
      </c>
      <c r="F66" s="1154">
        <v>50</v>
      </c>
    </row>
    <row r="67" spans="1:6" s="1105" customFormat="1" ht="36">
      <c r="A67" s="1154">
        <v>7</v>
      </c>
      <c r="B67" s="3416"/>
      <c r="C67" s="1068" t="s">
        <v>1514</v>
      </c>
      <c r="D67" s="1068" t="s">
        <v>1515</v>
      </c>
      <c r="E67" s="1139">
        <v>0.2</v>
      </c>
      <c r="F67" s="1154">
        <v>30</v>
      </c>
    </row>
    <row r="68" spans="1:6" s="1105" customFormat="1" ht="36">
      <c r="A68" s="1154">
        <v>8</v>
      </c>
      <c r="B68" s="3416"/>
      <c r="C68" s="1068" t="s">
        <v>1516</v>
      </c>
      <c r="D68" s="1068" t="s">
        <v>1517</v>
      </c>
      <c r="E68" s="1139">
        <v>0.2</v>
      </c>
      <c r="F68" s="1154">
        <v>30</v>
      </c>
    </row>
    <row r="69" spans="1:6" s="1105" customFormat="1" ht="36">
      <c r="A69" s="1154">
        <v>9</v>
      </c>
      <c r="B69" s="3416"/>
      <c r="C69" s="1068" t="s">
        <v>1518</v>
      </c>
      <c r="D69" s="1068" t="s">
        <v>1519</v>
      </c>
      <c r="E69" s="1139">
        <v>0.2</v>
      </c>
      <c r="F69" s="1154">
        <v>30</v>
      </c>
    </row>
    <row r="70" spans="1:6" s="1105" customFormat="1" ht="48">
      <c r="A70" s="1154">
        <v>10</v>
      </c>
      <c r="B70" s="3416"/>
      <c r="C70" s="1068" t="s">
        <v>1520</v>
      </c>
      <c r="D70" s="1068" t="s">
        <v>1521</v>
      </c>
      <c r="E70" s="1139">
        <v>0.2</v>
      </c>
      <c r="F70" s="1154">
        <v>30</v>
      </c>
    </row>
    <row r="71" spans="1:6" s="1105" customFormat="1" ht="48">
      <c r="A71" s="1154">
        <v>11</v>
      </c>
      <c r="B71" s="3416"/>
      <c r="C71" s="1068" t="s">
        <v>1522</v>
      </c>
      <c r="D71" s="1068" t="s">
        <v>1523</v>
      </c>
      <c r="E71" s="1139">
        <v>0.2</v>
      </c>
      <c r="F71" s="1154">
        <v>30</v>
      </c>
    </row>
    <row r="72" spans="1:6" s="1105" customFormat="1" ht="36">
      <c r="A72" s="1154">
        <v>12</v>
      </c>
      <c r="B72" s="3416"/>
      <c r="C72" s="1068" t="s">
        <v>1524</v>
      </c>
      <c r="D72" s="1068" t="s">
        <v>1525</v>
      </c>
      <c r="E72" s="1139">
        <v>0.5</v>
      </c>
      <c r="F72" s="1154">
        <v>80</v>
      </c>
    </row>
    <row r="73" spans="1:6" s="1105" customFormat="1" ht="24">
      <c r="A73" s="1154">
        <v>13</v>
      </c>
      <c r="B73" s="3416"/>
      <c r="C73" s="1068" t="s">
        <v>1526</v>
      </c>
      <c r="D73" s="1068" t="s">
        <v>1527</v>
      </c>
      <c r="E73" s="1139">
        <v>0.4</v>
      </c>
      <c r="F73" s="1154">
        <v>60</v>
      </c>
    </row>
    <row r="74" spans="1:6" s="1105" customFormat="1" ht="24">
      <c r="A74" s="1154">
        <v>14</v>
      </c>
      <c r="B74" s="3416"/>
      <c r="C74" s="1068" t="s">
        <v>1528</v>
      </c>
      <c r="D74" s="1068" t="s">
        <v>1529</v>
      </c>
      <c r="E74" s="1139">
        <v>0.2</v>
      </c>
      <c r="F74" s="1154">
        <v>30</v>
      </c>
    </row>
    <row r="75" spans="1:6" s="1105" customFormat="1" ht="24">
      <c r="A75" s="1154">
        <v>15</v>
      </c>
      <c r="B75" s="3416"/>
      <c r="C75" s="1068" t="s">
        <v>1530</v>
      </c>
      <c r="D75" s="1068" t="s">
        <v>1531</v>
      </c>
      <c r="E75" s="1139">
        <v>0.2</v>
      </c>
      <c r="F75" s="1154">
        <v>30</v>
      </c>
    </row>
    <row r="76" spans="1:6" s="1105" customFormat="1" ht="24">
      <c r="A76" s="1154">
        <v>16</v>
      </c>
      <c r="B76" s="3416" t="s">
        <v>1532</v>
      </c>
      <c r="C76" s="1068" t="s">
        <v>1533</v>
      </c>
      <c r="D76" s="1068" t="s">
        <v>1534</v>
      </c>
      <c r="E76" s="1139">
        <v>0.5</v>
      </c>
      <c r="F76" s="1154">
        <v>80</v>
      </c>
    </row>
    <row r="77" spans="1:6" s="1105" customFormat="1" ht="24">
      <c r="A77" s="1154">
        <v>17</v>
      </c>
      <c r="B77" s="3416"/>
      <c r="C77" s="1068" t="s">
        <v>1535</v>
      </c>
      <c r="D77" s="1068" t="s">
        <v>1536</v>
      </c>
      <c r="E77" s="1139">
        <v>0.5</v>
      </c>
      <c r="F77" s="1154">
        <v>80</v>
      </c>
    </row>
    <row r="78" spans="1:6" s="1105" customFormat="1" ht="24">
      <c r="A78" s="1154">
        <v>18</v>
      </c>
      <c r="B78" s="3416"/>
      <c r="C78" s="1068" t="s">
        <v>1537</v>
      </c>
      <c r="D78" s="1068" t="s">
        <v>1538</v>
      </c>
      <c r="E78" s="1139">
        <v>0.2</v>
      </c>
      <c r="F78" s="1154">
        <v>30</v>
      </c>
    </row>
    <row r="79" spans="1:6" s="1105" customFormat="1" ht="24">
      <c r="A79" s="1154">
        <v>19</v>
      </c>
      <c r="B79" s="3416"/>
      <c r="C79" s="1068" t="s">
        <v>1539</v>
      </c>
      <c r="D79" s="1068" t="s">
        <v>1540</v>
      </c>
      <c r="E79" s="1139">
        <v>0.5</v>
      </c>
      <c r="F79" s="1154">
        <v>80</v>
      </c>
    </row>
    <row r="80" spans="1:6" s="1105" customFormat="1" ht="36">
      <c r="A80" s="1154">
        <v>20</v>
      </c>
      <c r="B80" s="3416"/>
      <c r="C80" s="1068" t="s">
        <v>1541</v>
      </c>
      <c r="D80" s="1068" t="s">
        <v>1542</v>
      </c>
      <c r="E80" s="1139">
        <v>0.2</v>
      </c>
      <c r="F80" s="1154">
        <v>30</v>
      </c>
    </row>
    <row r="81" spans="1:6" s="1105" customFormat="1" ht="36">
      <c r="A81" s="1154">
        <v>21</v>
      </c>
      <c r="B81" s="3416"/>
      <c r="C81" s="1068" t="s">
        <v>1543</v>
      </c>
      <c r="D81" s="1068" t="s">
        <v>1544</v>
      </c>
      <c r="E81" s="1139">
        <v>0.2</v>
      </c>
      <c r="F81" s="1154">
        <v>30</v>
      </c>
    </row>
    <row r="82" spans="1:6" s="1105" customFormat="1" ht="48">
      <c r="A82" s="1154">
        <v>22</v>
      </c>
      <c r="B82" s="3416"/>
      <c r="C82" s="1068" t="s">
        <v>1545</v>
      </c>
      <c r="D82" s="1068" t="s">
        <v>1546</v>
      </c>
      <c r="E82" s="1139">
        <v>0.2</v>
      </c>
      <c r="F82" s="1154">
        <v>30</v>
      </c>
    </row>
    <row r="83" spans="1:6" s="1105" customFormat="1" ht="48">
      <c r="A83" s="1154">
        <v>23</v>
      </c>
      <c r="B83" s="3416"/>
      <c r="C83" s="1068" t="s">
        <v>1547</v>
      </c>
      <c r="D83" s="1068" t="s">
        <v>1548</v>
      </c>
      <c r="E83" s="1139">
        <v>0.2</v>
      </c>
      <c r="F83" s="1154">
        <v>30</v>
      </c>
    </row>
    <row r="84" spans="1:6" s="1105" customFormat="1" ht="36">
      <c r="A84" s="1154">
        <v>24</v>
      </c>
      <c r="B84" s="3416"/>
      <c r="C84" s="1068" t="s">
        <v>1549</v>
      </c>
      <c r="D84" s="1068" t="s">
        <v>1550</v>
      </c>
      <c r="E84" s="1139">
        <v>0.2</v>
      </c>
      <c r="F84" s="1154">
        <v>30</v>
      </c>
    </row>
    <row r="85" spans="1:6" s="1105" customFormat="1" ht="36">
      <c r="A85" s="1154">
        <v>25</v>
      </c>
      <c r="B85" s="3416"/>
      <c r="C85" s="1068" t="s">
        <v>1551</v>
      </c>
      <c r="D85" s="1068" t="s">
        <v>1552</v>
      </c>
      <c r="E85" s="1139">
        <v>0.5</v>
      </c>
      <c r="F85" s="1154">
        <v>80</v>
      </c>
    </row>
    <row r="86" spans="1:6" s="1105" customFormat="1" ht="36">
      <c r="A86" s="1154">
        <v>26</v>
      </c>
      <c r="B86" s="3416"/>
      <c r="C86" s="1068" t="s">
        <v>1553</v>
      </c>
      <c r="D86" s="1068" t="s">
        <v>1554</v>
      </c>
      <c r="E86" s="1139">
        <v>0.2</v>
      </c>
      <c r="F86" s="1154">
        <v>30</v>
      </c>
    </row>
    <row r="87" spans="1:6" s="1105" customFormat="1" ht="36">
      <c r="A87" s="1154">
        <v>27</v>
      </c>
      <c r="B87" s="3416"/>
      <c r="C87" s="1068" t="s">
        <v>1555</v>
      </c>
      <c r="D87" s="1068" t="s">
        <v>1556</v>
      </c>
      <c r="E87" s="1139">
        <v>0.2</v>
      </c>
      <c r="F87" s="1154">
        <v>30</v>
      </c>
    </row>
    <row r="88" spans="1:6" s="1105" customFormat="1" ht="36">
      <c r="A88" s="1154">
        <v>28</v>
      </c>
      <c r="B88" s="3416"/>
      <c r="C88" s="1068" t="s">
        <v>1557</v>
      </c>
      <c r="D88" s="1068" t="s">
        <v>1558</v>
      </c>
      <c r="E88" s="1139">
        <v>0.2</v>
      </c>
      <c r="F88" s="1154">
        <v>30</v>
      </c>
    </row>
    <row r="89" spans="1:6" s="1105" customFormat="1" ht="24">
      <c r="A89" s="1154">
        <v>29</v>
      </c>
      <c r="B89" s="3416"/>
      <c r="C89" s="1068" t="s">
        <v>1559</v>
      </c>
      <c r="D89" s="1068" t="s">
        <v>1560</v>
      </c>
      <c r="E89" s="1139">
        <v>0.2</v>
      </c>
      <c r="F89" s="1154">
        <v>30</v>
      </c>
    </row>
    <row r="90" spans="1:6" s="1105" customFormat="1" ht="24">
      <c r="A90" s="1154">
        <v>30</v>
      </c>
      <c r="B90" s="3416"/>
      <c r="C90" s="1068" t="s">
        <v>1561</v>
      </c>
      <c r="D90" s="1068" t="s">
        <v>1562</v>
      </c>
      <c r="E90" s="1139">
        <v>0.2</v>
      </c>
      <c r="F90" s="1154">
        <v>30</v>
      </c>
    </row>
    <row r="91" spans="1:6" s="1105" customFormat="1" ht="36">
      <c r="A91" s="1154">
        <v>31</v>
      </c>
      <c r="B91" s="3416"/>
      <c r="C91" s="1068" t="s">
        <v>1563</v>
      </c>
      <c r="D91" s="1068" t="s">
        <v>1564</v>
      </c>
      <c r="E91" s="1139">
        <v>0.2</v>
      </c>
      <c r="F91" s="1154">
        <v>30</v>
      </c>
    </row>
    <row r="92" spans="1:6" s="1105" customFormat="1" ht="24">
      <c r="A92" s="1154">
        <v>32</v>
      </c>
      <c r="B92" s="3416" t="s">
        <v>1565</v>
      </c>
      <c r="C92" s="1154" t="s">
        <v>1566</v>
      </c>
      <c r="D92" s="1068" t="s">
        <v>1567</v>
      </c>
      <c r="E92" s="1139">
        <v>0.2</v>
      </c>
      <c r="F92" s="1154">
        <v>30</v>
      </c>
    </row>
    <row r="93" spans="1:6" s="1105" customFormat="1" ht="36">
      <c r="A93" s="1154">
        <v>33</v>
      </c>
      <c r="B93" s="3416"/>
      <c r="C93" s="1154" t="s">
        <v>1568</v>
      </c>
      <c r="D93" s="1068" t="s">
        <v>1569</v>
      </c>
      <c r="E93" s="1139">
        <v>0.2</v>
      </c>
      <c r="F93" s="1154">
        <v>30</v>
      </c>
    </row>
    <row r="94" spans="1:6" s="1105" customFormat="1" ht="48">
      <c r="A94" s="1154">
        <v>34</v>
      </c>
      <c r="B94" s="3416"/>
      <c r="C94" s="1154" t="s">
        <v>1570</v>
      </c>
      <c r="D94" s="1068" t="s">
        <v>1571</v>
      </c>
      <c r="E94" s="1139">
        <v>0.2</v>
      </c>
      <c r="F94" s="1154">
        <v>30</v>
      </c>
    </row>
    <row r="95" spans="1:6" s="1105" customFormat="1" ht="36">
      <c r="A95" s="1154">
        <v>35</v>
      </c>
      <c r="B95" s="3416"/>
      <c r="C95" s="1154" t="s">
        <v>1572</v>
      </c>
      <c r="D95" s="1068" t="s">
        <v>1573</v>
      </c>
      <c r="E95" s="1139">
        <v>0.2</v>
      </c>
      <c r="F95" s="1154">
        <v>30</v>
      </c>
    </row>
    <row r="96" spans="1:6" s="1105" customFormat="1" ht="48">
      <c r="A96" s="1154">
        <v>36</v>
      </c>
      <c r="B96" s="3416"/>
      <c r="C96" s="1068" t="s">
        <v>1574</v>
      </c>
      <c r="D96" s="1068" t="s">
        <v>1575</v>
      </c>
      <c r="E96" s="1139">
        <v>0.2</v>
      </c>
      <c r="F96" s="1154">
        <v>30</v>
      </c>
    </row>
    <row r="97" spans="1:6" s="1105" customFormat="1" ht="36">
      <c r="A97" s="1154">
        <v>37</v>
      </c>
      <c r="B97" s="3416"/>
      <c r="C97" s="1154" t="s">
        <v>1576</v>
      </c>
      <c r="D97" s="1068" t="s">
        <v>1577</v>
      </c>
      <c r="E97" s="1139">
        <v>0.2</v>
      </c>
      <c r="F97" s="1154">
        <v>30</v>
      </c>
    </row>
    <row r="98" spans="1:6" s="1105" customFormat="1" ht="36">
      <c r="A98" s="1154">
        <v>38</v>
      </c>
      <c r="B98" s="3416"/>
      <c r="C98" s="1154" t="s">
        <v>1578</v>
      </c>
      <c r="D98" s="1068" t="s">
        <v>1579</v>
      </c>
      <c r="E98" s="1139">
        <v>0.2</v>
      </c>
      <c r="F98" s="1154">
        <v>30</v>
      </c>
    </row>
    <row r="99" spans="1:6" s="1105" customFormat="1" ht="36">
      <c r="A99" s="1154">
        <v>39</v>
      </c>
      <c r="B99" s="3416" t="s">
        <v>1580</v>
      </c>
      <c r="C99" s="1154" t="s">
        <v>1581</v>
      </c>
      <c r="D99" s="1068" t="s">
        <v>1582</v>
      </c>
      <c r="E99" s="1139">
        <v>0.3</v>
      </c>
      <c r="F99" s="1154">
        <v>50</v>
      </c>
    </row>
    <row r="100" spans="1:6" s="1105" customFormat="1" ht="24">
      <c r="A100" s="1154">
        <v>40</v>
      </c>
      <c r="B100" s="3416"/>
      <c r="C100" s="1154" t="s">
        <v>1583</v>
      </c>
      <c r="D100" s="1068" t="s">
        <v>1584</v>
      </c>
      <c r="E100" s="1139">
        <v>0.2</v>
      </c>
      <c r="F100" s="1154">
        <v>30</v>
      </c>
    </row>
    <row r="101" spans="1:6" s="1105" customFormat="1" ht="36">
      <c r="A101" s="1154">
        <v>41</v>
      </c>
      <c r="B101" s="3416"/>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16" t="s">
        <v>1595</v>
      </c>
      <c r="C105" s="1154" t="s">
        <v>1596</v>
      </c>
      <c r="D105" s="1068" t="s">
        <v>1597</v>
      </c>
      <c r="E105" s="1139">
        <v>0.2</v>
      </c>
      <c r="F105" s="1154">
        <v>30</v>
      </c>
    </row>
    <row r="106" spans="1:6" s="1105" customFormat="1" ht="36">
      <c r="A106" s="1154">
        <v>46</v>
      </c>
      <c r="B106" s="3416"/>
      <c r="C106" s="1154" t="s">
        <v>1598</v>
      </c>
      <c r="D106" s="1068" t="s">
        <v>1599</v>
      </c>
      <c r="E106" s="1139">
        <v>0.2</v>
      </c>
      <c r="F106" s="1154">
        <v>30</v>
      </c>
    </row>
    <row r="107" spans="1:6" s="1105" customFormat="1" ht="36">
      <c r="A107" s="1154">
        <v>47</v>
      </c>
      <c r="B107" s="3416" t="s">
        <v>1600</v>
      </c>
      <c r="C107" s="1154" t="s">
        <v>1601</v>
      </c>
      <c r="D107" s="1068" t="s">
        <v>1602</v>
      </c>
      <c r="E107" s="1139">
        <v>0.3</v>
      </c>
      <c r="F107" s="1154">
        <v>50</v>
      </c>
    </row>
    <row r="108" spans="1:6" s="1105" customFormat="1" ht="36">
      <c r="A108" s="1154">
        <v>48</v>
      </c>
      <c r="B108" s="3416"/>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16" t="s">
        <v>1611</v>
      </c>
      <c r="C111" s="1154" t="s">
        <v>1612</v>
      </c>
      <c r="D111" s="1068" t="s">
        <v>1613</v>
      </c>
      <c r="E111" s="1139">
        <v>0.2</v>
      </c>
      <c r="F111" s="1154">
        <v>30</v>
      </c>
    </row>
    <row r="112" spans="1:6" s="1105" customFormat="1" ht="24">
      <c r="A112" s="1154">
        <v>52</v>
      </c>
      <c r="B112" s="3416"/>
      <c r="C112" s="1154" t="s">
        <v>1614</v>
      </c>
      <c r="D112" s="1068" t="s">
        <v>1615</v>
      </c>
      <c r="E112" s="1139">
        <v>0.2</v>
      </c>
      <c r="F112" s="1154">
        <v>30</v>
      </c>
    </row>
    <row r="113" spans="1:14" s="1105" customFormat="1" ht="24">
      <c r="A113" s="1154">
        <v>53</v>
      </c>
      <c r="B113" s="3416"/>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16" t="s">
        <v>1624</v>
      </c>
      <c r="C116" s="1154" t="s">
        <v>1625</v>
      </c>
      <c r="D116" s="1068" t="s">
        <v>1626</v>
      </c>
      <c r="E116" s="1139">
        <v>0.2</v>
      </c>
      <c r="F116" s="1154">
        <v>30</v>
      </c>
    </row>
    <row r="117" spans="1:14" ht="36">
      <c r="A117" s="1154">
        <v>57</v>
      </c>
      <c r="B117" s="3416"/>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15" t="s">
        <v>1633</v>
      </c>
      <c r="B121" s="3415"/>
      <c r="C121" s="3415"/>
      <c r="D121" s="3415"/>
      <c r="E121" s="3415"/>
      <c r="F121" s="3415"/>
      <c r="G121" s="3415"/>
      <c r="H121" s="3415"/>
      <c r="I121" s="3415"/>
      <c r="J121" s="341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8" t="s">
        <v>1039</v>
      </c>
      <c r="B1" s="3428"/>
      <c r="C1" s="3428"/>
      <c r="D1" s="3428"/>
      <c r="E1" s="3428"/>
      <c r="F1" s="342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9" t="s">
        <v>1052</v>
      </c>
      <c r="B2" s="3429"/>
      <c r="C2" s="3429"/>
      <c r="D2" s="3429"/>
      <c r="E2" s="3429"/>
      <c r="F2" s="342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2" t="s">
        <v>2081</v>
      </c>
      <c r="B1" s="3432"/>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6" t="s">
        <v>2376</v>
      </c>
      <c r="F1" s="2387">
        <f ca="1">J54</f>
        <v>-1.5</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5" t="s">
        <v>2463</v>
      </c>
      <c r="E7" s="2489"/>
      <c r="F7" s="2490"/>
      <c r="G7" s="1593"/>
      <c r="H7" s="781">
        <v>1</v>
      </c>
      <c r="I7" s="782" t="s">
        <v>2460</v>
      </c>
      <c r="J7" s="53">
        <f ca="1">J8+J12+J14</f>
        <v>0</v>
      </c>
      <c r="K7" s="2495" t="s">
        <v>2463</v>
      </c>
      <c r="L7" s="2489"/>
      <c r="M7" s="2490"/>
    </row>
    <row r="8" spans="1:25" ht="18" customHeight="1">
      <c r="A8" s="1832" t="s">
        <v>1824</v>
      </c>
      <c r="B8" s="3434" t="s">
        <v>2465</v>
      </c>
      <c r="C8" s="1827">
        <f ca="1">ROUND(F8*F10*F9*(1-F11)/10000,0)</f>
        <v>0</v>
      </c>
      <c r="D8" s="1824" t="s">
        <v>2536</v>
      </c>
      <c r="E8" s="61" t="s">
        <v>637</v>
      </c>
      <c r="F8" s="785">
        <f ca="1">INDIRECT("'数据-取费表'!u"&amp;$G$1)</f>
        <v>0</v>
      </c>
      <c r="G8" s="1593"/>
      <c r="H8" s="2503" t="s">
        <v>1824</v>
      </c>
      <c r="I8" s="3434" t="s">
        <v>2465</v>
      </c>
      <c r="J8" s="783">
        <f ca="1">ROUND(M8*M10*M9*(1-M11)/10000,0)</f>
        <v>0</v>
      </c>
      <c r="K8" s="341" t="s">
        <v>2536</v>
      </c>
      <c r="L8" s="784" t="s">
        <v>1738</v>
      </c>
      <c r="M8" s="785">
        <f ca="1">INDIRECT("'数据-取费表'!z"&amp;$G$1)</f>
        <v>0</v>
      </c>
    </row>
    <row r="9" spans="1:25" ht="18" customHeight="1">
      <c r="A9" s="2499"/>
      <c r="B9" s="3435"/>
      <c r="C9" s="1828"/>
      <c r="D9" s="1825"/>
      <c r="E9" s="61" t="s">
        <v>638</v>
      </c>
      <c r="F9" s="785">
        <f ca="1">IF(INDIRECT("'数据-取费表'!ah"&amp;$G$1)="",INDIRECT("'数据-取费表'!k"&amp;$G$1),INDIRECT("'数据-取费表'!ah"&amp;$G$1))</f>
        <v>0</v>
      </c>
      <c r="G9" s="1593"/>
      <c r="H9" s="2488"/>
      <c r="I9" s="3435"/>
      <c r="J9" s="788"/>
      <c r="K9" s="789"/>
      <c r="L9" s="784" t="s">
        <v>1739</v>
      </c>
      <c r="M9" s="785">
        <f ca="1">F9</f>
        <v>0</v>
      </c>
    </row>
    <row r="10" spans="1:25" ht="18" customHeight="1">
      <c r="A10" s="2492"/>
      <c r="B10" s="3436"/>
      <c r="C10" s="1828"/>
      <c r="D10" s="1825"/>
      <c r="E10" s="61" t="s">
        <v>639</v>
      </c>
      <c r="F10" s="785">
        <f ca="1">INDIRECT("'数据-取费表'!ai"&amp;$G$1)</f>
        <v>0</v>
      </c>
      <c r="G10" s="1593"/>
      <c r="H10" s="2488"/>
      <c r="I10" s="3436"/>
      <c r="J10" s="788"/>
      <c r="K10" s="789"/>
      <c r="L10" s="784" t="s">
        <v>1740</v>
      </c>
      <c r="M10" s="785">
        <f ca="1">INDIRECT("'数据-取费表'!ai"&amp;$G$1)</f>
        <v>0</v>
      </c>
    </row>
    <row r="11" spans="1:25" ht="18" customHeight="1">
      <c r="A11" s="786"/>
      <c r="B11" s="3437"/>
      <c r="C11" s="1828"/>
      <c r="D11" s="1825"/>
      <c r="E11" s="61" t="s">
        <v>640</v>
      </c>
      <c r="F11" s="794">
        <f ca="1">INDIRECT("'数据-取费表'!w"&amp;$G$1)</f>
        <v>0</v>
      </c>
      <c r="G11" s="1593"/>
      <c r="H11" s="2504"/>
      <c r="I11" s="3436"/>
      <c r="J11" s="788"/>
      <c r="K11" s="789"/>
      <c r="L11" s="795" t="s">
        <v>1741</v>
      </c>
      <c r="M11" s="796">
        <f ca="1">INDIRECT("'数据-取费表'!ab"&amp;$G$1)</f>
        <v>0</v>
      </c>
    </row>
    <row r="12" spans="1:25" ht="18" customHeight="1">
      <c r="A12" s="1832" t="s">
        <v>1825</v>
      </c>
      <c r="B12" s="2493" t="s">
        <v>2461</v>
      </c>
      <c r="C12" s="799">
        <f ca="1">ROUND(IF(F12="押一",C8/12*F13,IF(F12="押二",C8/12*2*F13,IF(F12="押三",C8/12*3*F13,C13*F13))),0)</f>
        <v>0</v>
      </c>
      <c r="D12" s="2500" t="s">
        <v>2974</v>
      </c>
      <c r="E12" s="2497" t="s">
        <v>2466</v>
      </c>
      <c r="F12" s="2620"/>
      <c r="G12" s="1593"/>
      <c r="H12" s="2560" t="s">
        <v>1825</v>
      </c>
      <c r="I12" s="2565" t="s">
        <v>2461</v>
      </c>
      <c r="J12" s="783">
        <f ca="1">ROUND(IF(M12="押一",J8/12*M13,IF(M12="押二",J8/12*2*M13,IF(M12="押三",J8/12*3*M13,J13*M13))),0)</f>
        <v>0</v>
      </c>
      <c r="K12" s="2500" t="s">
        <v>2974</v>
      </c>
      <c r="L12" s="2497" t="s">
        <v>2466</v>
      </c>
      <c r="M12" s="2620"/>
    </row>
    <row r="13" spans="1:25" ht="18" customHeight="1">
      <c r="A13" s="790"/>
      <c r="B13" s="2494" t="s">
        <v>2575</v>
      </c>
      <c r="C13" s="2498"/>
      <c r="D13" s="789"/>
      <c r="E13" s="2497" t="s">
        <v>2458</v>
      </c>
      <c r="F13" s="796">
        <f ca="1">'数据-取费表'!B39</f>
        <v>1.4999999999999999E-2</v>
      </c>
      <c r="G13" s="1593"/>
      <c r="H13" s="2561"/>
      <c r="I13" s="2494" t="s">
        <v>2575</v>
      </c>
      <c r="J13" s="2498"/>
      <c r="K13" s="2562"/>
      <c r="L13" s="2497" t="s">
        <v>2458</v>
      </c>
      <c r="M13" s="2491">
        <f ca="1">'数据-取费表'!B39</f>
        <v>1.4999999999999999E-2</v>
      </c>
    </row>
    <row r="14" spans="1:25" ht="18" customHeight="1" thickBot="1">
      <c r="A14" s="2536" t="s">
        <v>2469</v>
      </c>
      <c r="B14" s="2537" t="s">
        <v>2462</v>
      </c>
      <c r="C14" s="2538"/>
      <c r="D14" s="2539"/>
      <c r="E14" s="2540"/>
      <c r="F14" s="2541"/>
      <c r="G14" s="1593"/>
      <c r="H14" s="2550" t="s">
        <v>2469</v>
      </c>
      <c r="I14" s="2563" t="s">
        <v>2462</v>
      </c>
      <c r="J14" s="2564"/>
      <c r="K14" s="2539"/>
      <c r="L14" s="2540"/>
      <c r="M14" s="2553"/>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10</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1"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1.1000000000000001E-3</v>
      </c>
      <c r="D26" s="257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0"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9" t="s">
        <v>1883</v>
      </c>
      <c r="B31" s="2540" t="s">
        <v>2825</v>
      </c>
      <c r="C31" s="2543">
        <f ca="1">ROUND((C21+C22+C25+C28)/(1-F23-C26-C29-C30),0)</f>
        <v>0</v>
      </c>
      <c r="D31" s="2544"/>
      <c r="E31" s="2545"/>
      <c r="F31" s="2546"/>
      <c r="G31" s="1594"/>
      <c r="H31" s="823" t="s">
        <v>1872</v>
      </c>
      <c r="I31" s="3011"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6"/>
      <c r="F32" s="2490"/>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10</v>
      </c>
      <c r="G36" s="2062"/>
      <c r="H36" s="2065"/>
      <c r="I36" s="3433"/>
      <c r="J36" s="2079"/>
      <c r="K36" s="2080"/>
      <c r="L36" s="2079"/>
      <c r="M36" s="2079"/>
    </row>
    <row r="37" spans="1:18" ht="18" customHeight="1">
      <c r="A37" s="815"/>
      <c r="B37" s="793"/>
      <c r="C37" s="69"/>
      <c r="D37" s="816"/>
      <c r="E37" s="784" t="s">
        <v>674</v>
      </c>
      <c r="F37" s="785">
        <f ca="1">INDIRECT("'数据-取费表'!r"&amp;$G$1)</f>
        <v>0</v>
      </c>
      <c r="G37" s="2062"/>
      <c r="H37" s="2065"/>
      <c r="I37" s="3433"/>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59" t="s">
        <v>1879</v>
      </c>
      <c r="B40" s="2545" t="s">
        <v>666</v>
      </c>
      <c r="C40" s="2543">
        <f ca="1">ROUND(C7*F40,1)</f>
        <v>0</v>
      </c>
      <c r="D40" s="2544" t="s">
        <v>683</v>
      </c>
      <c r="E40" s="2545" t="s">
        <v>649</v>
      </c>
      <c r="F40" s="2541">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7" t="s">
        <v>2345</v>
      </c>
      <c r="J47" s="2378"/>
      <c r="K47" s="2379"/>
      <c r="L47" s="3158" t="str">
        <f ca="1">IF(M48="住宅",0,IF(L49&gt;J52,L61,J61))</f>
        <v>0</v>
      </c>
      <c r="O47" s="2393" t="s">
        <v>2412</v>
      </c>
      <c r="P47" s="1593"/>
      <c r="Q47" s="1605"/>
      <c r="R47" s="1593"/>
    </row>
    <row r="48" spans="1:18" s="2059" customFormat="1" ht="18" customHeight="1" thickBot="1">
      <c r="A48" s="2084"/>
      <c r="C48" s="2087"/>
      <c r="D48" s="2088"/>
      <c r="E48" s="2088"/>
      <c r="F48" s="2089"/>
      <c r="G48" s="2090"/>
      <c r="I48" s="3148" t="s">
        <v>2346</v>
      </c>
      <c r="J48" s="2380"/>
      <c r="K48" s="3155" t="s">
        <v>2351</v>
      </c>
      <c r="L48" s="3159">
        <f ca="1">INDIRECT("'数据-取费表'!d"&amp;$G$1)</f>
        <v>0</v>
      </c>
      <c r="M48" s="3119" t="str">
        <f>IF(ISNUMBER(FIND("住宅",C1)),"住宅","非住宅")</f>
        <v>非住宅</v>
      </c>
      <c r="O48" s="2394" t="s">
        <v>2377</v>
      </c>
      <c r="P48" s="2395" t="s">
        <v>2378</v>
      </c>
      <c r="Q48" s="2396" t="s">
        <v>2379</v>
      </c>
      <c r="R48" s="2395" t="s">
        <v>2380</v>
      </c>
    </row>
    <row r="49" spans="1:18" s="2059" customFormat="1" ht="18" customHeight="1" thickBot="1">
      <c r="A49" s="2084"/>
      <c r="D49" s="2091"/>
      <c r="E49" s="2092"/>
      <c r="F49" s="2089"/>
      <c r="G49" s="2090"/>
      <c r="H49" s="2093"/>
      <c r="I49" s="3124" t="s">
        <v>2347</v>
      </c>
      <c r="J49" s="2381"/>
      <c r="K49" s="3156" t="s">
        <v>2353</v>
      </c>
      <c r="L49" s="1910">
        <f ca="1">INDIRECT("'数据-取费表'!f"&amp;$G$1)</f>
        <v>0</v>
      </c>
      <c r="O49" s="2397" t="s">
        <v>2381</v>
      </c>
      <c r="P49" s="2398" t="s">
        <v>2407</v>
      </c>
      <c r="Q49" s="2399">
        <f ca="1">C41+J31</f>
        <v>0</v>
      </c>
      <c r="R49" s="2398" t="s">
        <v>2382</v>
      </c>
    </row>
    <row r="50" spans="1:18" s="2059" customFormat="1" ht="18" customHeight="1" thickBot="1">
      <c r="A50" s="2084"/>
      <c r="D50" s="2094"/>
      <c r="E50" s="2094"/>
      <c r="F50" s="2088"/>
      <c r="G50" s="2095"/>
      <c r="H50" s="2093"/>
      <c r="I50" s="3124" t="s">
        <v>2348</v>
      </c>
      <c r="J50" s="2382"/>
      <c r="K50" s="3157" t="s">
        <v>2354</v>
      </c>
      <c r="L50" s="2383"/>
      <c r="O50" s="2397" t="s">
        <v>2383</v>
      </c>
      <c r="P50" s="2398" t="s">
        <v>2408</v>
      </c>
      <c r="Q50" s="2399" t="str">
        <f ca="1">J61</f>
        <v>0</v>
      </c>
      <c r="R50" s="2398" t="s">
        <v>2384</v>
      </c>
    </row>
    <row r="51" spans="1:18" s="2059" customFormat="1" ht="18" customHeight="1" thickBot="1">
      <c r="A51" s="2096"/>
      <c r="D51" s="2094"/>
      <c r="E51" s="2094"/>
      <c r="F51" s="2085"/>
      <c r="H51" s="2093"/>
      <c r="I51" s="3124" t="s">
        <v>2349</v>
      </c>
      <c r="J51" s="3152">
        <f>SUMPRODUCT((I64:I66=J48)*(J63:L63=J49)*(J64:L66))</f>
        <v>0</v>
      </c>
      <c r="K51" s="3157" t="s">
        <v>2355</v>
      </c>
      <c r="L51" s="2383"/>
      <c r="O51" s="2400" t="s">
        <v>2385</v>
      </c>
      <c r="P51" s="2398" t="s">
        <v>2409</v>
      </c>
      <c r="Q51" s="2399">
        <f ca="1">C31</f>
        <v>0</v>
      </c>
      <c r="R51" s="2398"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0" t="s">
        <v>2386</v>
      </c>
      <c r="P52" s="2398" t="s">
        <v>2387</v>
      </c>
      <c r="Q52" s="2401" t="e">
        <f ca="1">J59</f>
        <v>#VALUE!</v>
      </c>
      <c r="R52" s="2402"/>
    </row>
    <row r="53" spans="1:18" s="2059" customFormat="1" ht="18" customHeight="1" thickBot="1">
      <c r="A53" s="2096"/>
      <c r="F53" s="2085"/>
      <c r="I53" s="3150" t="s">
        <v>2423</v>
      </c>
      <c r="J53" s="2384"/>
      <c r="K53" s="3150" t="s">
        <v>2422</v>
      </c>
      <c r="L53" s="2384"/>
      <c r="O53" s="2400" t="s">
        <v>2388</v>
      </c>
      <c r="P53" s="2398" t="s">
        <v>2389</v>
      </c>
      <c r="Q53" s="2401">
        <f>J53</f>
        <v>0</v>
      </c>
      <c r="R53" s="2402"/>
    </row>
    <row r="54" spans="1:18" s="2059" customFormat="1" ht="29.25" thickBot="1">
      <c r="A54" s="2096"/>
      <c r="I54" s="3151" t="s">
        <v>2979</v>
      </c>
      <c r="J54" s="3154">
        <f ca="1">IF(M48="住宅",MAX(J52,L49-'数据-取费表'!B20),MIN(J52,L49-'数据-取费表'!B20))</f>
        <v>-1.5</v>
      </c>
      <c r="K54" s="3438"/>
      <c r="L54" s="3439"/>
      <c r="O54" s="2400" t="s">
        <v>2390</v>
      </c>
      <c r="P54" s="2398" t="s">
        <v>2391</v>
      </c>
      <c r="Q54" s="2399">
        <f ca="1">J54</f>
        <v>-1.5</v>
      </c>
      <c r="R54" s="2398"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2393</v>
      </c>
      <c r="P55" s="2398" t="s">
        <v>2410</v>
      </c>
      <c r="Q55" s="2399">
        <f ca="1">Q49+Q50</f>
        <v>0</v>
      </c>
      <c r="R55" s="2402" t="s">
        <v>2394</v>
      </c>
    </row>
    <row r="56" spans="1:18" s="2059" customFormat="1" ht="16.5" thickBot="1">
      <c r="A56" s="2096"/>
      <c r="B56" s="2097"/>
      <c r="C56" s="2097"/>
      <c r="I56" s="3163" t="s">
        <v>2357</v>
      </c>
      <c r="J56" s="3099" t="e">
        <f ca="1">ROUND(IF(J48="钢混",J58/J51,1-(1-2%)*(J51-J58)/J51),3)</f>
        <v>#VALUE!</v>
      </c>
      <c r="K56" s="3164" t="s">
        <v>2358</v>
      </c>
      <c r="L56" s="2385"/>
      <c r="O56" s="2403" t="s">
        <v>2413</v>
      </c>
      <c r="P56" s="1593"/>
      <c r="Q56" s="1605"/>
      <c r="R56" s="1593"/>
    </row>
    <row r="57" spans="1:18" s="2059" customFormat="1" ht="43.5" thickBot="1">
      <c r="A57" s="2096"/>
      <c r="B57" s="2097"/>
      <c r="C57" s="2097"/>
      <c r="I57" s="3165" t="s">
        <v>2359</v>
      </c>
      <c r="J57" s="3175" t="s">
        <v>1678</v>
      </c>
      <c r="K57" s="3124" t="s">
        <v>2364</v>
      </c>
      <c r="L57" s="1910">
        <f ca="1">IF(L49&lt;J52,"——",L49-J52)</f>
        <v>0</v>
      </c>
      <c r="O57" s="2394" t="s">
        <v>2377</v>
      </c>
      <c r="P57" s="2395" t="s">
        <v>2378</v>
      </c>
      <c r="Q57" s="2396" t="s">
        <v>2379</v>
      </c>
      <c r="R57" s="2395"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7" t="s">
        <v>2381</v>
      </c>
      <c r="P58" s="2398" t="s">
        <v>2407</v>
      </c>
      <c r="Q58" s="2399">
        <f ca="1">C41+J31</f>
        <v>0</v>
      </c>
      <c r="R58" s="2398"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7" t="s">
        <v>2383</v>
      </c>
      <c r="P59" s="2398" t="s">
        <v>2414</v>
      </c>
      <c r="Q59" s="2399" t="e">
        <f ca="1">L61</f>
        <v>#DIV/0!</v>
      </c>
      <c r="R59" s="2402"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0" t="s">
        <v>2385</v>
      </c>
      <c r="P60" s="2398" t="s">
        <v>2415</v>
      </c>
      <c r="Q60" s="2399">
        <f>IF(L56="比较法",L50,IF(L56="基准地价",L51,0))</f>
        <v>0</v>
      </c>
      <c r="R60" s="2398"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0" t="s">
        <v>2386</v>
      </c>
      <c r="P61" s="2398" t="s">
        <v>2395</v>
      </c>
      <c r="Q61" s="2401">
        <f>L53</f>
        <v>0</v>
      </c>
      <c r="R61" s="2402"/>
    </row>
    <row r="62" spans="1:18" s="2059" customFormat="1" ht="20.25" thickBot="1">
      <c r="A62" s="2096"/>
      <c r="B62" s="2097"/>
      <c r="C62" s="2097"/>
      <c r="K62" s="2086"/>
      <c r="O62" s="2400" t="s">
        <v>2388</v>
      </c>
      <c r="P62" s="2398" t="s">
        <v>2396</v>
      </c>
      <c r="Q62" s="2399">
        <f ca="1">L59</f>
        <v>0</v>
      </c>
      <c r="R62" s="2402" t="s">
        <v>2397</v>
      </c>
    </row>
    <row r="63" spans="1:18" s="2059" customFormat="1" ht="20.25" thickBot="1">
      <c r="A63" s="2096"/>
      <c r="B63" s="2097"/>
      <c r="C63" s="2097"/>
      <c r="I63" s="3171" t="s">
        <v>2369</v>
      </c>
      <c r="J63" s="3172" t="s">
        <v>2370</v>
      </c>
      <c r="K63" s="3172" t="s">
        <v>2371</v>
      </c>
      <c r="L63" s="3172" t="s">
        <v>2352</v>
      </c>
      <c r="M63" s="3173" t="s">
        <v>2942</v>
      </c>
      <c r="O63" s="2400" t="s">
        <v>2390</v>
      </c>
      <c r="P63" s="2398" t="s">
        <v>2398</v>
      </c>
      <c r="Q63" s="2399">
        <f ca="1">L60</f>
        <v>0</v>
      </c>
      <c r="R63" s="2402" t="s">
        <v>2399</v>
      </c>
    </row>
    <row r="64" spans="1:18" s="2059" customFormat="1" ht="15.75" thickBot="1">
      <c r="A64" s="2096"/>
      <c r="B64" s="2097"/>
      <c r="C64" s="2097"/>
      <c r="I64" s="3171" t="s">
        <v>2372</v>
      </c>
      <c r="J64" s="3172">
        <v>70</v>
      </c>
      <c r="K64" s="3172">
        <v>50</v>
      </c>
      <c r="L64" s="3172">
        <v>80</v>
      </c>
      <c r="M64" s="3174">
        <v>0.02</v>
      </c>
      <c r="O64" s="2397" t="s">
        <v>2393</v>
      </c>
      <c r="P64" s="2398" t="s">
        <v>2410</v>
      </c>
      <c r="Q64" s="2399" t="e">
        <f ca="1">Q58+Q59</f>
        <v>#DIV/0!</v>
      </c>
      <c r="R64" s="2402" t="s">
        <v>2394</v>
      </c>
    </row>
    <row r="65" spans="1:18" s="2059" customFormat="1" ht="16.5" thickBot="1">
      <c r="A65" s="2096"/>
      <c r="B65" s="2097"/>
      <c r="C65" s="2097"/>
      <c r="I65" s="3171" t="s">
        <v>2373</v>
      </c>
      <c r="J65" s="3172">
        <v>50</v>
      </c>
      <c r="K65" s="3172">
        <v>35</v>
      </c>
      <c r="L65" s="3172">
        <v>60</v>
      </c>
      <c r="M65" s="846">
        <v>0</v>
      </c>
      <c r="O65" s="2403" t="s">
        <v>2417</v>
      </c>
      <c r="P65" s="1593"/>
      <c r="Q65" s="1605"/>
      <c r="R65" s="1593"/>
    </row>
    <row r="66" spans="1:18" s="2059" customFormat="1" ht="15.75" thickBot="1">
      <c r="A66" s="2096"/>
      <c r="B66" s="2097"/>
      <c r="C66" s="2097"/>
      <c r="I66" s="3171" t="s">
        <v>2374</v>
      </c>
      <c r="J66" s="3172">
        <v>40</v>
      </c>
      <c r="K66" s="3172">
        <v>30</v>
      </c>
      <c r="L66" s="3172">
        <v>50</v>
      </c>
      <c r="M66" s="3174">
        <v>0.02</v>
      </c>
      <c r="O66" s="2394" t="s">
        <v>2377</v>
      </c>
      <c r="P66" s="2395" t="s">
        <v>2378</v>
      </c>
      <c r="Q66" s="2396" t="s">
        <v>2379</v>
      </c>
      <c r="R66" s="2395" t="s">
        <v>2380</v>
      </c>
    </row>
    <row r="67" spans="1:18" s="2059" customFormat="1" ht="15.75" thickBot="1">
      <c r="A67" s="2096"/>
      <c r="B67" s="2097"/>
      <c r="C67" s="2097"/>
      <c r="K67" s="2086"/>
      <c r="O67" s="2397" t="s">
        <v>2381</v>
      </c>
      <c r="P67" s="2398" t="s">
        <v>2407</v>
      </c>
      <c r="Q67" s="2399">
        <f ca="1">C41+J31</f>
        <v>0</v>
      </c>
      <c r="R67" s="2398" t="s">
        <v>2382</v>
      </c>
    </row>
    <row r="68" spans="1:18" s="2059" customFormat="1" ht="20.25" thickBot="1">
      <c r="A68" s="2096"/>
      <c r="B68" s="2097"/>
      <c r="C68" s="2097"/>
      <c r="K68" s="2086"/>
      <c r="O68" s="2397" t="s">
        <v>2383</v>
      </c>
      <c r="P68" s="2398" t="s">
        <v>2414</v>
      </c>
      <c r="Q68" s="2399" t="e">
        <f ca="1">L61</f>
        <v>#DIV/0!</v>
      </c>
      <c r="R68" s="2402" t="s">
        <v>2416</v>
      </c>
    </row>
    <row r="69" spans="1:18" s="2059" customFormat="1" ht="21.75" thickBot="1">
      <c r="A69" s="2096"/>
      <c r="B69" s="2097"/>
      <c r="C69" s="2097"/>
      <c r="K69" s="2086"/>
      <c r="O69" s="2400" t="s">
        <v>2385</v>
      </c>
      <c r="P69" s="2398" t="s">
        <v>2415</v>
      </c>
      <c r="Q69" s="2404">
        <f ca="1">L52</f>
        <v>0</v>
      </c>
      <c r="R69" s="2405" t="s">
        <v>2418</v>
      </c>
    </row>
    <row r="70" spans="1:18" s="2059" customFormat="1" ht="20.25" thickBot="1">
      <c r="A70" s="2096"/>
      <c r="B70" s="2097"/>
      <c r="C70" s="2097"/>
      <c r="K70" s="2086"/>
      <c r="O70" s="2400" t="s">
        <v>2386</v>
      </c>
      <c r="P70" s="2406" t="s">
        <v>2400</v>
      </c>
      <c r="Q70" s="2399">
        <f ca="1">ROUND(Q71-Q72*Q73,0)</f>
        <v>0</v>
      </c>
      <c r="R70" s="2402"/>
    </row>
    <row r="71" spans="1:18" s="2059" customFormat="1" ht="15.75" thickBot="1">
      <c r="A71" s="2096"/>
      <c r="B71" s="2097"/>
      <c r="C71" s="2097"/>
      <c r="K71" s="2086"/>
      <c r="O71" s="2400" t="s">
        <v>2401</v>
      </c>
      <c r="P71" s="2406" t="s">
        <v>2402</v>
      </c>
      <c r="Q71" s="2399">
        <f ca="1">C42</f>
        <v>0</v>
      </c>
      <c r="R71" s="2398" t="s">
        <v>2382</v>
      </c>
    </row>
    <row r="72" spans="1:18" s="2059" customFormat="1" ht="15.75" thickBot="1">
      <c r="A72" s="2096"/>
      <c r="B72" s="2097"/>
      <c r="C72" s="2097"/>
      <c r="K72" s="2086"/>
      <c r="O72" s="2400" t="s">
        <v>2403</v>
      </c>
      <c r="P72" s="2406" t="s">
        <v>2404</v>
      </c>
      <c r="Q72" s="2399">
        <f ca="1">C15</f>
        <v>0</v>
      </c>
      <c r="R72" s="2398" t="s">
        <v>2382</v>
      </c>
    </row>
    <row r="73" spans="1:18" s="2059" customFormat="1" ht="15.75" thickBot="1">
      <c r="A73" s="2096"/>
      <c r="B73" s="2097"/>
      <c r="C73" s="2097"/>
      <c r="K73" s="2086"/>
      <c r="O73" s="2400" t="s">
        <v>2405</v>
      </c>
      <c r="P73" s="2406" t="s">
        <v>2406</v>
      </c>
      <c r="Q73" s="2401">
        <f ca="1">F43</f>
        <v>0</v>
      </c>
      <c r="R73" s="2402"/>
    </row>
    <row r="74" spans="1:18" s="2059" customFormat="1" ht="15.75" thickBot="1">
      <c r="A74" s="2096"/>
      <c r="B74" s="2097"/>
      <c r="C74" s="2097"/>
      <c r="K74" s="2086"/>
      <c r="O74" s="2400" t="s">
        <v>2388</v>
      </c>
      <c r="P74" s="2398" t="s">
        <v>2395</v>
      </c>
      <c r="Q74" s="2401">
        <f>L53</f>
        <v>0</v>
      </c>
      <c r="R74" s="2402"/>
    </row>
    <row r="75" spans="1:18" s="2059" customFormat="1" ht="20.25" thickBot="1">
      <c r="A75" s="2096"/>
      <c r="B75" s="2097"/>
      <c r="C75" s="2097"/>
      <c r="K75" s="2086"/>
      <c r="O75" s="2400" t="s">
        <v>2390</v>
      </c>
      <c r="P75" s="2398" t="s">
        <v>2396</v>
      </c>
      <c r="Q75" s="2399">
        <f ca="1">L59</f>
        <v>0</v>
      </c>
      <c r="R75" s="2402" t="s">
        <v>2397</v>
      </c>
    </row>
    <row r="76" spans="1:18" s="2059" customFormat="1" ht="20.25" thickBot="1">
      <c r="A76" s="2096"/>
      <c r="B76" s="2097"/>
      <c r="C76" s="2097"/>
      <c r="K76" s="2086"/>
      <c r="O76" s="2400" t="s">
        <v>2419</v>
      </c>
      <c r="P76" s="2398" t="s">
        <v>2398</v>
      </c>
      <c r="Q76" s="2399">
        <f ca="1">L60</f>
        <v>0</v>
      </c>
      <c r="R76" s="2402" t="s">
        <v>2399</v>
      </c>
    </row>
    <row r="77" spans="1:18" s="2059" customFormat="1" ht="15.75" thickBot="1">
      <c r="A77" s="2096"/>
      <c r="B77" s="2097"/>
      <c r="C77" s="2097"/>
      <c r="K77" s="2086"/>
      <c r="O77" s="2397" t="s">
        <v>2393</v>
      </c>
      <c r="P77" s="2398" t="s">
        <v>2410</v>
      </c>
      <c r="Q77" s="2399" t="e">
        <f ca="1">Q67+Q68</f>
        <v>#DIV/0!</v>
      </c>
      <c r="R77" s="2402"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42" t="s">
        <v>2578</v>
      </c>
      <c r="C1" s="3442"/>
      <c r="D1" s="3442"/>
      <c r="E1" s="3442"/>
      <c r="F1" s="3442"/>
      <c r="G1" s="3441" t="s">
        <v>2579</v>
      </c>
      <c r="H1" s="3441"/>
      <c r="I1" s="3441"/>
      <c r="J1" s="3441"/>
      <c r="K1" s="3441"/>
      <c r="L1" s="3441"/>
      <c r="N1" s="3441" t="s">
        <v>2580</v>
      </c>
      <c r="O1" s="3441"/>
      <c r="P1" s="3441"/>
      <c r="Q1" s="3441"/>
      <c r="R1" s="2653"/>
      <c r="S1" s="3441" t="s">
        <v>2581</v>
      </c>
      <c r="T1" s="3441"/>
      <c r="U1" s="3441"/>
      <c r="V1" s="3441"/>
      <c r="X1" s="3440" t="s">
        <v>2641</v>
      </c>
      <c r="Y1" s="3441"/>
      <c r="Z1" s="3441"/>
      <c r="AA1" s="3441"/>
      <c r="AB1" s="3441"/>
      <c r="AD1" s="3440" t="s">
        <v>2645</v>
      </c>
      <c r="AE1" s="3441"/>
      <c r="AF1" s="3441"/>
      <c r="AG1" s="3441"/>
      <c r="AH1" s="3441"/>
    </row>
    <row r="2" spans="1:34" s="2755" customFormat="1" ht="14.25" thickBot="1">
      <c r="B2" s="2763" t="s">
        <v>2582</v>
      </c>
      <c r="C2" s="2763" t="s">
        <v>2643</v>
      </c>
      <c r="D2" s="2756" t="s">
        <v>1644</v>
      </c>
      <c r="E2" s="2756" t="s">
        <v>1951</v>
      </c>
      <c r="F2" s="2763" t="s">
        <v>2644</v>
      </c>
      <c r="G2" s="2759"/>
      <c r="H2" s="2758"/>
      <c r="I2" s="2763" t="s">
        <v>2956</v>
      </c>
      <c r="J2" s="2756" t="s">
        <v>2958</v>
      </c>
      <c r="K2" s="2756" t="s">
        <v>2959</v>
      </c>
      <c r="L2" s="2763" t="s">
        <v>2960</v>
      </c>
      <c r="N2" s="2763" t="s">
        <v>2582</v>
      </c>
      <c r="O2" s="2756" t="s">
        <v>2957</v>
      </c>
      <c r="P2" s="2756" t="s">
        <v>1951</v>
      </c>
      <c r="Q2" s="2763" t="s">
        <v>2644</v>
      </c>
      <c r="R2" s="2757"/>
      <c r="S2" s="2763" t="s">
        <v>2582</v>
      </c>
      <c r="T2" s="2756" t="s">
        <v>2957</v>
      </c>
      <c r="U2" s="2756" t="s">
        <v>1951</v>
      </c>
      <c r="V2" s="2763" t="s">
        <v>2644</v>
      </c>
      <c r="X2" s="2763" t="s">
        <v>2582</v>
      </c>
      <c r="Y2" s="2763" t="s">
        <v>2643</v>
      </c>
      <c r="Z2" s="2756" t="s">
        <v>1644</v>
      </c>
      <c r="AA2" s="2756" t="s">
        <v>1951</v>
      </c>
      <c r="AB2" s="2763" t="s">
        <v>2644</v>
      </c>
      <c r="AD2" s="2763" t="s">
        <v>2582</v>
      </c>
      <c r="AE2" s="2763" t="s">
        <v>2643</v>
      </c>
      <c r="AF2" s="2756" t="s">
        <v>1644</v>
      </c>
      <c r="AG2" s="2756" t="s">
        <v>1951</v>
      </c>
      <c r="AH2" s="2763" t="s">
        <v>2644</v>
      </c>
    </row>
    <row r="3" spans="1:34" s="3132" customFormat="1" ht="14.25">
      <c r="A3" s="3144" t="s">
        <v>2969</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2982</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2">
        <v>4</v>
      </c>
      <c r="I5" s="3126">
        <v>0</v>
      </c>
      <c r="J5" s="3126">
        <v>0</v>
      </c>
      <c r="K5" s="3126">
        <v>0</v>
      </c>
      <c r="L5" s="3126">
        <v>0</v>
      </c>
      <c r="N5" s="2761">
        <f t="shared" ref="N5" si="6">I5/100</f>
        <v>0</v>
      </c>
      <c r="O5" s="2761">
        <f t="shared" ref="O5" si="7">J5/100</f>
        <v>0</v>
      </c>
      <c r="P5" s="2761">
        <f t="shared" ref="P5" si="8">K5/100</f>
        <v>0</v>
      </c>
      <c r="Q5" s="2761">
        <f t="shared" ref="Q5" si="9">L5/100</f>
        <v>0</v>
      </c>
      <c r="R5" s="3114"/>
      <c r="S5" s="3115"/>
      <c r="T5" s="3114"/>
      <c r="U5" s="3114"/>
      <c r="V5" s="3114"/>
      <c r="W5" s="3142" t="s">
        <v>2970</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0" customFormat="1" ht="13.5" thickBot="1">
      <c r="A6" s="2654" t="s">
        <v>2980</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1"/>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5" thickBot="1">
      <c r="A7" s="2654" t="s">
        <v>2981</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1"/>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5" thickBot="1">
      <c r="A8" s="2654" t="s">
        <v>2976</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1"/>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2967</v>
      </c>
      <c r="B9" s="3146">
        <v>439</v>
      </c>
      <c r="C9" s="3146">
        <v>327</v>
      </c>
      <c r="D9" s="3146">
        <f t="shared" si="33"/>
        <v>327</v>
      </c>
      <c r="E9" s="3146">
        <v>627</v>
      </c>
      <c r="F9" s="3147">
        <v>283</v>
      </c>
      <c r="G9" s="3129">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5" thickBot="1">
      <c r="A10" s="2654" t="s">
        <v>2971</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1"/>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2583</v>
      </c>
      <c r="B11" s="2668">
        <f t="shared" si="45"/>
        <v>419.31181600000002</v>
      </c>
      <c r="C11" s="2668">
        <f t="shared" si="45"/>
        <v>313.95436800000004</v>
      </c>
      <c r="D11" s="2668">
        <f t="shared" si="33"/>
        <v>313.95436800000004</v>
      </c>
      <c r="E11" s="2668">
        <f t="shared" si="46"/>
        <v>596.63028431999999</v>
      </c>
      <c r="F11" s="2668">
        <f t="shared" si="46"/>
        <v>274.74220703999998</v>
      </c>
      <c r="G11" s="3130"/>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5" thickBot="1">
      <c r="A12" s="2654" t="s">
        <v>2584</v>
      </c>
      <c r="B12" s="2668">
        <f t="shared" si="45"/>
        <v>405.524</v>
      </c>
      <c r="C12" s="2668">
        <f t="shared" si="45"/>
        <v>307.79840000000002</v>
      </c>
      <c r="D12" s="2668">
        <f t="shared" si="33"/>
        <v>307.79840000000002</v>
      </c>
      <c r="E12" s="2668">
        <f t="shared" si="46"/>
        <v>574.67759999999998</v>
      </c>
      <c r="F12" s="2668">
        <f t="shared" si="46"/>
        <v>270.20280000000002</v>
      </c>
      <c r="G12" s="3131"/>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970</v>
      </c>
      <c r="B13" s="2660">
        <v>392</v>
      </c>
      <c r="C13" s="2660">
        <v>302</v>
      </c>
      <c r="D13" s="2660">
        <f t="shared" si="33"/>
        <v>302</v>
      </c>
      <c r="E13" s="2660">
        <v>553</v>
      </c>
      <c r="F13" s="2661">
        <v>266</v>
      </c>
      <c r="G13" s="3449">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969</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44"/>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959</v>
      </c>
      <c r="B15" s="2668">
        <f t="shared" si="54"/>
        <v>360.06949782209392</v>
      </c>
      <c r="C15" s="2668">
        <f t="shared" si="54"/>
        <v>289.84672674747821</v>
      </c>
      <c r="D15" s="2668">
        <f t="shared" si="55"/>
        <v>289.84672674747821</v>
      </c>
      <c r="E15" s="2668">
        <f t="shared" si="56"/>
        <v>501.06543001181495</v>
      </c>
      <c r="F15" s="2668">
        <f t="shared" si="56"/>
        <v>256.82882500744967</v>
      </c>
      <c r="G15" s="3444"/>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5" thickBot="1">
      <c r="A16" s="2654" t="s">
        <v>968</v>
      </c>
      <c r="B16" s="2668">
        <f t="shared" si="54"/>
        <v>346.720748986128</v>
      </c>
      <c r="C16" s="2668">
        <f t="shared" si="54"/>
        <v>284.30282172386285</v>
      </c>
      <c r="D16" s="2668">
        <f t="shared" si="55"/>
        <v>284.30282172386285</v>
      </c>
      <c r="E16" s="2668">
        <f t="shared" si="56"/>
        <v>479.58023546306947</v>
      </c>
      <c r="F16" s="2668">
        <f t="shared" si="56"/>
        <v>253.25788877571213</v>
      </c>
      <c r="G16" s="3445"/>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5" thickBot="1">
      <c r="A17" s="2654" t="s">
        <v>967</v>
      </c>
      <c r="B17" s="2660">
        <v>333</v>
      </c>
      <c r="C17" s="2660">
        <v>277</v>
      </c>
      <c r="D17" s="2660">
        <f t="shared" si="55"/>
        <v>277</v>
      </c>
      <c r="E17" s="2660">
        <v>459</v>
      </c>
      <c r="F17" s="2661">
        <v>249</v>
      </c>
      <c r="G17" s="3443">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966</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44"/>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965</v>
      </c>
      <c r="B19" s="2668">
        <f t="shared" si="58"/>
        <v>322.34053690220776</v>
      </c>
      <c r="C19" s="2668">
        <f t="shared" si="58"/>
        <v>271.46160770422546</v>
      </c>
      <c r="D19" s="2668">
        <f t="shared" si="55"/>
        <v>271.46160770422546</v>
      </c>
      <c r="E19" s="2668">
        <f t="shared" si="59"/>
        <v>442.69434542172456</v>
      </c>
      <c r="F19" s="2668">
        <f t="shared" si="59"/>
        <v>241.34030753190925</v>
      </c>
      <c r="G19" s="3444"/>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964</v>
      </c>
      <c r="B20" s="2668">
        <f t="shared" si="58"/>
        <v>319.87748030386797</v>
      </c>
      <c r="C20" s="2668">
        <f t="shared" si="58"/>
        <v>269.60135833173649</v>
      </c>
      <c r="D20" s="2668">
        <f t="shared" si="55"/>
        <v>269.60135833173649</v>
      </c>
      <c r="E20" s="2668">
        <f t="shared" si="59"/>
        <v>439.18089823583784</v>
      </c>
      <c r="F20" s="2668">
        <f t="shared" si="59"/>
        <v>239.23503918706311</v>
      </c>
      <c r="G20" s="3445"/>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5" thickBot="1">
      <c r="A21" s="2654" t="s">
        <v>963</v>
      </c>
      <c r="B21" s="2682">
        <v>318</v>
      </c>
      <c r="C21" s="2682">
        <v>268</v>
      </c>
      <c r="D21" s="2682">
        <f t="shared" si="55"/>
        <v>268</v>
      </c>
      <c r="E21" s="2682">
        <v>437</v>
      </c>
      <c r="F21" s="2683">
        <v>237</v>
      </c>
      <c r="G21" s="3443">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962</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44"/>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5" thickBot="1">
      <c r="A23" s="2654" t="s">
        <v>961</v>
      </c>
      <c r="B23" s="2668">
        <f t="shared" si="60"/>
        <v>314.72141172386546</v>
      </c>
      <c r="C23" s="2668">
        <f t="shared" si="60"/>
        <v>263.03901319069001</v>
      </c>
      <c r="D23" s="2668">
        <f t="shared" si="55"/>
        <v>263.03901319069001</v>
      </c>
      <c r="E23" s="2668">
        <f t="shared" si="61"/>
        <v>433.65745506782821</v>
      </c>
      <c r="F23" s="2668">
        <f t="shared" si="61"/>
        <v>233.23005080045735</v>
      </c>
      <c r="G23" s="3444"/>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5" thickBot="1">
      <c r="A24" s="2686" t="s">
        <v>960</v>
      </c>
      <c r="B24" s="2687">
        <f t="shared" si="60"/>
        <v>307.34512863658733</v>
      </c>
      <c r="C24" s="2687">
        <f t="shared" si="60"/>
        <v>257.80556031626975</v>
      </c>
      <c r="D24" s="2687">
        <f t="shared" si="55"/>
        <v>257.80556031626975</v>
      </c>
      <c r="E24" s="2687">
        <f t="shared" si="61"/>
        <v>422.70928459677179</v>
      </c>
      <c r="F24" s="2687">
        <f t="shared" si="61"/>
        <v>229.73803270336617</v>
      </c>
      <c r="G24" s="3445"/>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2642</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5" thickBot="1">
      <c r="A25" s="2654" t="s">
        <v>2585</v>
      </c>
      <c r="B25" s="2660">
        <v>299</v>
      </c>
      <c r="C25" s="2660">
        <v>252</v>
      </c>
      <c r="D25" s="2660">
        <f t="shared" si="55"/>
        <v>252</v>
      </c>
      <c r="E25" s="2660">
        <v>409</v>
      </c>
      <c r="F25" s="2661">
        <v>227</v>
      </c>
      <c r="G25" s="3446">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2586</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47"/>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2587</v>
      </c>
      <c r="B27" s="2668">
        <f t="shared" si="64"/>
        <v>288.2649053828776</v>
      </c>
      <c r="C27" s="2668">
        <f t="shared" si="64"/>
        <v>243.64564425013293</v>
      </c>
      <c r="D27" s="2668">
        <f t="shared" si="55"/>
        <v>243.64564425013293</v>
      </c>
      <c r="E27" s="2668">
        <f t="shared" si="65"/>
        <v>393.31080825986544</v>
      </c>
      <c r="F27" s="2668">
        <f t="shared" si="65"/>
        <v>223.07903790551154</v>
      </c>
      <c r="G27" s="3447"/>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2588</v>
      </c>
      <c r="B28" s="2668">
        <f t="shared" si="64"/>
        <v>282.50186729015837</v>
      </c>
      <c r="C28" s="2668">
        <f t="shared" si="64"/>
        <v>238.09796174155468</v>
      </c>
      <c r="D28" s="2668">
        <f t="shared" si="55"/>
        <v>238.09796174155468</v>
      </c>
      <c r="E28" s="2668">
        <f t="shared" si="65"/>
        <v>385.33438646014054</v>
      </c>
      <c r="F28" s="2668">
        <f t="shared" si="65"/>
        <v>221.55034055567739</v>
      </c>
      <c r="G28" s="3448"/>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5" thickBot="1">
      <c r="A29" s="2654" t="s">
        <v>2589</v>
      </c>
      <c r="B29" s="2698">
        <v>278</v>
      </c>
      <c r="C29" s="2698">
        <v>234</v>
      </c>
      <c r="D29" s="2698">
        <f t="shared" si="55"/>
        <v>234</v>
      </c>
      <c r="E29" s="2698">
        <v>379</v>
      </c>
      <c r="F29" s="2699">
        <v>220</v>
      </c>
      <c r="G29" s="3443">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2590</v>
      </c>
      <c r="B30" s="2668">
        <f>B29/(1+N29)</f>
        <v>275.49301357645425</v>
      </c>
      <c r="C30" s="2668">
        <f>C29/(1+O29)</f>
        <v>232.41954707985698</v>
      </c>
      <c r="D30" s="2668">
        <f t="shared" si="55"/>
        <v>232.41954707985698</v>
      </c>
      <c r="E30" s="2668">
        <f t="shared" ref="E30:F32" si="66">E29/(1+P29)</f>
        <v>375.32184591008121</v>
      </c>
      <c r="F30" s="2668">
        <f t="shared" si="66"/>
        <v>218.03766105054513</v>
      </c>
      <c r="G30" s="3444"/>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2591</v>
      </c>
      <c r="B31" s="2668">
        <f>B30/(1+N30)</f>
        <v>275.24529281292263</v>
      </c>
      <c r="C31" s="2668">
        <f>C30/(1+O30)</f>
        <v>231.74747938962707</v>
      </c>
      <c r="D31" s="2668">
        <f t="shared" si="55"/>
        <v>231.74747938962707</v>
      </c>
      <c r="E31" s="2668">
        <f t="shared" si="66"/>
        <v>375.35938184826603</v>
      </c>
      <c r="F31" s="2668">
        <f t="shared" si="66"/>
        <v>216.78033510692495</v>
      </c>
      <c r="G31" s="3444"/>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5" thickBot="1">
      <c r="A32" s="2654" t="s">
        <v>2592</v>
      </c>
      <c r="B32" s="2668">
        <f>B31/(1+N31)</f>
        <v>275.19025476197027</v>
      </c>
      <c r="C32" s="2700">
        <v>232</v>
      </c>
      <c r="D32" s="2700">
        <f t="shared" si="55"/>
        <v>232</v>
      </c>
      <c r="E32" s="2668">
        <f t="shared" si="66"/>
        <v>375.65990977608692</v>
      </c>
      <c r="F32" s="2668">
        <f t="shared" si="66"/>
        <v>214.12518283971252</v>
      </c>
      <c r="G32" s="3445"/>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5" thickBot="1">
      <c r="A33" s="2654" t="s">
        <v>2593</v>
      </c>
      <c r="B33" s="2660">
        <v>275</v>
      </c>
      <c r="C33" s="2660">
        <v>232</v>
      </c>
      <c r="D33" s="2660">
        <f t="shared" si="55"/>
        <v>232</v>
      </c>
      <c r="E33" s="2660">
        <v>376</v>
      </c>
      <c r="F33" s="2661">
        <v>213</v>
      </c>
      <c r="G33" s="3443">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2594</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44">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2595</v>
      </c>
      <c r="B35" s="2668">
        <f t="shared" si="67"/>
        <v>275.19335084830601</v>
      </c>
      <c r="C35" s="2668">
        <f t="shared" si="67"/>
        <v>230.18088050139744</v>
      </c>
      <c r="D35" s="2668">
        <f t="shared" si="55"/>
        <v>230.18088050139744</v>
      </c>
      <c r="E35" s="2668">
        <f t="shared" si="68"/>
        <v>377.58482925212331</v>
      </c>
      <c r="F35" s="2668">
        <f t="shared" si="68"/>
        <v>210.90687997847917</v>
      </c>
      <c r="G35" s="3444">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5" thickBot="1">
      <c r="A36" s="2654" t="s">
        <v>2596</v>
      </c>
      <c r="B36" s="2668">
        <f t="shared" si="67"/>
        <v>276.29854502841971</v>
      </c>
      <c r="C36" s="2668">
        <f t="shared" si="67"/>
        <v>229.79023709833027</v>
      </c>
      <c r="D36" s="2668">
        <f t="shared" si="55"/>
        <v>229.79023709833027</v>
      </c>
      <c r="E36" s="2668">
        <f t="shared" si="68"/>
        <v>379.78759731655936</v>
      </c>
      <c r="F36" s="2668">
        <f t="shared" si="68"/>
        <v>211.32953905659235</v>
      </c>
      <c r="G36" s="3445">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5" thickBot="1">
      <c r="A37" s="2654" t="s">
        <v>2597</v>
      </c>
      <c r="B37" s="2660">
        <v>269</v>
      </c>
      <c r="C37" s="2660">
        <v>221</v>
      </c>
      <c r="D37" s="2660">
        <f t="shared" si="55"/>
        <v>221</v>
      </c>
      <c r="E37" s="2660">
        <v>373</v>
      </c>
      <c r="F37" s="2661">
        <v>196</v>
      </c>
      <c r="G37" s="3443">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2598</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44">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2599</v>
      </c>
      <c r="B39" s="2668">
        <f t="shared" si="69"/>
        <v>242.95398227588385</v>
      </c>
      <c r="C39" s="2668">
        <f t="shared" si="69"/>
        <v>199.59137053614126</v>
      </c>
      <c r="D39" s="2668">
        <f t="shared" si="55"/>
        <v>199.59137053614126</v>
      </c>
      <c r="E39" s="2668">
        <f t="shared" si="70"/>
        <v>335.92189522342125</v>
      </c>
      <c r="F39" s="2668">
        <f t="shared" si="70"/>
        <v>183.10139991109489</v>
      </c>
      <c r="G39" s="3444">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5" thickBot="1">
      <c r="A40" s="2654" t="s">
        <v>2600</v>
      </c>
      <c r="B40" s="2668">
        <f t="shared" si="69"/>
        <v>232.06990378821649</v>
      </c>
      <c r="C40" s="2668">
        <f t="shared" si="69"/>
        <v>192.74878854286936</v>
      </c>
      <c r="D40" s="2668">
        <f t="shared" si="55"/>
        <v>192.74878854286936</v>
      </c>
      <c r="E40" s="2668">
        <f t="shared" si="70"/>
        <v>319.71247284992984</v>
      </c>
      <c r="F40" s="2668">
        <f t="shared" si="70"/>
        <v>175.67053622862409</v>
      </c>
      <c r="G40" s="3445">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5" thickBot="1">
      <c r="A41" s="2654" t="s">
        <v>2601</v>
      </c>
      <c r="B41" s="2660">
        <v>220</v>
      </c>
      <c r="C41" s="2660">
        <v>187</v>
      </c>
      <c r="D41" s="2660">
        <f t="shared" si="55"/>
        <v>187</v>
      </c>
      <c r="E41" s="2660">
        <v>301</v>
      </c>
      <c r="F41" s="2661">
        <v>168</v>
      </c>
      <c r="G41" s="3443">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2602</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44">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2603</v>
      </c>
      <c r="B43" s="2668">
        <f t="shared" si="71"/>
        <v>210.630522469011</v>
      </c>
      <c r="C43" s="2668">
        <f t="shared" si="71"/>
        <v>181.69567812247232</v>
      </c>
      <c r="D43" s="2668">
        <f t="shared" si="55"/>
        <v>181.69567812247232</v>
      </c>
      <c r="E43" s="2668">
        <f t="shared" si="72"/>
        <v>286.13517466736738</v>
      </c>
      <c r="F43" s="2668">
        <f t="shared" si="72"/>
        <v>165.47535084591149</v>
      </c>
      <c r="G43" s="3444">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2604</v>
      </c>
      <c r="B44" s="2668">
        <f t="shared" si="71"/>
        <v>208.83454537875372</v>
      </c>
      <c r="C44" s="2668">
        <f t="shared" si="71"/>
        <v>183.77230517090351</v>
      </c>
      <c r="D44" s="2668">
        <f t="shared" si="55"/>
        <v>183.77230517090351</v>
      </c>
      <c r="E44" s="2668">
        <f t="shared" si="72"/>
        <v>281.10342338870947</v>
      </c>
      <c r="F44" s="2668">
        <f t="shared" si="72"/>
        <v>168.97309388942256</v>
      </c>
      <c r="G44" s="3445">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5" thickBot="1">
      <c r="A45" s="2654" t="s">
        <v>2605</v>
      </c>
      <c r="B45" s="2698">
        <v>214</v>
      </c>
      <c r="C45" s="2698">
        <v>188</v>
      </c>
      <c r="D45" s="2698">
        <f t="shared" si="55"/>
        <v>188</v>
      </c>
      <c r="E45" s="2698">
        <v>289</v>
      </c>
      <c r="F45" s="2699">
        <v>166</v>
      </c>
      <c r="G45" s="3443">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2606</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44">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2607</v>
      </c>
      <c r="B47" s="2668">
        <f t="shared" si="73"/>
        <v>206.31694671589116</v>
      </c>
      <c r="C47" s="2668">
        <f t="shared" si="73"/>
        <v>183.61041121036101</v>
      </c>
      <c r="D47" s="2668">
        <f t="shared" si="55"/>
        <v>183.61041121036101</v>
      </c>
      <c r="E47" s="2668">
        <f t="shared" si="74"/>
        <v>276.66850301795557</v>
      </c>
      <c r="F47" s="2668">
        <f t="shared" si="74"/>
        <v>165.1360938278614</v>
      </c>
      <c r="G47" s="3444">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5" thickBot="1">
      <c r="A48" s="2654" t="s">
        <v>2608</v>
      </c>
      <c r="B48" s="2701">
        <f t="shared" si="73"/>
        <v>196.62341248059772</v>
      </c>
      <c r="C48" s="2701">
        <f t="shared" si="73"/>
        <v>170.99125648199012</v>
      </c>
      <c r="D48" s="2701">
        <f t="shared" si="55"/>
        <v>170.99125648199012</v>
      </c>
      <c r="E48" s="2701">
        <f t="shared" si="74"/>
        <v>266.07857570490052</v>
      </c>
      <c r="F48" s="2701">
        <f t="shared" si="74"/>
        <v>154.53499328828505</v>
      </c>
      <c r="G48" s="3445">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5" thickBot="1">
      <c r="A49" s="2654" t="s">
        <v>2609</v>
      </c>
      <c r="B49" s="2660">
        <v>188</v>
      </c>
      <c r="C49" s="2660">
        <v>165</v>
      </c>
      <c r="D49" s="2660">
        <f t="shared" si="55"/>
        <v>165</v>
      </c>
      <c r="E49" s="2660">
        <v>254</v>
      </c>
      <c r="F49" s="2661">
        <v>148</v>
      </c>
      <c r="G49" s="3443">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2610</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44">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2611</v>
      </c>
      <c r="B51" s="2668">
        <f t="shared" si="77"/>
        <v>168.82017748715555</v>
      </c>
      <c r="C51" s="2668">
        <f t="shared" si="77"/>
        <v>148.06267029972753</v>
      </c>
      <c r="D51" s="2668">
        <f t="shared" si="55"/>
        <v>148.06267029972753</v>
      </c>
      <c r="E51" s="2668">
        <f t="shared" si="78"/>
        <v>216.46288379323747</v>
      </c>
      <c r="F51" s="2668">
        <f t="shared" si="78"/>
        <v>134.23529411764704</v>
      </c>
      <c r="G51" s="3444">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2612</v>
      </c>
      <c r="B52" s="2668">
        <f t="shared" si="77"/>
        <v>163.84913591779542</v>
      </c>
      <c r="C52" s="2668">
        <f t="shared" si="77"/>
        <v>145.0283378746594</v>
      </c>
      <c r="D52" s="2668">
        <f t="shared" si="55"/>
        <v>145.0283378746594</v>
      </c>
      <c r="E52" s="2668">
        <f t="shared" si="78"/>
        <v>204.95180722891567</v>
      </c>
      <c r="F52" s="2668">
        <f t="shared" si="78"/>
        <v>125.95920303605313</v>
      </c>
      <c r="G52" s="3445">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5" thickBot="1">
      <c r="A53" s="2654" t="s">
        <v>2613</v>
      </c>
      <c r="B53" s="2682">
        <v>159</v>
      </c>
      <c r="C53" s="2682">
        <v>141</v>
      </c>
      <c r="D53" s="2682">
        <f t="shared" si="55"/>
        <v>141</v>
      </c>
      <c r="E53" s="2682">
        <v>195</v>
      </c>
      <c r="F53" s="2683">
        <v>122</v>
      </c>
      <c r="G53" s="3443">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2614</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44">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2615</v>
      </c>
      <c r="B55" s="2668">
        <f t="shared" si="81"/>
        <v>146.57412060301507</v>
      </c>
      <c r="C55" s="2668">
        <f t="shared" si="81"/>
        <v>136.46831955922866</v>
      </c>
      <c r="D55" s="2668">
        <f t="shared" si="55"/>
        <v>136.46831955922866</v>
      </c>
      <c r="E55" s="2668">
        <f t="shared" si="82"/>
        <v>166.73864894795128</v>
      </c>
      <c r="F55" s="2668">
        <f t="shared" si="82"/>
        <v>115.05882352941177</v>
      </c>
      <c r="G55" s="3444">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2616</v>
      </c>
      <c r="B56" s="2668">
        <f t="shared" si="81"/>
        <v>144.04145728643215</v>
      </c>
      <c r="C56" s="2668">
        <f t="shared" si="81"/>
        <v>136.12396694214877</v>
      </c>
      <c r="D56" s="2668">
        <f t="shared" si="55"/>
        <v>136.12396694214877</v>
      </c>
      <c r="E56" s="2668">
        <f t="shared" si="82"/>
        <v>158.32225913621264</v>
      </c>
      <c r="F56" s="2668">
        <f t="shared" si="82"/>
        <v>114.04278074866311</v>
      </c>
      <c r="G56" s="3445">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5" thickBot="1">
      <c r="A57" s="2654" t="s">
        <v>2617</v>
      </c>
      <c r="B57" s="2682">
        <v>138</v>
      </c>
      <c r="C57" s="2682">
        <v>131</v>
      </c>
      <c r="D57" s="2682">
        <f t="shared" si="55"/>
        <v>131</v>
      </c>
      <c r="E57" s="2682">
        <v>155</v>
      </c>
      <c r="F57" s="2683">
        <v>114</v>
      </c>
      <c r="G57" s="3443">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2618</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44">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2619</v>
      </c>
      <c r="B59" s="2668">
        <f t="shared" si="85"/>
        <v>124.29032258064517</v>
      </c>
      <c r="C59" s="2668">
        <f t="shared" si="85"/>
        <v>123.8968609865471</v>
      </c>
      <c r="D59" s="2668">
        <f t="shared" si="55"/>
        <v>123.8968609865471</v>
      </c>
      <c r="E59" s="2668">
        <f t="shared" si="86"/>
        <v>138.00507614213197</v>
      </c>
      <c r="F59" s="2668">
        <f t="shared" si="86"/>
        <v>107.96106557377048</v>
      </c>
      <c r="G59" s="3444">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2620</v>
      </c>
      <c r="B60" s="2668">
        <f t="shared" si="85"/>
        <v>122.57204301075269</v>
      </c>
      <c r="C60" s="2668">
        <f t="shared" si="85"/>
        <v>123.4932735426009</v>
      </c>
      <c r="D60" s="2668">
        <f t="shared" si="55"/>
        <v>123.4932735426009</v>
      </c>
      <c r="E60" s="2668">
        <f t="shared" si="86"/>
        <v>129.82233502538071</v>
      </c>
      <c r="F60" s="2668">
        <f t="shared" si="86"/>
        <v>107.39446721311475</v>
      </c>
      <c r="G60" s="3445">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5" thickBot="1">
      <c r="A61" s="2654" t="s">
        <v>2621</v>
      </c>
      <c r="B61" s="2698">
        <v>121</v>
      </c>
      <c r="C61" s="2698">
        <v>122</v>
      </c>
      <c r="D61" s="2698">
        <f t="shared" si="55"/>
        <v>122</v>
      </c>
      <c r="E61" s="2698">
        <v>124</v>
      </c>
      <c r="F61" s="2699">
        <v>107</v>
      </c>
      <c r="G61" s="3443">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2622</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44">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2623</v>
      </c>
      <c r="B63" s="2668">
        <f t="shared" si="89"/>
        <v>116.99099099099099</v>
      </c>
      <c r="C63" s="2668">
        <f t="shared" si="89"/>
        <v>118.84848484848486</v>
      </c>
      <c r="D63" s="2668">
        <f t="shared" si="55"/>
        <v>118.84848484848486</v>
      </c>
      <c r="E63" s="2668">
        <f t="shared" si="90"/>
        <v>117.60960960960961</v>
      </c>
      <c r="F63" s="2668">
        <f t="shared" si="90"/>
        <v>104</v>
      </c>
      <c r="G63" s="3444">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5" thickBot="1">
      <c r="A64" s="2654" t="s">
        <v>2624</v>
      </c>
      <c r="B64" s="2701">
        <f t="shared" si="89"/>
        <v>112.48648648648648</v>
      </c>
      <c r="C64" s="2701">
        <f t="shared" si="89"/>
        <v>115.21212121212122</v>
      </c>
      <c r="D64" s="2701">
        <f t="shared" si="55"/>
        <v>115.21212121212122</v>
      </c>
      <c r="E64" s="2701">
        <f t="shared" si="90"/>
        <v>110.4024024024024</v>
      </c>
      <c r="F64" s="2701">
        <f t="shared" si="90"/>
        <v>104</v>
      </c>
      <c r="G64" s="3445">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5" thickBot="1">
      <c r="A65" s="2654" t="s">
        <v>2625</v>
      </c>
      <c r="B65" s="2719">
        <v>111</v>
      </c>
      <c r="C65" s="2719">
        <v>114</v>
      </c>
      <c r="D65" s="2719">
        <f t="shared" si="55"/>
        <v>114</v>
      </c>
      <c r="E65" s="2719">
        <v>108</v>
      </c>
      <c r="F65" s="2720">
        <v>104</v>
      </c>
      <c r="G65" s="3443">
        <v>2003</v>
      </c>
      <c r="H65" s="2709">
        <v>4</v>
      </c>
      <c r="I65" s="2721"/>
      <c r="J65" s="2721"/>
      <c r="K65" s="2721"/>
      <c r="L65" s="2721"/>
      <c r="N65" s="2722"/>
      <c r="O65" s="2721"/>
      <c r="P65" s="2721"/>
      <c r="Q65" s="2721"/>
      <c r="S65" s="2722"/>
      <c r="T65" s="2721"/>
      <c r="U65" s="2721"/>
      <c r="V65" s="2721"/>
      <c r="X65" s="2713"/>
      <c r="Y65" s="2713"/>
      <c r="Z65" s="2713"/>
    </row>
    <row r="66" spans="1:26">
      <c r="A66" s="2654" t="s">
        <v>2626</v>
      </c>
      <c r="B66" s="2723">
        <f t="shared" ref="B66:C68" si="91">B67+(B$65-B$69)/4</f>
        <v>109.75</v>
      </c>
      <c r="C66" s="2723">
        <f t="shared" si="91"/>
        <v>112.25</v>
      </c>
      <c r="D66" s="2723">
        <f t="shared" si="55"/>
        <v>112.25</v>
      </c>
      <c r="E66" s="2723">
        <f t="shared" ref="E66:F68" si="92">E67+(E$65-E$69)/4</f>
        <v>107.25</v>
      </c>
      <c r="F66" s="2723">
        <f t="shared" si="92"/>
        <v>103.5</v>
      </c>
      <c r="G66" s="3444">
        <v>2003</v>
      </c>
      <c r="H66" s="2679">
        <v>3</v>
      </c>
      <c r="I66" s="2721"/>
      <c r="J66" s="2721"/>
      <c r="K66" s="2721"/>
      <c r="L66" s="2721"/>
      <c r="X66" s="2713"/>
      <c r="Y66" s="2713"/>
      <c r="Z66" s="2713"/>
    </row>
    <row r="67" spans="1:26">
      <c r="A67" s="2654" t="s">
        <v>2627</v>
      </c>
      <c r="B67" s="2723">
        <f t="shared" si="91"/>
        <v>108.5</v>
      </c>
      <c r="C67" s="2723">
        <f t="shared" si="91"/>
        <v>110.5</v>
      </c>
      <c r="D67" s="2723">
        <f t="shared" si="55"/>
        <v>110.5</v>
      </c>
      <c r="E67" s="2723">
        <f t="shared" si="92"/>
        <v>106.5</v>
      </c>
      <c r="F67" s="2723">
        <f t="shared" si="92"/>
        <v>103</v>
      </c>
      <c r="G67" s="3444">
        <v>2003</v>
      </c>
      <c r="H67" s="2659">
        <v>2</v>
      </c>
      <c r="I67" s="2721"/>
      <c r="J67" s="2721"/>
      <c r="K67" s="2721"/>
      <c r="L67" s="2721"/>
      <c r="X67" s="2713"/>
      <c r="Y67" s="2713"/>
      <c r="Z67" s="2713"/>
    </row>
    <row r="68" spans="1:26" ht="13.5" thickBot="1">
      <c r="A68" s="2654" t="s">
        <v>2628</v>
      </c>
      <c r="B68" s="2723">
        <f t="shared" si="91"/>
        <v>107.25</v>
      </c>
      <c r="C68" s="2723">
        <f t="shared" si="91"/>
        <v>108.75</v>
      </c>
      <c r="D68" s="2723">
        <f t="shared" si="55"/>
        <v>108.75</v>
      </c>
      <c r="E68" s="2723">
        <f t="shared" si="92"/>
        <v>105.75</v>
      </c>
      <c r="F68" s="2723">
        <f t="shared" si="92"/>
        <v>102.5</v>
      </c>
      <c r="G68" s="3445">
        <v>2003</v>
      </c>
      <c r="H68" s="2724">
        <v>1</v>
      </c>
      <c r="I68" s="2721"/>
      <c r="J68" s="2721"/>
      <c r="K68" s="2721"/>
      <c r="L68" s="2721"/>
      <c r="S68" s="2663"/>
      <c r="T68" s="2664"/>
      <c r="U68" s="2664"/>
      <c r="X68" s="2713"/>
      <c r="Y68" s="2713"/>
      <c r="Z68" s="2713"/>
    </row>
    <row r="69" spans="1:26" ht="13.5" thickBot="1">
      <c r="A69" s="2654" t="s">
        <v>2629</v>
      </c>
      <c r="B69" s="2725">
        <v>106</v>
      </c>
      <c r="C69" s="2725">
        <v>107</v>
      </c>
      <c r="D69" s="2725">
        <f t="shared" si="55"/>
        <v>107</v>
      </c>
      <c r="E69" s="2725">
        <v>105</v>
      </c>
      <c r="F69" s="2726">
        <v>102</v>
      </c>
      <c r="G69" s="3443">
        <v>2002</v>
      </c>
      <c r="H69" s="2674">
        <v>4</v>
      </c>
      <c r="I69" s="2721"/>
      <c r="J69" s="2721"/>
      <c r="K69" s="2721"/>
      <c r="L69" s="2721"/>
      <c r="N69" s="2722"/>
      <c r="O69" s="2721"/>
      <c r="P69" s="2721"/>
      <c r="Q69" s="2721"/>
      <c r="S69" s="2722"/>
      <c r="T69" s="2721"/>
      <c r="U69" s="2721"/>
      <c r="V69" s="2721"/>
      <c r="X69" s="2713"/>
      <c r="Y69" s="2713"/>
      <c r="Z69" s="2713"/>
    </row>
    <row r="70" spans="1:26">
      <c r="A70" s="2654" t="s">
        <v>2630</v>
      </c>
      <c r="B70" s="2723">
        <f t="shared" ref="B70:C72" si="93">B71+(B$69-B$73)/4</f>
        <v>105</v>
      </c>
      <c r="C70" s="2723">
        <f t="shared" si="93"/>
        <v>106</v>
      </c>
      <c r="D70" s="2723">
        <f t="shared" si="55"/>
        <v>106</v>
      </c>
      <c r="E70" s="2723">
        <f t="shared" ref="E70:F72" si="94">E71+(E$69-E$73)/4</f>
        <v>104.5</v>
      </c>
      <c r="F70" s="2723">
        <f t="shared" si="94"/>
        <v>101.5</v>
      </c>
      <c r="G70" s="3444">
        <v>2002</v>
      </c>
      <c r="H70" s="2679">
        <v>3</v>
      </c>
      <c r="I70" s="2721"/>
      <c r="J70" s="2721"/>
      <c r="K70" s="2721"/>
      <c r="L70" s="2721"/>
      <c r="X70" s="2713"/>
      <c r="Y70" s="2713"/>
      <c r="Z70" s="2713"/>
    </row>
    <row r="71" spans="1:26">
      <c r="A71" s="2654" t="s">
        <v>2631</v>
      </c>
      <c r="B71" s="2723">
        <f t="shared" si="93"/>
        <v>104</v>
      </c>
      <c r="C71" s="2723">
        <f t="shared" si="93"/>
        <v>105</v>
      </c>
      <c r="D71" s="2723">
        <f t="shared" si="55"/>
        <v>105</v>
      </c>
      <c r="E71" s="2723">
        <f t="shared" si="94"/>
        <v>104</v>
      </c>
      <c r="F71" s="2723">
        <f t="shared" si="94"/>
        <v>101</v>
      </c>
      <c r="G71" s="3444">
        <v>2002</v>
      </c>
      <c r="H71" s="2659">
        <v>2</v>
      </c>
      <c r="I71" s="2721"/>
      <c r="J71" s="2721"/>
      <c r="K71" s="2721"/>
      <c r="L71" s="2721"/>
      <c r="X71" s="2713"/>
      <c r="Y71" s="2713"/>
      <c r="Z71" s="2713"/>
    </row>
    <row r="72" spans="1:26" s="2690" customFormat="1" ht="13.5" thickBot="1">
      <c r="A72" s="2686" t="s">
        <v>2632</v>
      </c>
      <c r="B72" s="2727">
        <f t="shared" si="93"/>
        <v>103</v>
      </c>
      <c r="C72" s="2727">
        <f t="shared" si="93"/>
        <v>104</v>
      </c>
      <c r="D72" s="2727">
        <f t="shared" si="55"/>
        <v>104</v>
      </c>
      <c r="E72" s="2727">
        <f t="shared" si="94"/>
        <v>103.5</v>
      </c>
      <c r="F72" s="2727">
        <f t="shared" si="94"/>
        <v>100.5</v>
      </c>
      <c r="G72" s="3445">
        <v>2002</v>
      </c>
      <c r="H72" s="2728">
        <v>1</v>
      </c>
      <c r="I72" s="2729"/>
      <c r="J72" s="2729"/>
      <c r="K72" s="2729"/>
      <c r="L72" s="2729"/>
      <c r="N72" s="2730"/>
      <c r="S72" s="2730"/>
      <c r="X72" s="2731"/>
      <c r="Y72" s="2731"/>
      <c r="Z72" s="2731"/>
    </row>
    <row r="73" spans="1:26" ht="13.5"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2633</v>
      </c>
      <c r="G75" s="2737"/>
      <c r="N75" s="2737"/>
      <c r="S75" s="2737"/>
    </row>
    <row r="76" spans="1:26" s="2736" customFormat="1">
      <c r="A76" s="2736" t="s">
        <v>2634</v>
      </c>
      <c r="G76" s="2737"/>
      <c r="N76" s="2737"/>
      <c r="S76" s="2737"/>
    </row>
    <row r="77" spans="1:26" s="2736" customFormat="1">
      <c r="A77" s="2736" t="s">
        <v>2635</v>
      </c>
      <c r="G77" s="2737"/>
      <c r="I77" s="2738"/>
      <c r="J77" s="2738"/>
      <c r="K77" s="2738"/>
      <c r="L77" s="2738"/>
      <c r="N77" s="2739"/>
      <c r="O77" s="2738"/>
      <c r="P77" s="2738"/>
      <c r="Q77" s="2738"/>
      <c r="S77" s="2739"/>
      <c r="T77" s="2738"/>
      <c r="U77" s="2738"/>
      <c r="V77" s="2738"/>
    </row>
    <row r="78" spans="1:26" s="2736" customFormat="1">
      <c r="A78" s="2736" t="s">
        <v>2636</v>
      </c>
      <c r="G78" s="2737"/>
      <c r="N78" s="2737"/>
      <c r="S78" s="2737"/>
    </row>
    <row r="85" spans="7:22" ht="13.5" thickBot="1"/>
    <row r="86" spans="7:22">
      <c r="G86" s="2662"/>
      <c r="S86" s="2740" t="s">
        <v>2637</v>
      </c>
      <c r="T86" s="2741" t="s">
        <v>2638</v>
      </c>
      <c r="U86" s="2741" t="s">
        <v>2639</v>
      </c>
      <c r="V86" s="2741" t="s">
        <v>2640</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5"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56.25">
      <c r="A7" s="1797" t="s">
        <v>2749</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2941</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本次估价对象为出让国有建设用地使用权，《国有土地使用证》[]证载土地终止日期为商业2054年5月29日。截至估价期日，出让国有建设用地使用权剩余土地使用年限为。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E40" sqref="E39:E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2991</v>
      </c>
      <c r="D1" s="3123" t="s">
        <v>951</v>
      </c>
      <c r="E1" s="2386" t="s">
        <v>2376</v>
      </c>
      <c r="F1" s="2387">
        <f ca="1">J53</f>
        <v>35.56</v>
      </c>
      <c r="G1" s="774">
        <f>MATCH(C1,'数据-取费表'!A6:A16,0)+5</f>
        <v>6</v>
      </c>
      <c r="H1" s="2050"/>
      <c r="I1" s="2051"/>
      <c r="J1" s="2051"/>
      <c r="K1" s="2052"/>
      <c r="L1" s="2051"/>
      <c r="M1" s="2051"/>
      <c r="N1" s="2053"/>
      <c r="O1" s="2053"/>
      <c r="P1" s="2053"/>
      <c r="Q1" s="2391"/>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9340</v>
      </c>
      <c r="C2" s="2057"/>
      <c r="D2" s="2055"/>
      <c r="E2" s="2056"/>
      <c r="F2" s="2056"/>
      <c r="G2" s="1591"/>
      <c r="H2" s="2057"/>
      <c r="I2" s="2057"/>
      <c r="J2" s="2057"/>
      <c r="K2" s="2058"/>
      <c r="L2" s="2057"/>
      <c r="M2" s="2057"/>
    </row>
    <row r="3" spans="1:33" ht="18" customHeight="1" thickBot="1">
      <c r="A3" s="833" t="s">
        <v>1727</v>
      </c>
      <c r="B3" s="834">
        <f ca="1">IF(ISERROR(B2*10000/F43),0,ROUND(B2*10000/F43,0))</f>
        <v>5132</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718</v>
      </c>
      <c r="D5" s="2495" t="s">
        <v>2463</v>
      </c>
      <c r="E5" s="2489"/>
      <c r="F5" s="2490"/>
      <c r="G5" s="1593"/>
      <c r="H5" s="781">
        <v>1</v>
      </c>
      <c r="I5" s="782" t="s">
        <v>2460</v>
      </c>
      <c r="J5" s="55">
        <f ca="1">J6+J10+J12</f>
        <v>0</v>
      </c>
      <c r="K5" s="2495" t="s">
        <v>2463</v>
      </c>
      <c r="L5" s="2489"/>
      <c r="M5" s="2490"/>
    </row>
    <row r="6" spans="1:33" ht="18" customHeight="1">
      <c r="A6" s="1832" t="s">
        <v>1824</v>
      </c>
      <c r="B6" s="3434" t="s">
        <v>2465</v>
      </c>
      <c r="C6" s="783">
        <f ca="1">ROUND(F6*F8*F7*(1-F9)/10000,0)</f>
        <v>717</v>
      </c>
      <c r="D6" s="2496" t="s">
        <v>2464</v>
      </c>
      <c r="E6" s="784" t="s">
        <v>1738</v>
      </c>
      <c r="F6" s="785">
        <f ca="1">INDIRECT("'数据-取费表'!u"&amp;$G$1)</f>
        <v>1.2</v>
      </c>
      <c r="G6" s="1593"/>
      <c r="H6" s="2503" t="s">
        <v>2470</v>
      </c>
      <c r="I6" s="3434" t="s">
        <v>2465</v>
      </c>
      <c r="J6" s="783">
        <f ca="1">ROUND(M6*M8*M7*(1-M9)/10000,0)</f>
        <v>0</v>
      </c>
      <c r="K6" s="341" t="s">
        <v>1737</v>
      </c>
      <c r="L6" s="784" t="s">
        <v>1738</v>
      </c>
      <c r="M6" s="785">
        <f ca="1">INDIRECT("'数据-取费表'!z"&amp;$G$1)</f>
        <v>0</v>
      </c>
    </row>
    <row r="7" spans="1:33" ht="18" customHeight="1">
      <c r="A7" s="2499"/>
      <c r="B7" s="3435"/>
      <c r="C7" s="788"/>
      <c r="D7" s="789"/>
      <c r="E7" s="784" t="s">
        <v>1739</v>
      </c>
      <c r="F7" s="785">
        <f ca="1">IF(INDIRECT("'数据-取费表'!ah"&amp;$G$1)="",INDIRECT("'数据-取费表'!k"&amp;$G$1),INDIRECT("'数据-取费表'!ah"&amp;$G$1))</f>
        <v>18198</v>
      </c>
      <c r="G7" s="1593"/>
      <c r="H7" s="2488"/>
      <c r="I7" s="3435"/>
      <c r="J7" s="788"/>
      <c r="K7" s="789"/>
      <c r="L7" s="784" t="s">
        <v>1739</v>
      </c>
      <c r="M7" s="785">
        <f ca="1">F7</f>
        <v>18198</v>
      </c>
    </row>
    <row r="8" spans="1:33" ht="18" customHeight="1">
      <c r="A8" s="2492"/>
      <c r="B8" s="3436"/>
      <c r="C8" s="788"/>
      <c r="D8" s="789"/>
      <c r="E8" s="784" t="s">
        <v>1740</v>
      </c>
      <c r="F8" s="785">
        <f ca="1">INDIRECT("'数据-取费表'!ai"&amp;$G$1)</f>
        <v>365</v>
      </c>
      <c r="G8" s="1593"/>
      <c r="H8" s="2488"/>
      <c r="I8" s="3436"/>
      <c r="J8" s="788"/>
      <c r="K8" s="789"/>
      <c r="L8" s="784" t="s">
        <v>1740</v>
      </c>
      <c r="M8" s="785">
        <f ca="1">INDIRECT("'数据-取费表'!ai"&amp;$G$1)</f>
        <v>365</v>
      </c>
    </row>
    <row r="9" spans="1:33" ht="18" customHeight="1">
      <c r="A9" s="786"/>
      <c r="B9" s="3437"/>
      <c r="C9" s="788"/>
      <c r="D9" s="789"/>
      <c r="E9" s="784" t="s">
        <v>1741</v>
      </c>
      <c r="F9" s="794">
        <f ca="1">INDIRECT("'数据-取费表'!w"&amp;$G$1)</f>
        <v>0.1</v>
      </c>
      <c r="G9" s="1593"/>
      <c r="H9" s="2504"/>
      <c r="I9" s="3436"/>
      <c r="J9" s="788"/>
      <c r="K9" s="789"/>
      <c r="L9" s="795" t="s">
        <v>1741</v>
      </c>
      <c r="M9" s="796">
        <f ca="1">INDIRECT("'数据-取费表'!ab"&amp;$G$1)</f>
        <v>0</v>
      </c>
    </row>
    <row r="10" spans="1:33" ht="18" customHeight="1">
      <c r="A10" s="1832" t="s">
        <v>2468</v>
      </c>
      <c r="B10" s="2493" t="s">
        <v>2461</v>
      </c>
      <c r="C10" s="799">
        <f ca="1">ROUND(IF(F10="押一",C6/12*F11,IF(F10="押二",C6/12*2*F11,IF(F10="押三",C6/12*3*F11,C11*F11))),0)</f>
        <v>1</v>
      </c>
      <c r="D10" s="2500" t="s">
        <v>2974</v>
      </c>
      <c r="E10" s="2497" t="s">
        <v>2466</v>
      </c>
      <c r="F10" s="2620" t="s">
        <v>2995</v>
      </c>
      <c r="G10" s="1593"/>
      <c r="H10" s="2560" t="s">
        <v>2471</v>
      </c>
      <c r="I10" s="2565" t="s">
        <v>2461</v>
      </c>
      <c r="J10" s="783">
        <f ca="1">ROUND(IF(M10="押一",J6/12*M11,IF(M10="押二",J6/12*2*M11,IF(M10="押三",J6/12*3*M11,J11*M11))),0)</f>
        <v>0</v>
      </c>
      <c r="K10" s="2500" t="s">
        <v>2974</v>
      </c>
      <c r="L10" s="2497" t="s">
        <v>2466</v>
      </c>
      <c r="M10" s="2620"/>
    </row>
    <row r="11" spans="1:33" ht="18" customHeight="1">
      <c r="A11" s="790"/>
      <c r="B11" s="2494" t="s">
        <v>2575</v>
      </c>
      <c r="C11" s="2498"/>
      <c r="D11" s="789"/>
      <c r="E11" s="2497" t="s">
        <v>2467</v>
      </c>
      <c r="F11" s="796">
        <f ca="1">'数据-取费表'!B39</f>
        <v>1.4999999999999999E-2</v>
      </c>
      <c r="G11" s="1593"/>
      <c r="H11" s="2561"/>
      <c r="I11" s="2494" t="s">
        <v>2575</v>
      </c>
      <c r="J11" s="2498"/>
      <c r="K11" s="2562"/>
      <c r="L11" s="2497" t="s">
        <v>2467</v>
      </c>
      <c r="M11" s="2491">
        <f ca="1">'数据-取费表'!B39</f>
        <v>1.4999999999999999E-2</v>
      </c>
    </row>
    <row r="12" spans="1:33" ht="18" customHeight="1" thickBot="1">
      <c r="A12" s="2536" t="s">
        <v>2469</v>
      </c>
      <c r="B12" s="2537" t="s">
        <v>2462</v>
      </c>
      <c r="C12" s="2538"/>
      <c r="D12" s="2539"/>
      <c r="E12" s="2540"/>
      <c r="F12" s="2541"/>
      <c r="G12" s="1593"/>
      <c r="H12" s="2550" t="s">
        <v>2472</v>
      </c>
      <c r="I12" s="2563" t="s">
        <v>2462</v>
      </c>
      <c r="J12" s="2564"/>
      <c r="K12" s="2539"/>
      <c r="L12" s="2540"/>
      <c r="M12" s="2553"/>
    </row>
    <row r="13" spans="1:33" ht="18" customHeight="1" thickTop="1">
      <c r="A13" s="1831">
        <v>2</v>
      </c>
      <c r="B13" s="1829" t="s">
        <v>1742</v>
      </c>
      <c r="C13" s="792">
        <f ca="1">ROUND(C29*F13,0)</f>
        <v>6786</v>
      </c>
      <c r="D13" s="1836" t="s">
        <v>2299</v>
      </c>
      <c r="E13" s="1836" t="s">
        <v>1744</v>
      </c>
      <c r="F13" s="2535">
        <f ca="1">INDIRECT("'数据-取费表'!y"&amp;$G$1)</f>
        <v>1</v>
      </c>
      <c r="G13" s="1593"/>
      <c r="H13" s="1831">
        <v>2</v>
      </c>
      <c r="I13" s="1829" t="s">
        <v>1742</v>
      </c>
      <c r="J13" s="1821">
        <f ca="1">ROUND(J14*J15,0)</f>
        <v>0</v>
      </c>
      <c r="K13" s="1823" t="s">
        <v>1743</v>
      </c>
      <c r="L13" s="2551"/>
      <c r="M13" s="2552"/>
    </row>
    <row r="14" spans="1:33" ht="18" customHeight="1">
      <c r="A14" s="1649" t="s">
        <v>1884</v>
      </c>
      <c r="B14" s="784" t="s">
        <v>645</v>
      </c>
      <c r="C14" s="804">
        <f ca="1">INDIRECT("'数据-取费表'!m"&amp;$G$1)+INDIRECT("'数据-取费表'!t"&amp;$G$1)</f>
        <v>4550</v>
      </c>
      <c r="D14" s="1979" t="s">
        <v>1745</v>
      </c>
      <c r="E14" s="1980"/>
      <c r="F14" s="805"/>
      <c r="G14" s="1593"/>
      <c r="H14" s="1650" t="s">
        <v>1830</v>
      </c>
      <c r="I14" s="2231" t="s">
        <v>2828</v>
      </c>
      <c r="J14" s="53">
        <f ca="1">C29</f>
        <v>6786</v>
      </c>
      <c r="K14" s="26"/>
      <c r="L14" s="801"/>
      <c r="M14" s="802"/>
    </row>
    <row r="15" spans="1:33" s="2064" customFormat="1" ht="18" customHeight="1" thickBot="1">
      <c r="A15" s="1649" t="s">
        <v>1885</v>
      </c>
      <c r="B15" s="784" t="s">
        <v>647</v>
      </c>
      <c r="C15" s="53">
        <f ca="1">ROUND(C14*F15,0)</f>
        <v>137</v>
      </c>
      <c r="D15" s="806" t="s">
        <v>1746</v>
      </c>
      <c r="E15" s="806" t="s">
        <v>1747</v>
      </c>
      <c r="F15" s="807">
        <f>'数据-取费表'!B33</f>
        <v>0.03</v>
      </c>
      <c r="G15" s="1594"/>
      <c r="H15" s="2550" t="s">
        <v>1889</v>
      </c>
      <c r="I15" s="2545" t="s">
        <v>1744</v>
      </c>
      <c r="J15" s="2554">
        <f ca="1">INDIRECT("'数据-取费表'!ad"&amp;$G$1)</f>
        <v>0</v>
      </c>
      <c r="K15" s="2555"/>
      <c r="L15" s="2556"/>
      <c r="M15" s="2557"/>
      <c r="N15" s="2063"/>
      <c r="O15" s="2063"/>
      <c r="P15" s="2063"/>
      <c r="Q15" s="239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678</v>
      </c>
      <c r="K16" s="1823" t="s">
        <v>1750</v>
      </c>
      <c r="L16" s="2485"/>
      <c r="M16" s="2490"/>
    </row>
    <row r="17" spans="1:33" s="2064" customFormat="1" ht="18" customHeight="1">
      <c r="A17" s="1649" t="s">
        <v>1887</v>
      </c>
      <c r="B17" s="784" t="s">
        <v>653</v>
      </c>
      <c r="C17" s="53">
        <f ca="1">ROUND(F17*(F43+INDIRECT("'数据-取费表'!S"&amp;$G$1))/10000,0)</f>
        <v>364</v>
      </c>
      <c r="D17" s="784" t="s">
        <v>1751</v>
      </c>
      <c r="E17" s="784" t="s">
        <v>1752</v>
      </c>
      <c r="F17" s="56">
        <f>'数据-取费表'!B35</f>
        <v>200</v>
      </c>
      <c r="G17" s="1594"/>
      <c r="H17" s="1650" t="s">
        <v>1830</v>
      </c>
      <c r="I17" s="784" t="s">
        <v>656</v>
      </c>
      <c r="J17" s="53">
        <f ca="1">ROUND(IF(项目基本情况!B11="自然人",J5*M17,J18+J19+J20),0)</f>
        <v>576</v>
      </c>
      <c r="K17" s="2484" t="s">
        <v>1753</v>
      </c>
      <c r="L17" s="2483" t="s">
        <v>1754</v>
      </c>
      <c r="M17" s="810" t="str">
        <f ca="1">IF(项目基本情况!B11="企业","",IF(INDIRECT("'数据-取费表'!c"&amp;$G$1)="住宅",5%,IF(M6*M7*M8/12/(1+'数据-取费表'!C42)&gt;20000,12%,7%)))</f>
        <v/>
      </c>
      <c r="N17" s="2063"/>
      <c r="O17" s="2063"/>
      <c r="P17" s="2063"/>
      <c r="Q17" s="239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68</v>
      </c>
      <c r="D18" s="784" t="s">
        <v>1746</v>
      </c>
      <c r="E18" s="784" t="s">
        <v>1747</v>
      </c>
      <c r="F18" s="809">
        <f>'数据-取费表'!B36</f>
        <v>1.4999999999999999E-2</v>
      </c>
      <c r="G18" s="1594"/>
      <c r="H18" s="1649" t="s">
        <v>1884</v>
      </c>
      <c r="I18" s="784" t="s">
        <v>1755</v>
      </c>
      <c r="J18" s="53">
        <f ca="1">ROUND(J5*M18/1.05,1)</f>
        <v>0</v>
      </c>
      <c r="K18" s="2483" t="s">
        <v>1756</v>
      </c>
      <c r="L18" s="784" t="s">
        <v>1747</v>
      </c>
      <c r="M18" s="809">
        <f>'数据-取费表'!B41</f>
        <v>5.5000000000000007E-2</v>
      </c>
      <c r="N18" s="2063"/>
      <c r="O18" s="2063"/>
      <c r="P18" s="2063"/>
      <c r="Q18" s="2392"/>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5119</v>
      </c>
      <c r="D19" s="261" t="s">
        <v>1757</v>
      </c>
      <c r="E19" s="1982"/>
      <c r="F19" s="56"/>
      <c r="G19" s="1593"/>
      <c r="H19" s="1649" t="s">
        <v>1885</v>
      </c>
      <c r="I19" s="784" t="s">
        <v>1758</v>
      </c>
      <c r="J19" s="53">
        <f ca="1">IF(K19="按租金收入计税",ROUND(J5*M19,1),ROUND(C29*F33*0.7,1))</f>
        <v>570</v>
      </c>
      <c r="K19" s="811" t="s">
        <v>665</v>
      </c>
      <c r="L19" s="784" t="s">
        <v>1747</v>
      </c>
      <c r="M19" s="809">
        <f>IF(K19="按租金收入计税",'数据-取费表'!B51,'数据-取费表'!B50)</f>
        <v>1.2E-2</v>
      </c>
    </row>
    <row r="20" spans="1:33" s="2064" customFormat="1" ht="18" customHeight="1">
      <c r="A20" s="1650" t="s">
        <v>1889</v>
      </c>
      <c r="B20" s="784" t="s">
        <v>666</v>
      </c>
      <c r="C20" s="53">
        <f ca="1">ROUND(C19*F20,0)</f>
        <v>102</v>
      </c>
      <c r="D20" s="812" t="s">
        <v>1759</v>
      </c>
      <c r="E20" s="784" t="s">
        <v>1747</v>
      </c>
      <c r="F20" s="809">
        <f>'数据-取费表'!B37</f>
        <v>0.02</v>
      </c>
      <c r="G20" s="1594"/>
      <c r="H20" s="1652" t="s">
        <v>1880</v>
      </c>
      <c r="I20" s="341" t="s">
        <v>1760</v>
      </c>
      <c r="J20" s="54">
        <f ca="1">ROUND(M20*M21/10000,0)</f>
        <v>6</v>
      </c>
      <c r="K20" s="814" t="s">
        <v>1761</v>
      </c>
      <c r="L20" s="784" t="s">
        <v>1762</v>
      </c>
      <c r="M20" s="640">
        <f>'数据-取费表'!B52</f>
        <v>10</v>
      </c>
      <c r="N20" s="2063"/>
      <c r="O20" s="2063"/>
      <c r="P20" s="2063"/>
      <c r="Q20" s="239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0.03</v>
      </c>
      <c r="G21" s="1594"/>
      <c r="H21" s="2505"/>
      <c r="I21" s="793"/>
      <c r="J21" s="69"/>
      <c r="K21" s="816"/>
      <c r="L21" s="784" t="s">
        <v>1766</v>
      </c>
      <c r="M21" s="785">
        <f ca="1">INDIRECT("'数据-取费表'!r"&amp;$G$1)</f>
        <v>6066</v>
      </c>
      <c r="N21" s="2063"/>
      <c r="O21" s="2063"/>
      <c r="P21" s="2063"/>
      <c r="Q21" s="239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1"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102</v>
      </c>
      <c r="K22" s="2483"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185</v>
      </c>
      <c r="D23" s="257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83" t="s">
        <v>1771</v>
      </c>
      <c r="L23" s="784" t="s">
        <v>1747</v>
      </c>
      <c r="M23" s="818">
        <f ca="1">INDIRECT("'数据-取费表'!Al"&amp;$G$1)</f>
        <v>1.5E-3</v>
      </c>
      <c r="N23" s="2063"/>
      <c r="O23" s="2063"/>
      <c r="P23" s="2063"/>
      <c r="Q23" s="239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1.1000000000000001E-3</v>
      </c>
      <c r="D24" s="2570" t="str">
        <f>IF(F23&lt;=1,"销售费用×利率×(建设周期÷2)","销售费用×((1+利率)^(建设周期÷2)-1)")</f>
        <v>销售费用×((1+利率)^(建设周期÷2)-1)</v>
      </c>
      <c r="E24" s="784" t="s">
        <v>1773</v>
      </c>
      <c r="F24" s="819">
        <f ca="1">'数据-取费表'!B40</f>
        <v>4.7500000000000001E-2</v>
      </c>
      <c r="G24" s="1594"/>
      <c r="H24" s="2550" t="s">
        <v>1891</v>
      </c>
      <c r="I24" s="2545" t="s">
        <v>666</v>
      </c>
      <c r="J24" s="2543">
        <f ca="1">ROUND(J5*M24,0)</f>
        <v>0</v>
      </c>
      <c r="K24" s="2544" t="s">
        <v>1774</v>
      </c>
      <c r="L24" s="2545" t="s">
        <v>1747</v>
      </c>
      <c r="M24" s="2541">
        <f ca="1">INDIRECT("'数据-取费表'!Am"&amp;$G$1)</f>
        <v>0.01</v>
      </c>
      <c r="N24" s="2063"/>
      <c r="O24" s="2063"/>
      <c r="P24" s="2063"/>
      <c r="Q24" s="239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09" t="s">
        <v>2824</v>
      </c>
      <c r="J25" s="792">
        <f ca="1">J5-J16</f>
        <v>-678</v>
      </c>
      <c r="K25" s="2547" t="s">
        <v>1777</v>
      </c>
      <c r="L25" s="2548"/>
      <c r="M25" s="2549"/>
    </row>
    <row r="26" spans="1:33" ht="18" customHeight="1">
      <c r="A26" s="1649" t="s">
        <v>1831</v>
      </c>
      <c r="B26" s="784" t="s">
        <v>2440</v>
      </c>
      <c r="C26" s="53">
        <f ca="1">ROUND((C19+C20)*F26,0)</f>
        <v>783</v>
      </c>
      <c r="D26" s="812" t="s">
        <v>1778</v>
      </c>
      <c r="E26" s="795" t="s">
        <v>1779</v>
      </c>
      <c r="F26" s="794">
        <f ca="1">INDIRECT("'数据-取费表'!q"&amp;$G$1)</f>
        <v>0.15</v>
      </c>
      <c r="G26" s="1593"/>
      <c r="H26" s="2501"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4.4999999999999997E-3</v>
      </c>
      <c r="D27" s="812" t="s">
        <v>1782</v>
      </c>
      <c r="E27" s="806"/>
      <c r="F27" s="807"/>
      <c r="G27" s="1593"/>
      <c r="H27" s="2502"/>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3"/>
      <c r="O28" s="2063"/>
      <c r="P28" s="2063"/>
      <c r="Q28" s="239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2" t="s">
        <v>1892</v>
      </c>
      <c r="B29" s="2540" t="s">
        <v>2302</v>
      </c>
      <c r="C29" s="2543">
        <f ca="1">ROUND((C19+C20+C23+C26)/(1-F21-C24-C27-C28),0)</f>
        <v>6786</v>
      </c>
      <c r="D29" s="2544"/>
      <c r="E29" s="2545"/>
      <c r="F29" s="2546"/>
      <c r="G29" s="1594"/>
      <c r="H29" s="823" t="s">
        <v>1787</v>
      </c>
      <c r="I29" s="824" t="s">
        <v>1788</v>
      </c>
      <c r="J29" s="825">
        <f ca="1">ROUND(J26/(1+F40)^F41,0)</f>
        <v>0</v>
      </c>
      <c r="K29" s="826" t="s">
        <v>1789</v>
      </c>
      <c r="L29" s="827"/>
      <c r="M29" s="828">
        <f ca="1">INDIRECT("'数据-取费表'!k"&amp;$G$1)</f>
        <v>18198</v>
      </c>
      <c r="N29" s="2063"/>
      <c r="O29" s="2063"/>
      <c r="P29" s="2063"/>
      <c r="Q29" s="2392"/>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249</v>
      </c>
      <c r="D30" s="1823" t="s">
        <v>1791</v>
      </c>
      <c r="E30" s="2485"/>
      <c r="F30" s="2490"/>
      <c r="G30" s="2062"/>
      <c r="H30" s="2065"/>
      <c r="I30" s="2066"/>
      <c r="J30" s="2067"/>
      <c r="K30" s="2068"/>
      <c r="L30" s="2069"/>
      <c r="M30" s="2070"/>
    </row>
    <row r="31" spans="1:33" ht="18" customHeight="1">
      <c r="A31" s="1650" t="s">
        <v>1830</v>
      </c>
      <c r="B31" s="784" t="s">
        <v>656</v>
      </c>
      <c r="C31" s="53">
        <f ca="1">ROUND(IF(项目基本情况!B11="自然人",C5*F31,C32+C33+C34),1)</f>
        <v>129.9</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37.6</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86.2</v>
      </c>
      <c r="D33" s="811" t="s">
        <v>2996</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6.1</v>
      </c>
      <c r="D34" s="814" t="s">
        <v>1799</v>
      </c>
      <c r="E34" s="784" t="s">
        <v>1800</v>
      </c>
      <c r="F34" s="640">
        <f>'数据-取费表'!B52</f>
        <v>10</v>
      </c>
      <c r="G34" s="2062"/>
      <c r="H34" s="2065"/>
      <c r="I34" s="835" t="s">
        <v>1813</v>
      </c>
      <c r="J34" s="836"/>
      <c r="K34" s="2080"/>
      <c r="L34" s="2079"/>
      <c r="M34" s="2079"/>
    </row>
    <row r="35" spans="1:18" ht="18" customHeight="1">
      <c r="A35" s="815"/>
      <c r="B35" s="793"/>
      <c r="C35" s="69"/>
      <c r="D35" s="816"/>
      <c r="E35" s="784" t="s">
        <v>1801</v>
      </c>
      <c r="F35" s="785">
        <f ca="1">INDIRECT("'数据-取费表'!r"&amp;$G$1)</f>
        <v>6066</v>
      </c>
      <c r="G35" s="2062"/>
      <c r="H35" s="2065"/>
      <c r="I35" s="837" t="s">
        <v>1814</v>
      </c>
      <c r="J35" s="838">
        <f ca="1">ROUND(C13*J36,0)</f>
        <v>543</v>
      </c>
      <c r="K35" s="2078"/>
      <c r="L35" s="2077"/>
      <c r="M35" s="2077"/>
    </row>
    <row r="36" spans="1:18" ht="18" customHeight="1">
      <c r="A36" s="1650" t="s">
        <v>1889</v>
      </c>
      <c r="B36" s="784" t="s">
        <v>1802</v>
      </c>
      <c r="C36" s="53">
        <f ca="1">ROUND(C29*F36,1)</f>
        <v>101.8</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50" t="s">
        <v>1890</v>
      </c>
      <c r="B37" s="784" t="s">
        <v>679</v>
      </c>
      <c r="C37" s="53">
        <f ca="1">ROUND(C13*F37,1)</f>
        <v>10.199999999999999</v>
      </c>
      <c r="D37" s="1977" t="s">
        <v>1804</v>
      </c>
      <c r="E37" s="784" t="s">
        <v>1796</v>
      </c>
      <c r="F37" s="818">
        <f ca="1">INDIRECT("'数据-取费表'!Al"&amp;$G$1)</f>
        <v>1.5E-3</v>
      </c>
      <c r="G37" s="2062"/>
      <c r="H37" s="2077"/>
      <c r="I37" s="841" t="s">
        <v>1816</v>
      </c>
      <c r="J37" s="842"/>
      <c r="K37" s="2082"/>
      <c r="L37" s="2077"/>
      <c r="M37" s="2077"/>
    </row>
    <row r="38" spans="1:18" ht="18" customHeight="1" thickBot="1">
      <c r="A38" s="2550" t="s">
        <v>1891</v>
      </c>
      <c r="B38" s="2545" t="s">
        <v>666</v>
      </c>
      <c r="C38" s="2543">
        <f ca="1">ROUND(C5*F38,1)</f>
        <v>7.2</v>
      </c>
      <c r="D38" s="2544" t="s">
        <v>1805</v>
      </c>
      <c r="E38" s="2545" t="s">
        <v>1796</v>
      </c>
      <c r="F38" s="2541">
        <f ca="1">INDIRECT("'数据-取费表'!Am"&amp;$G$1)</f>
        <v>0.01</v>
      </c>
      <c r="G38" s="2062"/>
      <c r="H38" s="2077"/>
      <c r="I38" s="843" t="s">
        <v>1817</v>
      </c>
      <c r="J38" s="844"/>
      <c r="K38" s="2083"/>
      <c r="L38" s="2077"/>
      <c r="M38" s="2077"/>
    </row>
    <row r="39" spans="1:18" ht="24.6" customHeight="1" thickTop="1">
      <c r="A39" s="1831" t="s">
        <v>1894</v>
      </c>
      <c r="B39" s="3009" t="s">
        <v>2824</v>
      </c>
      <c r="C39" s="792">
        <f ca="1">C5-C30</f>
        <v>469</v>
      </c>
      <c r="D39" s="2547" t="s">
        <v>1806</v>
      </c>
      <c r="E39" s="2548"/>
      <c r="F39" s="2549"/>
      <c r="G39" s="2062"/>
      <c r="H39" s="2077"/>
      <c r="I39" s="837" t="s">
        <v>1818</v>
      </c>
      <c r="J39" s="845">
        <f ca="1">ROUND(J35/C39,3)</f>
        <v>1.1579999999999999</v>
      </c>
      <c r="K39" s="2083"/>
      <c r="L39" s="2077"/>
      <c r="M39" s="2077"/>
    </row>
    <row r="40" spans="1:18" ht="18" customHeight="1">
      <c r="A40" s="781" t="s">
        <v>1895</v>
      </c>
      <c r="B40" s="2232" t="s">
        <v>2303</v>
      </c>
      <c r="C40" s="783">
        <f ca="1">ROUND(C39*(1-((1+F42)/(1+F40))^F41)/(F40-F42),0)</f>
        <v>9340</v>
      </c>
      <c r="D40" s="814" t="s">
        <v>1807</v>
      </c>
      <c r="E40" s="784" t="s">
        <v>2421</v>
      </c>
      <c r="F40" s="794">
        <f ca="1">INDIRECT("'数据-取费表'!I"&amp;$G$1)</f>
        <v>0.06</v>
      </c>
      <c r="G40" s="2062"/>
      <c r="H40" s="2062"/>
      <c r="I40" s="837" t="s">
        <v>1819</v>
      </c>
      <c r="J40" s="845">
        <f ca="1">1-J39</f>
        <v>-0.15799999999999992</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35.56</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0.72699999999999998</v>
      </c>
      <c r="K42" s="2082"/>
      <c r="L42" s="1988"/>
      <c r="M42" s="1988"/>
    </row>
    <row r="43" spans="1:18" ht="18" customHeight="1" thickBot="1">
      <c r="A43" s="823" t="s">
        <v>1787</v>
      </c>
      <c r="B43" s="824" t="s">
        <v>1810</v>
      </c>
      <c r="C43" s="825">
        <f ca="1">ROUND(C40*10000/F43,0)</f>
        <v>5132</v>
      </c>
      <c r="D43" s="826" t="s">
        <v>1811</v>
      </c>
      <c r="E43" s="827" t="s">
        <v>1812</v>
      </c>
      <c r="F43" s="828">
        <f ca="1">INDIRECT("'数据-取费表'!k"&amp;$G$1)</f>
        <v>18198</v>
      </c>
      <c r="G43" s="2062"/>
      <c r="H43" s="1988"/>
      <c r="I43" s="847" t="s">
        <v>1822</v>
      </c>
      <c r="J43" s="848">
        <f ca="1">1-J42</f>
        <v>0.27300000000000002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3">
        <f ca="1">C67-C40</f>
        <v>-11059</v>
      </c>
      <c r="D46" s="2085"/>
      <c r="E46" s="2085"/>
      <c r="F46" s="2085"/>
      <c r="I46" s="2377" t="s">
        <v>2345</v>
      </c>
      <c r="J46" s="2378"/>
      <c r="K46" s="2379"/>
      <c r="L46" s="3158" t="str">
        <f ca="1">IF(OR(M47="住宅",D1="土地（套用方法）"),0,IF(L48&gt;J51,L60,J60))</f>
        <v>0</v>
      </c>
      <c r="O46" s="2393" t="s">
        <v>2412</v>
      </c>
      <c r="P46" s="1593"/>
      <c r="Q46" s="1605"/>
      <c r="R46" s="1593"/>
    </row>
    <row r="47" spans="1:18" s="2059" customFormat="1" ht="18" customHeight="1" thickBot="1">
      <c r="A47" s="2371">
        <v>1</v>
      </c>
      <c r="B47" s="2372" t="s">
        <v>635</v>
      </c>
      <c r="C47" s="2573">
        <f ca="1">C48+C52+C54</f>
        <v>0</v>
      </c>
      <c r="D47" s="2085"/>
      <c r="E47" s="2085"/>
      <c r="F47" s="2085"/>
      <c r="I47" s="3148" t="s">
        <v>2346</v>
      </c>
      <c r="J47" s="2380" t="s">
        <v>3065</v>
      </c>
      <c r="K47" s="3155" t="s">
        <v>2351</v>
      </c>
      <c r="L47" s="3159">
        <f ca="1">INDIRECT("'数据-取费表'!d"&amp;$G$1)</f>
        <v>40</v>
      </c>
      <c r="M47" s="1605" t="str">
        <f>IF(ISNUMBER(FIND("住宅",C1)),"住宅","非住宅")</f>
        <v>非住宅</v>
      </c>
      <c r="O47" s="2394" t="s">
        <v>2377</v>
      </c>
      <c r="P47" s="2395" t="s">
        <v>2378</v>
      </c>
      <c r="Q47" s="2396" t="s">
        <v>2379</v>
      </c>
      <c r="R47" s="2395" t="s">
        <v>2380</v>
      </c>
    </row>
    <row r="48" spans="1:18" s="2059" customFormat="1" ht="18" customHeight="1" thickBot="1">
      <c r="A48" s="2641" t="s">
        <v>2539</v>
      </c>
      <c r="B48" s="2642" t="s">
        <v>2540</v>
      </c>
      <c r="C48" s="2373">
        <f ca="1">ROUND(F48*F50*F49*(1-F51)/10000,0)</f>
        <v>0</v>
      </c>
      <c r="D48" s="2374" t="s">
        <v>636</v>
      </c>
      <c r="E48" s="2375" t="s">
        <v>2298</v>
      </c>
      <c r="F48" s="2376"/>
      <c r="G48" s="2090"/>
      <c r="I48" s="3124" t="s">
        <v>2347</v>
      </c>
      <c r="J48" s="2381" t="s">
        <v>2352</v>
      </c>
      <c r="K48" s="3156" t="s">
        <v>2353</v>
      </c>
      <c r="L48" s="1910">
        <f ca="1">INDIRECT("'数据-取费表'!f"&amp;$G$1)</f>
        <v>35.56</v>
      </c>
      <c r="O48" s="2397" t="s">
        <v>2381</v>
      </c>
      <c r="P48" s="2398" t="s">
        <v>2407</v>
      </c>
      <c r="Q48" s="2399">
        <f ca="1">C40+J29</f>
        <v>9340</v>
      </c>
      <c r="R48" s="2398" t="s">
        <v>2382</v>
      </c>
    </row>
    <row r="49" spans="1:18" s="2059" customFormat="1" ht="18" customHeight="1" thickBot="1">
      <c r="A49" s="786"/>
      <c r="B49" s="787"/>
      <c r="C49" s="788"/>
      <c r="D49" s="789"/>
      <c r="E49" s="784" t="s">
        <v>1739</v>
      </c>
      <c r="F49" s="785">
        <f ca="1">F7</f>
        <v>18198</v>
      </c>
      <c r="G49" s="2090"/>
      <c r="H49" s="2093"/>
      <c r="I49" s="3124" t="s">
        <v>2348</v>
      </c>
      <c r="J49" s="2382">
        <v>2020</v>
      </c>
      <c r="K49" s="3157" t="s">
        <v>2354</v>
      </c>
      <c r="L49" s="2383"/>
      <c r="O49" s="2397" t="s">
        <v>2383</v>
      </c>
      <c r="P49" s="2398" t="s">
        <v>2408</v>
      </c>
      <c r="Q49" s="2399" t="str">
        <f ca="1">J60</f>
        <v>0</v>
      </c>
      <c r="R49" s="2398"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3"/>
      <c r="O50" s="2400" t="s">
        <v>2385</v>
      </c>
      <c r="P50" s="2398" t="s">
        <v>2409</v>
      </c>
      <c r="Q50" s="2399">
        <f ca="1">C29</f>
        <v>6786</v>
      </c>
      <c r="R50" s="2398" t="s">
        <v>2382</v>
      </c>
    </row>
    <row r="51" spans="1:18" s="2059" customFormat="1" ht="18" customHeight="1" thickBot="1">
      <c r="A51" s="786"/>
      <c r="B51" s="787"/>
      <c r="C51" s="788"/>
      <c r="D51" s="789"/>
      <c r="E51" s="784" t="s">
        <v>640</v>
      </c>
      <c r="F51" s="2370"/>
      <c r="H51" s="2093"/>
      <c r="I51" s="3149" t="s">
        <v>2350</v>
      </c>
      <c r="J51" s="3153">
        <f>IF(J49="",J50,J49+J50-YEAR('数据-取费表'!B2))</f>
        <v>62</v>
      </c>
      <c r="K51" s="3124" t="s">
        <v>2356</v>
      </c>
      <c r="L51" s="3160">
        <f ca="1">ROUND(-PV(INDIRECT("'数据-取费表'!h"&amp;$G$1),L48,(C39-C13*J36),0),0)</f>
        <v>-1143</v>
      </c>
      <c r="O51" s="2400" t="s">
        <v>2386</v>
      </c>
      <c r="P51" s="2398" t="s">
        <v>2387</v>
      </c>
      <c r="Q51" s="2401" t="e">
        <f ca="1">J58</f>
        <v>#VALUE!</v>
      </c>
      <c r="R51" s="2402"/>
    </row>
    <row r="52" spans="1:18" s="2059" customFormat="1" ht="18" customHeight="1" thickBot="1">
      <c r="A52" s="781" t="s">
        <v>2538</v>
      </c>
      <c r="B52" s="2493" t="s">
        <v>2461</v>
      </c>
      <c r="C52" s="799">
        <f ca="1">ROUND(IF(F52="押一",C48/12*F11,IF(F52="押二",C48/12*2*F11,IF(F52="押三",C48/12*3*F11,C53*F11))),0)</f>
        <v>0</v>
      </c>
      <c r="D52" s="2500" t="s">
        <v>2975</v>
      </c>
      <c r="E52" s="2497" t="s">
        <v>2466</v>
      </c>
      <c r="F52" s="2620"/>
      <c r="I52" s="3150" t="s">
        <v>2423</v>
      </c>
      <c r="J52" s="2384">
        <v>8.5000000000000006E-2</v>
      </c>
      <c r="K52" s="3150" t="s">
        <v>2422</v>
      </c>
      <c r="L52" s="2384"/>
      <c r="O52" s="2400" t="s">
        <v>2388</v>
      </c>
      <c r="P52" s="2398" t="s">
        <v>2389</v>
      </c>
      <c r="Q52" s="2401">
        <f>J52</f>
        <v>8.5000000000000006E-2</v>
      </c>
      <c r="R52" s="2402"/>
    </row>
    <row r="53" spans="1:18" s="2059" customFormat="1" ht="39.75" customHeight="1" thickBot="1">
      <c r="A53" s="786"/>
      <c r="B53" s="2494" t="s">
        <v>2575</v>
      </c>
      <c r="C53" s="2498"/>
      <c r="D53" s="2500"/>
      <c r="E53" s="2497"/>
      <c r="F53" s="800"/>
      <c r="I53" s="3151" t="s">
        <v>2979</v>
      </c>
      <c r="J53" s="3154">
        <f ca="1">IF(M47="住宅",IF(D1="——",MAX(J51,L48),MAX(J51,L48-'数据-取费表'!B20)),IF(D1="——",MIN(J51,L48),MIN(J51,L48-'数据-取费表'!B20)))</f>
        <v>35.56</v>
      </c>
      <c r="K53" s="3450" t="s">
        <v>2966</v>
      </c>
      <c r="L53" s="3451"/>
      <c r="O53" s="2400" t="s">
        <v>2390</v>
      </c>
      <c r="P53" s="2398" t="s">
        <v>2391</v>
      </c>
      <c r="Q53" s="2399">
        <f ca="1">J53</f>
        <v>35.56</v>
      </c>
      <c r="R53" s="2398" t="s">
        <v>2392</v>
      </c>
    </row>
    <row r="54" spans="1:18" s="2059" customFormat="1" ht="18" customHeight="1" thickBot="1">
      <c r="A54" s="2536" t="s">
        <v>2469</v>
      </c>
      <c r="B54" s="2537" t="s">
        <v>2462</v>
      </c>
      <c r="C54" s="2538"/>
      <c r="D54" s="2500"/>
      <c r="E54" s="249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7" t="s">
        <v>2393</v>
      </c>
      <c r="P54" s="2398" t="s">
        <v>2410</v>
      </c>
      <c r="Q54" s="2399">
        <f ca="1">Q48+Q49</f>
        <v>9340</v>
      </c>
      <c r="R54" s="2402" t="s">
        <v>2394</v>
      </c>
    </row>
    <row r="55" spans="1:18" s="2059" customFormat="1" ht="18" customHeight="1" thickTop="1" thickBot="1">
      <c r="A55" s="797">
        <v>2</v>
      </c>
      <c r="B55" s="798" t="s">
        <v>644</v>
      </c>
      <c r="C55" s="799">
        <f ca="1">C13</f>
        <v>6786</v>
      </c>
      <c r="D55" s="795"/>
      <c r="E55" s="795"/>
      <c r="F55" s="800"/>
      <c r="I55" s="3163" t="s">
        <v>2357</v>
      </c>
      <c r="J55" s="3099" t="e">
        <f ca="1">ROUND(IF(J47="钢混",J57/J50,1-(1-2%)*(J50-J57)/J50),3)</f>
        <v>#VALUE!</v>
      </c>
      <c r="K55" s="3164" t="s">
        <v>2358</v>
      </c>
      <c r="L55" s="2385"/>
      <c r="O55" s="2403" t="s">
        <v>2413</v>
      </c>
      <c r="P55" s="1593"/>
      <c r="Q55" s="1605"/>
      <c r="R55" s="1593"/>
    </row>
    <row r="56" spans="1:18" s="2059" customFormat="1" ht="42.75" customHeight="1" thickBot="1">
      <c r="A56" s="1651"/>
      <c r="B56" s="2231" t="s">
        <v>2304</v>
      </c>
      <c r="C56" s="53">
        <f ca="1">C29</f>
        <v>6786</v>
      </c>
      <c r="D56" s="2638"/>
      <c r="E56" s="784"/>
      <c r="F56" s="809"/>
      <c r="I56" s="3165" t="s">
        <v>2359</v>
      </c>
      <c r="J56" s="3175" t="s">
        <v>1678</v>
      </c>
      <c r="K56" s="3124" t="s">
        <v>2364</v>
      </c>
      <c r="L56" s="1910" t="str">
        <f ca="1">IF(L48&lt;J51,"——",L48-J51)</f>
        <v>——</v>
      </c>
      <c r="O56" s="2394" t="s">
        <v>2377</v>
      </c>
      <c r="P56" s="2395" t="s">
        <v>2378</v>
      </c>
      <c r="Q56" s="2396" t="s">
        <v>2379</v>
      </c>
      <c r="R56" s="2395" t="s">
        <v>2380</v>
      </c>
    </row>
    <row r="57" spans="1:18" s="2059" customFormat="1" ht="28.5" customHeight="1" thickBot="1">
      <c r="A57" s="797" t="s">
        <v>1748</v>
      </c>
      <c r="B57" s="798" t="s">
        <v>651</v>
      </c>
      <c r="C57" s="799">
        <f ca="1">ROUND(C58+C63+C64+C65,0)</f>
        <v>118</v>
      </c>
      <c r="D57" s="26" t="s">
        <v>1750</v>
      </c>
      <c r="E57" s="2639"/>
      <c r="F57" s="56"/>
      <c r="I57" s="3166" t="s">
        <v>2360</v>
      </c>
      <c r="J57" s="3167" t="str">
        <f ca="1">IF(OR(M47="住宅",J51&lt;L48,J56="是"),"——",J51-L48)</f>
        <v>——</v>
      </c>
      <c r="K57" s="3124" t="s">
        <v>2365</v>
      </c>
      <c r="L57" s="1910" t="str">
        <f ca="1">IF(L48&lt;J51,"——",IF(L55="比较法",L49,IF(L55="基准地价",L50,L51)))</f>
        <v>——</v>
      </c>
      <c r="O57" s="2397" t="s">
        <v>2381</v>
      </c>
      <c r="P57" s="2398" t="s">
        <v>2411</v>
      </c>
      <c r="Q57" s="2399">
        <f ca="1">C40+J29</f>
        <v>9340</v>
      </c>
      <c r="R57" s="2398" t="s">
        <v>2382</v>
      </c>
    </row>
    <row r="58" spans="1:18" s="2059" customFormat="1" ht="28.5" customHeight="1" thickBot="1">
      <c r="A58" s="1650" t="s">
        <v>1824</v>
      </c>
      <c r="B58" s="784" t="s">
        <v>656</v>
      </c>
      <c r="C58" s="53">
        <f ca="1">ROUND(IF(项目基本情况!B11="自然人",C47*F58,C59+C60+C61),1)</f>
        <v>6.1</v>
      </c>
      <c r="D58" s="2637" t="s">
        <v>657</v>
      </c>
      <c r="E58" s="2638" t="s">
        <v>690</v>
      </c>
      <c r="F58" s="810" t="str">
        <f ca="1">IF(项目基本情况!B11="企业","",IF(INDIRECT("'数据-取费表'!c"&amp;$G$1)="住宅",5%,IF(F48*F49*F50/12/(1+'数据-取费表'!C42)&gt;20000,12%,7%)))</f>
        <v/>
      </c>
      <c r="I58" s="3166" t="s">
        <v>2361</v>
      </c>
      <c r="J58" s="3100" t="e">
        <f ca="1">IF(J55&lt;0.4,0.4,J55)</f>
        <v>#VALUE!</v>
      </c>
      <c r="K58" s="3124" t="s">
        <v>2366</v>
      </c>
      <c r="L58" s="1910" t="e">
        <f ca="1">ROUND(POWER(1+L52,L47-L48)*(POWER(1+L52,L48)-1)/(POWER(1+L52,L47)-1),4)</f>
        <v>#DIV/0!</v>
      </c>
      <c r="O58" s="2397" t="s">
        <v>2383</v>
      </c>
      <c r="P58" s="2398" t="s">
        <v>2414</v>
      </c>
      <c r="Q58" s="2399">
        <f ca="1">L60</f>
        <v>0</v>
      </c>
      <c r="R58" s="2402" t="s">
        <v>2416</v>
      </c>
    </row>
    <row r="59" spans="1:18" s="2059" customFormat="1" ht="28.5" customHeight="1" thickBot="1">
      <c r="A59" s="1649" t="s">
        <v>1831</v>
      </c>
      <c r="B59" s="784" t="s">
        <v>660</v>
      </c>
      <c r="C59" s="53">
        <f ca="1">ROUND(C47*F59/1.05,1)</f>
        <v>0</v>
      </c>
      <c r="D59" s="2638" t="s">
        <v>1756</v>
      </c>
      <c r="E59" s="784" t="s">
        <v>1747</v>
      </c>
      <c r="F59" s="809">
        <f t="shared" ref="F59:F65" si="0">F32</f>
        <v>5.5000000000000007E-2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9" customFormat="1" ht="18" customHeight="1" thickBot="1">
      <c r="A60" s="1649" t="s">
        <v>1832</v>
      </c>
      <c r="B60" s="784" t="s">
        <v>1758</v>
      </c>
      <c r="C60" s="53">
        <f ca="1">IF(D60="按租金收入计税",ROUND(C47*F60,1),IF(D60="按房产原值计税",ROUND(C56*F60*0.7,1),INDIRECT("'数据-取费表'!Aj"&amp;$G$1)))</f>
        <v>0</v>
      </c>
      <c r="D60" s="2638"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0" t="s">
        <v>2386</v>
      </c>
      <c r="P60" s="2398" t="s">
        <v>2395</v>
      </c>
      <c r="Q60" s="2401">
        <f>L52</f>
        <v>0</v>
      </c>
      <c r="R60" s="2402"/>
    </row>
    <row r="61" spans="1:18" s="2059" customFormat="1" ht="18" customHeight="1" thickBot="1">
      <c r="A61" s="1652" t="s">
        <v>1833</v>
      </c>
      <c r="B61" s="341" t="s">
        <v>668</v>
      </c>
      <c r="C61" s="54">
        <f ca="1">ROUND(F61*F62/10000,1)</f>
        <v>6.1</v>
      </c>
      <c r="D61" s="814" t="s">
        <v>669</v>
      </c>
      <c r="E61" s="784" t="s">
        <v>670</v>
      </c>
      <c r="F61" s="640">
        <f t="shared" si="0"/>
        <v>10</v>
      </c>
      <c r="K61" s="2086"/>
      <c r="O61" s="2400" t="s">
        <v>2388</v>
      </c>
      <c r="P61" s="2398" t="s">
        <v>2396</v>
      </c>
      <c r="Q61" s="2399" t="e">
        <f ca="1">L58</f>
        <v>#DIV/0!</v>
      </c>
      <c r="R61" s="2402" t="s">
        <v>2397</v>
      </c>
    </row>
    <row r="62" spans="1:18" s="2059" customFormat="1" ht="15.75" thickBot="1">
      <c r="A62" s="815"/>
      <c r="B62" s="793"/>
      <c r="C62" s="69"/>
      <c r="D62" s="816"/>
      <c r="E62" s="784" t="s">
        <v>674</v>
      </c>
      <c r="F62" s="785">
        <f t="shared" ca="1" si="0"/>
        <v>6066</v>
      </c>
      <c r="I62" s="3171" t="s">
        <v>2369</v>
      </c>
      <c r="J62" s="3172" t="s">
        <v>2370</v>
      </c>
      <c r="K62" s="3172" t="s">
        <v>2371</v>
      </c>
      <c r="L62" s="3172" t="s">
        <v>2352</v>
      </c>
      <c r="M62" s="3173" t="s">
        <v>2942</v>
      </c>
      <c r="O62" s="2400" t="s">
        <v>2390</v>
      </c>
      <c r="P62" s="2398" t="str">
        <f>K59</f>
        <v>建筑物剩余耐用年限下的土地年期修正系数Kn</v>
      </c>
      <c r="Q62" s="2399" t="e">
        <f ca="1">L59</f>
        <v>#DIV/0!</v>
      </c>
      <c r="R62" s="2402" t="s">
        <v>2399</v>
      </c>
    </row>
    <row r="63" spans="1:18" s="2059" customFormat="1" ht="15.75" thickBot="1">
      <c r="A63" s="1650" t="s">
        <v>1889</v>
      </c>
      <c r="B63" s="784" t="s">
        <v>676</v>
      </c>
      <c r="C63" s="53">
        <f ca="1">ROUND(C56*F63,1)</f>
        <v>101.8</v>
      </c>
      <c r="D63" s="2638" t="s">
        <v>1803</v>
      </c>
      <c r="E63" s="784" t="s">
        <v>1747</v>
      </c>
      <c r="F63" s="817">
        <f t="shared" ca="1" si="0"/>
        <v>1.4999999999999999E-2</v>
      </c>
      <c r="I63" s="3171" t="s">
        <v>2372</v>
      </c>
      <c r="J63" s="3172">
        <v>70</v>
      </c>
      <c r="K63" s="3172">
        <v>50</v>
      </c>
      <c r="L63" s="3172">
        <v>80</v>
      </c>
      <c r="M63" s="3174">
        <v>0.02</v>
      </c>
      <c r="O63" s="2397" t="s">
        <v>2393</v>
      </c>
      <c r="P63" s="2398" t="s">
        <v>2410</v>
      </c>
      <c r="Q63" s="2399">
        <f ca="1">Q57+Q58</f>
        <v>9340</v>
      </c>
      <c r="R63" s="2402" t="s">
        <v>2394</v>
      </c>
    </row>
    <row r="64" spans="1:18" s="2059" customFormat="1" ht="16.5" thickBot="1">
      <c r="A64" s="1650" t="s">
        <v>1890</v>
      </c>
      <c r="B64" s="784" t="s">
        <v>679</v>
      </c>
      <c r="C64" s="53">
        <f ca="1">ROUND(C55*F64,1)</f>
        <v>10.199999999999999</v>
      </c>
      <c r="D64" s="2638" t="s">
        <v>680</v>
      </c>
      <c r="E64" s="784" t="s">
        <v>1747</v>
      </c>
      <c r="F64" s="818">
        <f t="shared" ca="1" si="0"/>
        <v>1.5E-3</v>
      </c>
      <c r="I64" s="3171" t="s">
        <v>2373</v>
      </c>
      <c r="J64" s="3172">
        <v>50</v>
      </c>
      <c r="K64" s="3172">
        <v>35</v>
      </c>
      <c r="L64" s="3172">
        <v>60</v>
      </c>
      <c r="M64" s="846">
        <v>0</v>
      </c>
      <c r="O64" s="2403" t="s">
        <v>2417</v>
      </c>
      <c r="P64" s="1593"/>
      <c r="Q64" s="1605"/>
      <c r="R64" s="1593"/>
    </row>
    <row r="65" spans="1:18" s="2059" customFormat="1" ht="15.75" thickBot="1">
      <c r="A65" s="1650" t="s">
        <v>1891</v>
      </c>
      <c r="B65" s="784" t="s">
        <v>666</v>
      </c>
      <c r="C65" s="53">
        <f ca="1">ROUND(C47*F65,1)</f>
        <v>0</v>
      </c>
      <c r="D65" s="2638" t="s">
        <v>683</v>
      </c>
      <c r="E65" s="784" t="s">
        <v>1747</v>
      </c>
      <c r="F65" s="794">
        <f t="shared" ca="1" si="0"/>
        <v>0.01</v>
      </c>
      <c r="I65" s="3171" t="s">
        <v>2374</v>
      </c>
      <c r="J65" s="3172">
        <v>40</v>
      </c>
      <c r="K65" s="3172">
        <v>30</v>
      </c>
      <c r="L65" s="3172">
        <v>50</v>
      </c>
      <c r="M65" s="3174">
        <v>0.02</v>
      </c>
      <c r="O65" s="2394" t="s">
        <v>2377</v>
      </c>
      <c r="P65" s="2395" t="s">
        <v>2378</v>
      </c>
      <c r="Q65" s="2396" t="s">
        <v>2379</v>
      </c>
      <c r="R65" s="2395" t="s">
        <v>2380</v>
      </c>
    </row>
    <row r="66" spans="1:18" s="2059" customFormat="1" ht="24.75" thickBot="1">
      <c r="A66" s="797" t="s">
        <v>1776</v>
      </c>
      <c r="B66" s="3010" t="s">
        <v>2824</v>
      </c>
      <c r="C66" s="799">
        <f ca="1">C47-C57</f>
        <v>-118</v>
      </c>
      <c r="D66" s="2637" t="s">
        <v>700</v>
      </c>
      <c r="E66" s="2636"/>
      <c r="F66" s="820"/>
      <c r="K66" s="2086"/>
      <c r="O66" s="2397" t="s">
        <v>2381</v>
      </c>
      <c r="P66" s="2398" t="s">
        <v>2411</v>
      </c>
      <c r="Q66" s="2399">
        <f ca="1">C40+J29</f>
        <v>9340</v>
      </c>
      <c r="R66" s="2398" t="s">
        <v>2382</v>
      </c>
    </row>
    <row r="67" spans="1:18" s="2059" customFormat="1" ht="20.25" thickBot="1">
      <c r="A67" s="781" t="s">
        <v>1780</v>
      </c>
      <c r="B67" s="2232" t="s">
        <v>2303</v>
      </c>
      <c r="C67" s="783">
        <f ca="1">ROUND(C66*(1-((1+F69)/(1+F67))^F68)/(F67-F69),0)</f>
        <v>-1719</v>
      </c>
      <c r="D67" s="814" t="s">
        <v>704</v>
      </c>
      <c r="E67" s="784" t="s">
        <v>705</v>
      </c>
      <c r="F67" s="794">
        <f ca="1">F40</f>
        <v>0.06</v>
      </c>
      <c r="K67" s="2086"/>
      <c r="O67" s="2397" t="s">
        <v>2383</v>
      </c>
      <c r="P67" s="2398" t="s">
        <v>2414</v>
      </c>
      <c r="Q67" s="2399">
        <f ca="1">L60</f>
        <v>0</v>
      </c>
      <c r="R67" s="2402" t="s">
        <v>2416</v>
      </c>
    </row>
    <row r="68" spans="1:18" ht="21.75" thickBot="1">
      <c r="A68" s="786"/>
      <c r="B68" s="787"/>
      <c r="C68" s="788"/>
      <c r="D68" s="821" t="s">
        <v>1808</v>
      </c>
      <c r="E68" s="784" t="s">
        <v>1784</v>
      </c>
      <c r="F68" s="822">
        <f ca="1">F41</f>
        <v>35.56</v>
      </c>
      <c r="O68" s="2400" t="s">
        <v>2385</v>
      </c>
      <c r="P68" s="2398" t="s">
        <v>2415</v>
      </c>
      <c r="Q68" s="2404">
        <f ca="1">L51</f>
        <v>-1143</v>
      </c>
      <c r="R68" s="2405" t="s">
        <v>2418</v>
      </c>
    </row>
    <row r="69" spans="1:18" ht="20.25" thickBot="1">
      <c r="A69" s="790"/>
      <c r="B69" s="791"/>
      <c r="C69" s="792"/>
      <c r="D69" s="816"/>
      <c r="E69" s="784" t="s">
        <v>710</v>
      </c>
      <c r="F69" s="2370"/>
      <c r="O69" s="2400" t="s">
        <v>2386</v>
      </c>
      <c r="P69" s="2406" t="s">
        <v>2400</v>
      </c>
      <c r="Q69" s="2399">
        <f ca="1">ROUND(Q70-Q71*Q72,0)</f>
        <v>-74</v>
      </c>
      <c r="R69" s="2402"/>
    </row>
    <row r="70" spans="1:18" ht="15.75" thickBot="1">
      <c r="A70" s="823" t="s">
        <v>1787</v>
      </c>
      <c r="B70" s="824" t="s">
        <v>1810</v>
      </c>
      <c r="C70" s="825">
        <f ca="1">ROUND(C67*10000/F70,0)</f>
        <v>-945</v>
      </c>
      <c r="D70" s="826" t="s">
        <v>1811</v>
      </c>
      <c r="E70" s="827" t="s">
        <v>1812</v>
      </c>
      <c r="F70" s="828">
        <f ca="1">F43</f>
        <v>18198</v>
      </c>
      <c r="O70" s="2400" t="s">
        <v>2401</v>
      </c>
      <c r="P70" s="2406" t="s">
        <v>2402</v>
      </c>
      <c r="Q70" s="2399">
        <f ca="1">C39</f>
        <v>469</v>
      </c>
      <c r="R70" s="2398" t="s">
        <v>2382</v>
      </c>
    </row>
    <row r="71" spans="1:18" ht="15.75" thickBot="1">
      <c r="O71" s="2400" t="s">
        <v>2403</v>
      </c>
      <c r="P71" s="2406" t="s">
        <v>2404</v>
      </c>
      <c r="Q71" s="2399">
        <f ca="1">C13</f>
        <v>6786</v>
      </c>
      <c r="R71" s="2398" t="s">
        <v>2382</v>
      </c>
    </row>
    <row r="72" spans="1:18" ht="15.75" thickBot="1">
      <c r="O72" s="2400" t="s">
        <v>2405</v>
      </c>
      <c r="P72" s="2406" t="s">
        <v>2406</v>
      </c>
      <c r="Q72" s="2401">
        <f ca="1">J36</f>
        <v>0.08</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建筑物剩余耐用年限下的土地年期修正系数Kn</v>
      </c>
      <c r="Q75" s="2399" t="e">
        <f ca="1">L59</f>
        <v>#DIV/0!</v>
      </c>
      <c r="R75" s="2402" t="s">
        <v>2399</v>
      </c>
    </row>
    <row r="76" spans="1:18" ht="15.75" thickBot="1">
      <c r="O76" s="2397" t="s">
        <v>2393</v>
      </c>
      <c r="P76" s="2398" t="s">
        <v>2410</v>
      </c>
      <c r="Q76" s="2399">
        <f ca="1">Q66+Q67</f>
        <v>9340</v>
      </c>
      <c r="R76" s="240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2473</v>
      </c>
      <c r="B1" s="3469"/>
      <c r="C1" s="3470"/>
      <c r="D1" s="3471">
        <f>SUM(I10,I15,I20,I21,I23)</f>
        <v>0</v>
      </c>
      <c r="E1" s="3471"/>
      <c r="F1" s="3471"/>
      <c r="G1" s="3471"/>
      <c r="H1" s="3471"/>
      <c r="I1" s="3472"/>
    </row>
    <row r="2" spans="1:9">
      <c r="A2" s="3458" t="s">
        <v>2474</v>
      </c>
      <c r="B2" s="3459" t="s">
        <v>2475</v>
      </c>
      <c r="C2" s="3459"/>
      <c r="D2" s="2506" t="s">
        <v>2476</v>
      </c>
      <c r="E2" s="2506" t="s">
        <v>2477</v>
      </c>
      <c r="F2" s="2506" t="s">
        <v>2478</v>
      </c>
      <c r="G2" s="2506" t="s">
        <v>2479</v>
      </c>
      <c r="H2" s="2506" t="s">
        <v>2480</v>
      </c>
      <c r="I2" s="2507" t="s">
        <v>2481</v>
      </c>
    </row>
    <row r="3" spans="1:9">
      <c r="A3" s="3458"/>
      <c r="B3" s="3459" t="s">
        <v>2482</v>
      </c>
      <c r="C3" s="3459"/>
      <c r="D3" s="2508"/>
      <c r="E3" s="2506"/>
      <c r="F3" s="2509"/>
      <c r="G3" s="2509"/>
      <c r="H3" s="2510"/>
      <c r="I3" s="2511">
        <f>ROUND(D3*E3*F3*G3*H3/10000,0)</f>
        <v>0</v>
      </c>
    </row>
    <row r="4" spans="1:9">
      <c r="A4" s="3458"/>
      <c r="B4" s="3459" t="s">
        <v>2483</v>
      </c>
      <c r="C4" s="3459"/>
      <c r="D4" s="2508"/>
      <c r="E4" s="2506"/>
      <c r="F4" s="2509"/>
      <c r="G4" s="2509"/>
      <c r="H4" s="2510"/>
      <c r="I4" s="2511">
        <f t="shared" ref="I4:I9" si="0">ROUND(D4*E4*F4*G4*H4/10000,0)</f>
        <v>0</v>
      </c>
    </row>
    <row r="5" spans="1:9">
      <c r="A5" s="3458"/>
      <c r="B5" s="3459" t="s">
        <v>2484</v>
      </c>
      <c r="C5" s="3459"/>
      <c r="D5" s="2508"/>
      <c r="E5" s="2506"/>
      <c r="F5" s="2509"/>
      <c r="G5" s="2509"/>
      <c r="H5" s="2510"/>
      <c r="I5" s="2511">
        <f t="shared" si="0"/>
        <v>0</v>
      </c>
    </row>
    <row r="6" spans="1:9">
      <c r="A6" s="3458"/>
      <c r="B6" s="3459" t="s">
        <v>2485</v>
      </c>
      <c r="C6" s="3459"/>
      <c r="D6" s="2508"/>
      <c r="E6" s="2506"/>
      <c r="F6" s="2509"/>
      <c r="G6" s="2509"/>
      <c r="H6" s="2510"/>
      <c r="I6" s="2511">
        <f t="shared" si="0"/>
        <v>0</v>
      </c>
    </row>
    <row r="7" spans="1:9">
      <c r="A7" s="3458"/>
      <c r="B7" s="3459" t="s">
        <v>2486</v>
      </c>
      <c r="C7" s="3459"/>
      <c r="D7" s="2508"/>
      <c r="E7" s="2506"/>
      <c r="F7" s="2509"/>
      <c r="G7" s="2509"/>
      <c r="H7" s="2510"/>
      <c r="I7" s="2511">
        <f t="shared" si="0"/>
        <v>0</v>
      </c>
    </row>
    <row r="8" spans="1:9">
      <c r="A8" s="3458"/>
      <c r="B8" s="3459" t="s">
        <v>2487</v>
      </c>
      <c r="C8" s="3459"/>
      <c r="D8" s="2508"/>
      <c r="E8" s="2506"/>
      <c r="F8" s="2509"/>
      <c r="G8" s="2509"/>
      <c r="H8" s="2510"/>
      <c r="I8" s="2511">
        <f t="shared" si="0"/>
        <v>0</v>
      </c>
    </row>
    <row r="9" spans="1:9">
      <c r="A9" s="3458"/>
      <c r="B9" s="3459" t="s">
        <v>2488</v>
      </c>
      <c r="C9" s="3459"/>
      <c r="D9" s="2508"/>
      <c r="E9" s="2506"/>
      <c r="F9" s="2509"/>
      <c r="G9" s="2509"/>
      <c r="H9" s="2510"/>
      <c r="I9" s="2511">
        <f t="shared" si="0"/>
        <v>0</v>
      </c>
    </row>
    <row r="10" spans="1:9">
      <c r="A10" s="3458"/>
      <c r="B10" s="3460" t="s">
        <v>2489</v>
      </c>
      <c r="C10" s="3460"/>
      <c r="D10" s="2512">
        <v>527</v>
      </c>
      <c r="E10" s="2512" t="e">
        <f>ROUND(D1*10000/D10/H9,0)</f>
        <v>#DIV/0!</v>
      </c>
      <c r="F10" s="2513"/>
      <c r="G10" s="2513"/>
      <c r="H10" s="2514"/>
      <c r="I10" s="2515">
        <f>SUM(I3:I9)</f>
        <v>0</v>
      </c>
    </row>
    <row r="11" spans="1:9" ht="14.25">
      <c r="A11" s="3458" t="s">
        <v>2490</v>
      </c>
      <c r="B11" s="3459" t="s">
        <v>2491</v>
      </c>
      <c r="C11" s="3459"/>
      <c r="D11" s="2508" t="s">
        <v>2492</v>
      </c>
      <c r="E11" s="2508" t="s">
        <v>2493</v>
      </c>
      <c r="F11" s="2509" t="s">
        <v>2494</v>
      </c>
      <c r="G11" s="2509" t="s">
        <v>2495</v>
      </c>
      <c r="H11" s="2516" t="s">
        <v>2496</v>
      </c>
      <c r="I11" s="2507" t="s">
        <v>2497</v>
      </c>
    </row>
    <row r="12" spans="1:9">
      <c r="A12" s="3458"/>
      <c r="B12" s="3459" t="s">
        <v>2498</v>
      </c>
      <c r="C12" s="3459"/>
      <c r="D12" s="2508"/>
      <c r="E12" s="2508"/>
      <c r="F12" s="2509"/>
      <c r="G12" s="2510"/>
      <c r="H12" s="2517"/>
      <c r="I12" s="2507">
        <f>ROUND(D12*E12*F12*G12/10000,0)</f>
        <v>0</v>
      </c>
    </row>
    <row r="13" spans="1:9">
      <c r="A13" s="3458"/>
      <c r="B13" s="3459" t="s">
        <v>2499</v>
      </c>
      <c r="C13" s="3459"/>
      <c r="D13" s="2508"/>
      <c r="E13" s="2508"/>
      <c r="F13" s="2509"/>
      <c r="G13" s="2510"/>
      <c r="H13" s="2517"/>
      <c r="I13" s="2507">
        <f>ROUND(D13*E13*F13*G13/10000,0)</f>
        <v>0</v>
      </c>
    </row>
    <row r="14" spans="1:9">
      <c r="A14" s="3458"/>
      <c r="B14" s="3459" t="s">
        <v>2500</v>
      </c>
      <c r="C14" s="3459"/>
      <c r="D14" s="2508"/>
      <c r="E14" s="2508"/>
      <c r="F14" s="2509"/>
      <c r="G14" s="2510"/>
      <c r="H14" s="2517"/>
      <c r="I14" s="2507">
        <f>ROUND(D14*E14*F14*G14/10000,0)</f>
        <v>0</v>
      </c>
    </row>
    <row r="15" spans="1:9">
      <c r="A15" s="3458"/>
      <c r="B15" s="3460" t="s">
        <v>2489</v>
      </c>
      <c r="C15" s="3460"/>
      <c r="D15" s="2512"/>
      <c r="E15" s="2512">
        <f>SUM(E12:E14)</f>
        <v>0</v>
      </c>
      <c r="F15" s="2513"/>
      <c r="G15" s="2510"/>
      <c r="H15" s="2517"/>
      <c r="I15" s="2518">
        <f>SUM(I12:I14)</f>
        <v>0</v>
      </c>
    </row>
    <row r="16" spans="1:9" ht="24">
      <c r="A16" s="3458" t="s">
        <v>2501</v>
      </c>
      <c r="B16" s="3459" t="s">
        <v>2502</v>
      </c>
      <c r="C16" s="3459"/>
      <c r="D16" s="2508" t="s">
        <v>2503</v>
      </c>
      <c r="E16" s="2519" t="s">
        <v>2504</v>
      </c>
      <c r="F16" s="2509" t="s">
        <v>2505</v>
      </c>
      <c r="G16" s="2510" t="s">
        <v>2495</v>
      </c>
      <c r="H16" s="2516" t="s">
        <v>2496</v>
      </c>
      <c r="I16" s="2507" t="s">
        <v>2497</v>
      </c>
    </row>
    <row r="17" spans="1:9" ht="14.25">
      <c r="A17" s="3458"/>
      <c r="B17" s="3459" t="s">
        <v>2506</v>
      </c>
      <c r="C17" s="3459"/>
      <c r="D17" s="2508"/>
      <c r="E17" s="2508"/>
      <c r="F17" s="2509"/>
      <c r="G17" s="2510"/>
      <c r="H17" s="2520"/>
      <c r="I17" s="2521">
        <f>ROUND(D17*E17*F17*G17/10000,0)</f>
        <v>0</v>
      </c>
    </row>
    <row r="18" spans="1:9" ht="14.25">
      <c r="A18" s="3458"/>
      <c r="B18" s="3459" t="s">
        <v>2507</v>
      </c>
      <c r="C18" s="3459"/>
      <c r="D18" s="2508"/>
      <c r="E18" s="2508"/>
      <c r="F18" s="2509"/>
      <c r="G18" s="2510"/>
      <c r="H18" s="2520"/>
      <c r="I18" s="2521">
        <f>ROUND(D18*E18*F18*G18/10000,0)</f>
        <v>0</v>
      </c>
    </row>
    <row r="19" spans="1:9" ht="14.25">
      <c r="A19" s="3458"/>
      <c r="B19" s="3459" t="s">
        <v>2508</v>
      </c>
      <c r="C19" s="3459"/>
      <c r="D19" s="2508"/>
      <c r="E19" s="2508"/>
      <c r="F19" s="2509"/>
      <c r="G19" s="2510"/>
      <c r="H19" s="2520"/>
      <c r="I19" s="2521">
        <f>ROUND(D19*E19*F19*G19/10000,0)</f>
        <v>0</v>
      </c>
    </row>
    <row r="20" spans="1:9">
      <c r="A20" s="3458"/>
      <c r="B20" s="3460" t="s">
        <v>2489</v>
      </c>
      <c r="C20" s="3460"/>
      <c r="D20" s="2512">
        <f>SUM(D17:D19)</f>
        <v>0</v>
      </c>
      <c r="E20" s="2512"/>
      <c r="F20" s="2513"/>
      <c r="G20" s="2510"/>
      <c r="H20" s="2517"/>
      <c r="I20" s="2518">
        <f>SUM(I17:I19)</f>
        <v>0</v>
      </c>
    </row>
    <row r="21" spans="1:9">
      <c r="A21" s="3458" t="s">
        <v>2509</v>
      </c>
      <c r="B21" s="3461"/>
      <c r="C21" s="3461"/>
      <c r="D21" s="3461"/>
      <c r="E21" s="3461"/>
      <c r="F21" s="3461"/>
      <c r="G21" s="3461"/>
      <c r="H21" s="2522">
        <v>0.1</v>
      </c>
      <c r="I21" s="2515">
        <f>ROUND(I10*H21,0)</f>
        <v>0</v>
      </c>
    </row>
    <row r="22" spans="1:9" ht="14.25">
      <c r="A22" s="3462" t="s">
        <v>2510</v>
      </c>
      <c r="B22" s="3463"/>
      <c r="C22" s="3464"/>
      <c r="D22" s="2523" t="s">
        <v>2511</v>
      </c>
      <c r="E22" s="2523" t="s">
        <v>2512</v>
      </c>
      <c r="F22" s="2524" t="s">
        <v>2513</v>
      </c>
      <c r="G22" s="2524" t="s">
        <v>2514</v>
      </c>
      <c r="H22" s="2516" t="s">
        <v>2515</v>
      </c>
      <c r="I22" s="2507" t="s">
        <v>2516</v>
      </c>
    </row>
    <row r="23" spans="1:9" ht="14.25" thickBot="1">
      <c r="A23" s="3465"/>
      <c r="B23" s="3466"/>
      <c r="C23" s="3467"/>
      <c r="D23" s="2525"/>
      <c r="E23" s="2525"/>
      <c r="F23" s="2525"/>
      <c r="G23" s="2526"/>
      <c r="H23" s="2527"/>
      <c r="I23" s="2528">
        <f>ROUND(E23*D23*F23*(1-G23)/10000,0)</f>
        <v>0</v>
      </c>
    </row>
    <row r="26" spans="1:9">
      <c r="A26" s="2529" t="s">
        <v>2517</v>
      </c>
      <c r="B26" s="2529"/>
      <c r="C26" s="2529"/>
      <c r="D26" s="2529"/>
      <c r="E26" s="3455">
        <f>C27-C30-C31-C32</f>
        <v>0</v>
      </c>
      <c r="F26" s="3455"/>
      <c r="G26" s="3455"/>
      <c r="H26" s="3043" t="s">
        <v>2845</v>
      </c>
    </row>
    <row r="27" spans="1:9">
      <c r="A27" s="2530">
        <v>1</v>
      </c>
      <c r="B27" s="2531" t="s">
        <v>2518</v>
      </c>
      <c r="C27" s="2531"/>
      <c r="D27" s="2531"/>
      <c r="E27" s="3456"/>
      <c r="F27" s="3456"/>
      <c r="G27" s="3456"/>
    </row>
    <row r="28" spans="1:9">
      <c r="A28" s="2532" t="s">
        <v>2519</v>
      </c>
      <c r="B28" s="2531" t="s">
        <v>2520</v>
      </c>
      <c r="C28" s="2531"/>
      <c r="D28" s="2531"/>
      <c r="E28" s="3456"/>
      <c r="F28" s="3456"/>
      <c r="G28" s="3456"/>
    </row>
    <row r="29" spans="1:9">
      <c r="A29" s="2532" t="s">
        <v>2521</v>
      </c>
      <c r="B29" s="2531" t="s">
        <v>2462</v>
      </c>
      <c r="C29" s="2531"/>
      <c r="D29" s="2531"/>
      <c r="E29" s="2531" t="s">
        <v>2522</v>
      </c>
      <c r="F29" s="2531"/>
      <c r="G29" s="2531"/>
    </row>
    <row r="30" spans="1:9">
      <c r="A30" s="2530">
        <v>2</v>
      </c>
      <c r="B30" s="2531" t="s">
        <v>2523</v>
      </c>
      <c r="C30" s="2531">
        <f>C27*D30</f>
        <v>0</v>
      </c>
      <c r="D30" s="2533">
        <v>0.2</v>
      </c>
      <c r="E30" s="2531" t="s">
        <v>2524</v>
      </c>
      <c r="F30" s="2531"/>
      <c r="G30" s="2531"/>
    </row>
    <row r="31" spans="1:9">
      <c r="A31" s="2530">
        <v>3</v>
      </c>
      <c r="B31" s="2531" t="s">
        <v>2525</v>
      </c>
      <c r="C31" s="2531">
        <f>C25*D31</f>
        <v>0</v>
      </c>
      <c r="D31" s="2533">
        <v>0.15</v>
      </c>
      <c r="E31" s="2531" t="s">
        <v>2526</v>
      </c>
      <c r="F31" s="2531"/>
      <c r="G31" s="2531"/>
    </row>
    <row r="32" spans="1:9">
      <c r="A32" s="2530">
        <v>4</v>
      </c>
      <c r="B32" s="2531" t="s">
        <v>2527</v>
      </c>
      <c r="C32" s="2531">
        <f>C27*D32</f>
        <v>0</v>
      </c>
      <c r="D32" s="2533">
        <v>0.05</v>
      </c>
      <c r="E32" s="3457"/>
      <c r="F32" s="3457"/>
      <c r="G32" s="3457"/>
    </row>
    <row r="33" spans="1:7" hidden="1">
      <c r="A33" s="3452" t="s">
        <v>2528</v>
      </c>
      <c r="B33" s="3453"/>
      <c r="C33" s="3453"/>
      <c r="D33" s="3454"/>
      <c r="E33" s="3455"/>
      <c r="F33" s="3455"/>
      <c r="G33" s="3455"/>
    </row>
    <row r="34" spans="1:7" hidden="1">
      <c r="A34" s="2534">
        <v>1</v>
      </c>
      <c r="B34" s="2531" t="s">
        <v>2529</v>
      </c>
      <c r="C34" s="2531"/>
      <c r="D34" s="2531"/>
      <c r="E34" s="3456"/>
      <c r="F34" s="3456"/>
      <c r="G34" s="3456"/>
    </row>
    <row r="35" spans="1:7" hidden="1">
      <c r="A35" s="2534">
        <v>2</v>
      </c>
      <c r="B35" s="2531" t="s">
        <v>2530</v>
      </c>
      <c r="C35" s="2531"/>
      <c r="D35" s="2531"/>
      <c r="E35" s="3456"/>
      <c r="F35" s="3456"/>
      <c r="G35" s="3456"/>
    </row>
    <row r="36" spans="1:7" hidden="1">
      <c r="A36" s="2534">
        <v>3</v>
      </c>
      <c r="B36" s="2531" t="s">
        <v>2531</v>
      </c>
      <c r="C36" s="2531"/>
      <c r="D36" s="2531"/>
      <c r="E36" s="3456"/>
      <c r="F36" s="3456"/>
      <c r="G36" s="3456"/>
    </row>
    <row r="37" spans="1:7" hidden="1">
      <c r="A37" s="2534">
        <v>4</v>
      </c>
      <c r="B37" s="2531" t="s">
        <v>2532</v>
      </c>
      <c r="C37" s="2531"/>
      <c r="D37" s="2531"/>
      <c r="E37" s="3456"/>
      <c r="F37" s="3456"/>
      <c r="G37" s="3456"/>
    </row>
    <row r="38" spans="1:7" hidden="1">
      <c r="A38" s="3452" t="s">
        <v>2533</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8">
        <v>1</v>
      </c>
      <c r="B7" s="748" t="s">
        <v>609</v>
      </c>
      <c r="C7" s="749">
        <f>C8+C9</f>
        <v>0</v>
      </c>
      <c r="D7" s="749"/>
      <c r="E7" s="750"/>
      <c r="F7" s="750"/>
      <c r="G7" s="2478"/>
    </row>
    <row r="8" spans="1:25" s="2183" customFormat="1" ht="13.5" customHeight="1">
      <c r="A8" s="2468" t="s">
        <v>2442</v>
      </c>
      <c r="B8" s="2471" t="s">
        <v>2444</v>
      </c>
      <c r="C8" s="2472"/>
      <c r="D8" s="749"/>
      <c r="E8" s="750"/>
      <c r="F8" s="750"/>
      <c r="G8" s="751"/>
    </row>
    <row r="9" spans="1:25" s="2183" customFormat="1" ht="13.5" customHeight="1">
      <c r="A9" s="2468" t="s">
        <v>2443</v>
      </c>
      <c r="B9" s="2471" t="s">
        <v>2445</v>
      </c>
      <c r="C9" s="2472"/>
      <c r="D9" s="749"/>
      <c r="E9" s="750"/>
      <c r="F9" s="750"/>
      <c r="G9" s="751"/>
    </row>
    <row r="10" spans="1:25" s="2183" customFormat="1" ht="36">
      <c r="A10" s="2468">
        <v>2</v>
      </c>
      <c r="B10" s="748" t="s">
        <v>613</v>
      </c>
      <c r="C10" s="749">
        <f>C11+C14+C15</f>
        <v>0</v>
      </c>
      <c r="D10" s="760">
        <f>'数据-汇总表'!E3</f>
        <v>18198</v>
      </c>
      <c r="E10" s="749">
        <f>'数据-取费表'!B31</f>
        <v>150</v>
      </c>
      <c r="F10" s="761"/>
      <c r="G10" s="759" t="s">
        <v>614</v>
      </c>
    </row>
    <row r="11" spans="1:25" s="2183" customFormat="1" ht="13.5" customHeight="1">
      <c r="A11" s="2468" t="s">
        <v>2442</v>
      </c>
      <c r="B11" s="752" t="s">
        <v>610</v>
      </c>
      <c r="C11" s="753">
        <f>'数据-取费表'!B29</f>
        <v>0</v>
      </c>
      <c r="D11" s="754"/>
      <c r="E11" s="753"/>
      <c r="F11" s="755"/>
      <c r="G11" s="2477" t="s">
        <v>2453</v>
      </c>
    </row>
    <row r="12" spans="1:25" s="2183" customFormat="1" ht="13.5" customHeight="1">
      <c r="A12" s="2475" t="s">
        <v>2450</v>
      </c>
      <c r="B12" s="756" t="s">
        <v>611</v>
      </c>
      <c r="C12" s="757">
        <f>ROUND(D12*E12/10000,0)</f>
        <v>0</v>
      </c>
      <c r="D12" s="758">
        <f>'数据-汇总表'!E5</f>
        <v>0</v>
      </c>
      <c r="E12" s="757">
        <f>'数据-取费表'!B27</f>
        <v>0</v>
      </c>
      <c r="F12" s="755"/>
      <c r="G12" s="759"/>
    </row>
    <row r="13" spans="1:25" s="2183" customFormat="1" ht="13.5" customHeight="1">
      <c r="A13" s="2475" t="s">
        <v>2449</v>
      </c>
      <c r="B13" s="756" t="s">
        <v>612</v>
      </c>
      <c r="C13" s="757">
        <f>ROUND(D13*E13/10000,0)</f>
        <v>273</v>
      </c>
      <c r="D13" s="758">
        <f>'数据-汇总表'!E6</f>
        <v>18198</v>
      </c>
      <c r="E13" s="757">
        <f>'数据-取费表'!B28</f>
        <v>150</v>
      </c>
      <c r="F13" s="755"/>
      <c r="G13" s="759"/>
    </row>
    <row r="14" spans="1:25" s="2183" customFormat="1" ht="13.5" customHeight="1">
      <c r="A14" s="2468" t="s">
        <v>2443</v>
      </c>
      <c r="B14" s="2474" t="s">
        <v>2446</v>
      </c>
      <c r="C14" s="2472"/>
      <c r="D14" s="758"/>
      <c r="E14" s="757"/>
      <c r="F14" s="2473"/>
      <c r="G14" s="2476" t="s">
        <v>2451</v>
      </c>
    </row>
    <row r="15" spans="1:25" s="2183" customFormat="1" ht="13.5" customHeight="1">
      <c r="A15" s="2468" t="s">
        <v>2448</v>
      </c>
      <c r="B15" s="2474" t="s">
        <v>2447</v>
      </c>
      <c r="C15" s="2472"/>
      <c r="D15" s="758"/>
      <c r="E15" s="757"/>
      <c r="F15" s="2473"/>
      <c r="G15" s="2476" t="s">
        <v>2452</v>
      </c>
    </row>
    <row r="16" spans="1:25" s="2184" customFormat="1" ht="48">
      <c r="A16" s="2468">
        <v>3</v>
      </c>
      <c r="B16" s="748" t="s">
        <v>615</v>
      </c>
      <c r="C16" s="2472"/>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8">
        <v>9</v>
      </c>
      <c r="B22" s="748" t="s">
        <v>625</v>
      </c>
      <c r="C22" s="749">
        <f ca="1">ROUND(C21*F22,0)</f>
        <v>0</v>
      </c>
      <c r="D22" s="760"/>
      <c r="E22" s="749"/>
      <c r="F22" s="766">
        <f>'数据-取费表'!AP16</f>
        <v>0.85099999999999998</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c r="E1" s="2625"/>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80" t="s">
        <v>522</v>
      </c>
      <c r="D4" s="3381"/>
      <c r="E4" s="3404" t="s">
        <v>523</v>
      </c>
      <c r="F4" s="3405"/>
      <c r="G4" s="3380" t="s">
        <v>524</v>
      </c>
      <c r="H4" s="3381"/>
      <c r="I4" s="3380" t="s">
        <v>525</v>
      </c>
      <c r="J4" s="3381"/>
      <c r="K4" s="853" t="s">
        <v>526</v>
      </c>
      <c r="L4" s="2133"/>
      <c r="M4" s="2134"/>
      <c r="N4" s="2134"/>
      <c r="O4" s="2134"/>
      <c r="P4" s="3382" t="s">
        <v>527</v>
      </c>
      <c r="Q4" s="3383"/>
      <c r="R4" s="3368" t="s">
        <v>523</v>
      </c>
      <c r="S4" s="3369"/>
      <c r="T4" s="3368" t="s">
        <v>524</v>
      </c>
      <c r="U4" s="3369"/>
      <c r="V4" s="3388" t="s">
        <v>525</v>
      </c>
      <c r="W4" s="3388"/>
      <c r="X4" s="1568"/>
      <c r="Y4" s="3368" t="s">
        <v>527</v>
      </c>
      <c r="Z4" s="3369"/>
      <c r="AA4" s="3363" t="s">
        <v>523</v>
      </c>
      <c r="AB4" s="3363" t="s">
        <v>524</v>
      </c>
      <c r="AC4" s="3363" t="s">
        <v>525</v>
      </c>
    </row>
    <row r="5" spans="1:29" ht="15">
      <c r="A5" s="515"/>
      <c r="B5" s="516"/>
      <c r="C5" s="3391" t="s">
        <v>2928</v>
      </c>
      <c r="D5" s="3392"/>
      <c r="E5" s="3406" t="s">
        <v>2929</v>
      </c>
      <c r="F5" s="3407"/>
      <c r="G5" s="3391" t="s">
        <v>2930</v>
      </c>
      <c r="H5" s="3392"/>
      <c r="I5" s="3391" t="s">
        <v>2931</v>
      </c>
      <c r="J5" s="3392"/>
      <c r="K5" s="854"/>
      <c r="L5" s="2133"/>
      <c r="M5" s="2134"/>
      <c r="N5" s="2134"/>
      <c r="O5" s="2134"/>
      <c r="P5" s="3384"/>
      <c r="Q5" s="3385"/>
      <c r="R5" s="3370"/>
      <c r="S5" s="3371"/>
      <c r="T5" s="3370"/>
      <c r="U5" s="3371"/>
      <c r="V5" s="3388"/>
      <c r="W5" s="3388"/>
      <c r="X5" s="1568"/>
      <c r="Y5" s="3370"/>
      <c r="Z5" s="3371"/>
      <c r="AA5" s="3364"/>
      <c r="AB5" s="3364"/>
      <c r="AC5" s="3364"/>
    </row>
    <row r="6" spans="1:29" ht="15.75" thickBot="1">
      <c r="A6" s="517"/>
      <c r="B6" s="518"/>
      <c r="C6" s="3389" t="s">
        <v>2932</v>
      </c>
      <c r="D6" s="3390"/>
      <c r="E6" s="3408" t="s">
        <v>2932</v>
      </c>
      <c r="F6" s="3409"/>
      <c r="G6" s="3389" t="s">
        <v>2932</v>
      </c>
      <c r="H6" s="3390"/>
      <c r="I6" s="3389" t="s">
        <v>2932</v>
      </c>
      <c r="J6" s="3390"/>
      <c r="K6" s="854" t="s">
        <v>528</v>
      </c>
      <c r="L6" s="2133"/>
      <c r="M6" s="2134"/>
      <c r="N6" s="2134"/>
      <c r="O6" s="2134"/>
      <c r="P6" s="3386"/>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66" t="s">
        <v>530</v>
      </c>
      <c r="Q7" s="3375"/>
      <c r="R7" s="1569" t="s">
        <v>13</v>
      </c>
      <c r="S7" s="1570">
        <f t="shared" ref="S7:S15" si="0">F7</f>
        <v>0</v>
      </c>
      <c r="T7" s="1569" t="s">
        <v>13</v>
      </c>
      <c r="U7" s="1570">
        <f t="shared" ref="U7:U15" si="1">H7</f>
        <v>0</v>
      </c>
      <c r="V7" s="1569" t="s">
        <v>13</v>
      </c>
      <c r="W7" s="1570">
        <f t="shared" ref="W7:W15"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66" t="s">
        <v>533</v>
      </c>
      <c r="Q8" s="3367"/>
      <c r="R8" s="1569" t="s">
        <v>13</v>
      </c>
      <c r="S8" s="1570">
        <f t="shared" si="0"/>
        <v>0</v>
      </c>
      <c r="T8" s="1569" t="s">
        <v>13</v>
      </c>
      <c r="U8" s="1570">
        <f t="shared" si="1"/>
        <v>0</v>
      </c>
      <c r="V8" s="1569" t="s">
        <v>13</v>
      </c>
      <c r="W8" s="1570">
        <f t="shared" si="2"/>
        <v>0</v>
      </c>
      <c r="X8" s="1571"/>
      <c r="Y8" s="3366" t="s">
        <v>533</v>
      </c>
      <c r="Z8" s="3367"/>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74" t="s">
        <v>535</v>
      </c>
      <c r="Q9" s="1151" t="str">
        <f t="shared" ref="Q9:Q15" si="6">B9</f>
        <v>用途</v>
      </c>
      <c r="R9" s="1569" t="s">
        <v>8</v>
      </c>
      <c r="S9" s="1570">
        <f t="shared" si="0"/>
        <v>100</v>
      </c>
      <c r="T9" s="1569" t="s">
        <v>8</v>
      </c>
      <c r="U9" s="1570">
        <f t="shared" si="1"/>
        <v>100</v>
      </c>
      <c r="V9" s="1569" t="s">
        <v>8</v>
      </c>
      <c r="W9" s="1570">
        <f t="shared" si="2"/>
        <v>100</v>
      </c>
      <c r="X9" s="1571"/>
      <c r="Y9" s="3331"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74"/>
      <c r="Q11" s="1151" t="str">
        <f t="shared" si="6"/>
        <v>容积率</v>
      </c>
      <c r="R11" s="1569" t="s">
        <v>11</v>
      </c>
      <c r="S11" s="1570" t="e">
        <f t="shared" si="0"/>
        <v>#N/A</v>
      </c>
      <c r="T11" s="1569" t="s">
        <v>11</v>
      </c>
      <c r="U11" s="1570" t="e">
        <f t="shared" si="1"/>
        <v>#N/A</v>
      </c>
      <c r="V11" s="1569" t="s">
        <v>11</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4"/>
      <c r="Q12" s="1151">
        <f t="shared" si="6"/>
        <v>111</v>
      </c>
      <c r="R12" s="1569" t="s">
        <v>11</v>
      </c>
      <c r="S12" s="1570">
        <f t="shared" si="0"/>
        <v>100</v>
      </c>
      <c r="T12" s="1569" t="s">
        <v>11</v>
      </c>
      <c r="U12" s="1570">
        <f t="shared" si="1"/>
        <v>100</v>
      </c>
      <c r="V12" s="1569" t="s">
        <v>11</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4"/>
      <c r="Q13" s="1151">
        <f t="shared" si="6"/>
        <v>111</v>
      </c>
      <c r="R13" s="1569" t="s">
        <v>11</v>
      </c>
      <c r="S13" s="1570">
        <f t="shared" si="0"/>
        <v>100</v>
      </c>
      <c r="T13" s="1569" t="s">
        <v>11</v>
      </c>
      <c r="U13" s="1570">
        <f t="shared" si="1"/>
        <v>100</v>
      </c>
      <c r="V13" s="1569" t="s">
        <v>11</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4"/>
      <c r="Q14" s="1151">
        <f t="shared" si="6"/>
        <v>111</v>
      </c>
      <c r="R14" s="1569" t="s">
        <v>11</v>
      </c>
      <c r="S14" s="1570">
        <f t="shared" si="0"/>
        <v>100</v>
      </c>
      <c r="T14" s="1569" t="s">
        <v>11</v>
      </c>
      <c r="U14" s="1570">
        <f t="shared" si="1"/>
        <v>100</v>
      </c>
      <c r="V14" s="1569" t="s">
        <v>11</v>
      </c>
      <c r="W14" s="1570">
        <f t="shared" si="2"/>
        <v>100</v>
      </c>
      <c r="X14" s="1571"/>
      <c r="Y14" s="3331"/>
      <c r="Z14" s="1150">
        <f t="shared" si="7"/>
        <v>111</v>
      </c>
      <c r="AA14" s="1572">
        <f t="shared" si="3"/>
        <v>1</v>
      </c>
      <c r="AB14" s="1572">
        <f t="shared" si="4"/>
        <v>1</v>
      </c>
      <c r="AC14" s="1572">
        <f t="shared" si="5"/>
        <v>1</v>
      </c>
    </row>
    <row r="15" spans="1:29" ht="99.75">
      <c r="A15" s="2909"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76" t="s">
        <v>540</v>
      </c>
      <c r="Q15" s="1573" t="str">
        <f t="shared" si="6"/>
        <v>居住社区成熟度</v>
      </c>
      <c r="R15" s="1574" t="s">
        <v>11</v>
      </c>
      <c r="S15" s="1575">
        <f t="shared" si="0"/>
        <v>100</v>
      </c>
      <c r="T15" s="1574" t="s">
        <v>11</v>
      </c>
      <c r="U15" s="1575">
        <f t="shared" si="1"/>
        <v>100</v>
      </c>
      <c r="V15" s="1574" t="s">
        <v>11</v>
      </c>
      <c r="W15" s="1575">
        <f t="shared" si="2"/>
        <v>100</v>
      </c>
      <c r="X15" s="1568"/>
      <c r="Y15" s="337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77"/>
      <c r="Q16" s="1573"/>
      <c r="R16" s="1574"/>
      <c r="S16" s="1575"/>
      <c r="T16" s="1574"/>
      <c r="U16" s="1575"/>
      <c r="V16" s="1574"/>
      <c r="W16" s="1575"/>
      <c r="X16" s="1568"/>
      <c r="Y16" s="337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77"/>
      <c r="Q17" s="1573" t="str">
        <f>B17</f>
        <v>交通便捷度</v>
      </c>
      <c r="R17" s="1574" t="s">
        <v>11</v>
      </c>
      <c r="S17" s="1575">
        <f>F17</f>
        <v>100</v>
      </c>
      <c r="T17" s="1574" t="s">
        <v>11</v>
      </c>
      <c r="U17" s="1575">
        <f>H17</f>
        <v>100</v>
      </c>
      <c r="V17" s="1574" t="s">
        <v>11</v>
      </c>
      <c r="W17" s="1575">
        <f>J17</f>
        <v>100</v>
      </c>
      <c r="X17" s="1568"/>
      <c r="Y17" s="337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77"/>
      <c r="Q18" s="1573"/>
      <c r="R18" s="1574"/>
      <c r="S18" s="1575"/>
      <c r="T18" s="1574"/>
      <c r="U18" s="1575"/>
      <c r="V18" s="1574"/>
      <c r="W18" s="1575"/>
      <c r="X18" s="1568"/>
      <c r="Y18" s="3377"/>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77"/>
      <c r="Q19" s="1573" t="str">
        <f>B19</f>
        <v>公共配套设施</v>
      </c>
      <c r="R19" s="1574" t="s">
        <v>11</v>
      </c>
      <c r="S19" s="1575">
        <f>F19</f>
        <v>100</v>
      </c>
      <c r="T19" s="1574" t="s">
        <v>11</v>
      </c>
      <c r="U19" s="1575">
        <f>H19</f>
        <v>100</v>
      </c>
      <c r="V19" s="1574" t="s">
        <v>11</v>
      </c>
      <c r="W19" s="1575">
        <f>J19</f>
        <v>100</v>
      </c>
      <c r="X19" s="1568"/>
      <c r="Y19" s="337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77"/>
      <c r="Q20" s="1573"/>
      <c r="R20" s="1574"/>
      <c r="S20" s="1575"/>
      <c r="T20" s="1574"/>
      <c r="U20" s="1575"/>
      <c r="V20" s="1574"/>
      <c r="W20" s="1575"/>
      <c r="X20" s="1568"/>
      <c r="Y20" s="3377"/>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77"/>
      <c r="Q21" s="2578" t="str">
        <f>B21</f>
        <v>基础设施水平</v>
      </c>
      <c r="R21" s="1574" t="s">
        <v>11</v>
      </c>
      <c r="S21" s="1575">
        <f>F21</f>
        <v>100</v>
      </c>
      <c r="T21" s="1574" t="s">
        <v>11</v>
      </c>
      <c r="U21" s="1575">
        <f>H21</f>
        <v>100</v>
      </c>
      <c r="V21" s="1574" t="s">
        <v>11</v>
      </c>
      <c r="W21" s="1575">
        <f>J21</f>
        <v>100</v>
      </c>
      <c r="X21" s="2580"/>
      <c r="Y21" s="3377"/>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8"/>
      <c r="L22" s="2142"/>
      <c r="M22" s="2134"/>
      <c r="N22" s="2134"/>
      <c r="O22" s="2141"/>
      <c r="P22" s="3377"/>
      <c r="Q22" s="2578"/>
      <c r="R22" s="1574"/>
      <c r="S22" s="1575"/>
      <c r="T22" s="1574"/>
      <c r="U22" s="1575"/>
      <c r="V22" s="1574"/>
      <c r="W22" s="1575"/>
      <c r="X22" s="2580"/>
      <c r="Y22" s="3377"/>
      <c r="Z22" s="257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77"/>
      <c r="Q23" s="1573" t="str">
        <f>B23</f>
        <v>自然及人文环境</v>
      </c>
      <c r="R23" s="1574" t="s">
        <v>11</v>
      </c>
      <c r="S23" s="1575">
        <f>F23</f>
        <v>100</v>
      </c>
      <c r="T23" s="1574" t="s">
        <v>11</v>
      </c>
      <c r="U23" s="1575">
        <f>H23</f>
        <v>100</v>
      </c>
      <c r="V23" s="1574" t="s">
        <v>11</v>
      </c>
      <c r="W23" s="1575">
        <f>J23</f>
        <v>100</v>
      </c>
      <c r="X23" s="1568"/>
      <c r="Y23" s="337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77"/>
      <c r="Q24" s="1573"/>
      <c r="R24" s="1574"/>
      <c r="S24" s="1575"/>
      <c r="T24" s="1574"/>
      <c r="U24" s="1575"/>
      <c r="V24" s="1574"/>
      <c r="W24" s="1575"/>
      <c r="X24" s="1568"/>
      <c r="Y24" s="3377"/>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7"/>
      <c r="Q25" s="1573" t="str">
        <f t="shared" ref="Q25:Q46" si="11">B25</f>
        <v>楼层-1</v>
      </c>
      <c r="R25" s="1574" t="s">
        <v>11</v>
      </c>
      <c r="S25" s="1575">
        <f>F25</f>
        <v>100</v>
      </c>
      <c r="T25" s="1574" t="s">
        <v>11</v>
      </c>
      <c r="U25" s="1575">
        <f>H25</f>
        <v>100</v>
      </c>
      <c r="V25" s="1574" t="s">
        <v>11</v>
      </c>
      <c r="W25" s="1575">
        <f>J25</f>
        <v>100</v>
      </c>
      <c r="X25" s="1568"/>
      <c r="Y25" s="337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7"/>
      <c r="Q26" s="1573" t="str">
        <f t="shared" si="11"/>
        <v>朝向</v>
      </c>
      <c r="R26" s="1574" t="s">
        <v>11</v>
      </c>
      <c r="S26" s="1575">
        <f>F26</f>
        <v>100</v>
      </c>
      <c r="T26" s="1574" t="s">
        <v>11</v>
      </c>
      <c r="U26" s="1575">
        <f>H26</f>
        <v>100</v>
      </c>
      <c r="V26" s="1574" t="s">
        <v>11</v>
      </c>
      <c r="W26" s="1575">
        <f>J26</f>
        <v>100</v>
      </c>
      <c r="X26" s="1568"/>
      <c r="Y26" s="337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77"/>
      <c r="Q27" s="1151" t="str">
        <f t="shared" si="11"/>
        <v>道路级别</v>
      </c>
      <c r="R27" s="1569" t="s">
        <v>11</v>
      </c>
      <c r="S27" s="1570">
        <f>F27</f>
        <v>100</v>
      </c>
      <c r="T27" s="1569" t="s">
        <v>11</v>
      </c>
      <c r="U27" s="1570">
        <f>H27</f>
        <v>100</v>
      </c>
      <c r="V27" s="1569" t="s">
        <v>11</v>
      </c>
      <c r="W27" s="1570">
        <f>J27</f>
        <v>100</v>
      </c>
      <c r="X27" s="1571"/>
      <c r="Y27" s="337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7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7"/>
      <c r="Q29" s="1573">
        <f t="shared" si="11"/>
        <v>111</v>
      </c>
      <c r="R29" s="1574" t="s">
        <v>11</v>
      </c>
      <c r="S29" s="1575">
        <f t="shared" si="12"/>
        <v>100</v>
      </c>
      <c r="T29" s="1574" t="s">
        <v>11</v>
      </c>
      <c r="U29" s="1575">
        <f t="shared" si="13"/>
        <v>100</v>
      </c>
      <c r="V29" s="1574" t="s">
        <v>11</v>
      </c>
      <c r="W29" s="1575">
        <f t="shared" si="14"/>
        <v>100</v>
      </c>
      <c r="X29" s="1568"/>
      <c r="Y29" s="337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7"/>
      <c r="Q30" s="1573">
        <f t="shared" si="11"/>
        <v>111</v>
      </c>
      <c r="R30" s="1574" t="s">
        <v>11</v>
      </c>
      <c r="S30" s="1575">
        <f t="shared" si="12"/>
        <v>100</v>
      </c>
      <c r="T30" s="1574" t="s">
        <v>11</v>
      </c>
      <c r="U30" s="1575">
        <f t="shared" si="13"/>
        <v>100</v>
      </c>
      <c r="V30" s="1574" t="s">
        <v>11</v>
      </c>
      <c r="W30" s="1575">
        <f t="shared" si="14"/>
        <v>100</v>
      </c>
      <c r="X30" s="1568"/>
      <c r="Y30" s="337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7"/>
      <c r="Q31" s="1573">
        <f t="shared" si="11"/>
        <v>111</v>
      </c>
      <c r="R31" s="1574" t="s">
        <v>11</v>
      </c>
      <c r="S31" s="1575">
        <f t="shared" si="12"/>
        <v>100</v>
      </c>
      <c r="T31" s="1574" t="s">
        <v>11</v>
      </c>
      <c r="U31" s="1575">
        <f t="shared" si="13"/>
        <v>100</v>
      </c>
      <c r="V31" s="1574" t="s">
        <v>11</v>
      </c>
      <c r="W31" s="1575">
        <f t="shared" si="14"/>
        <v>100</v>
      </c>
      <c r="X31" s="1568"/>
      <c r="Y31" s="3377"/>
      <c r="Z31" s="1576">
        <f t="shared" si="15"/>
        <v>111</v>
      </c>
      <c r="AA31" s="1577">
        <f t="shared" si="3"/>
        <v>1</v>
      </c>
      <c r="AB31" s="1577">
        <f t="shared" si="4"/>
        <v>1</v>
      </c>
      <c r="AC31" s="1577">
        <f t="shared" si="5"/>
        <v>1</v>
      </c>
    </row>
    <row r="32" spans="1:29" ht="15">
      <c r="A32" s="2906"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78" t="s">
        <v>550</v>
      </c>
      <c r="Q32" s="1573" t="str">
        <f t="shared" si="11"/>
        <v>建筑类型</v>
      </c>
      <c r="R32" s="1574" t="s">
        <v>11</v>
      </c>
      <c r="S32" s="1575">
        <f t="shared" si="12"/>
        <v>100</v>
      </c>
      <c r="T32" s="1574" t="s">
        <v>11</v>
      </c>
      <c r="U32" s="1575">
        <f t="shared" si="13"/>
        <v>100</v>
      </c>
      <c r="V32" s="1574" t="s">
        <v>11</v>
      </c>
      <c r="W32" s="1575">
        <f t="shared" si="14"/>
        <v>100</v>
      </c>
      <c r="X32" s="1568"/>
      <c r="Y32" s="337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79"/>
      <c r="Q33" s="1606" t="str">
        <f t="shared" si="11"/>
        <v>项目建筑规模</v>
      </c>
      <c r="R33" s="1578" t="s">
        <v>11</v>
      </c>
      <c r="S33" s="1579" t="e">
        <f t="shared" si="12"/>
        <v>#N/A</v>
      </c>
      <c r="T33" s="1578" t="s">
        <v>11</v>
      </c>
      <c r="U33" s="1579" t="e">
        <f t="shared" si="13"/>
        <v>#N/A</v>
      </c>
      <c r="V33" s="1578" t="s">
        <v>11</v>
      </c>
      <c r="W33" s="1579" t="e">
        <f t="shared" si="14"/>
        <v>#N/A</v>
      </c>
      <c r="X33" s="1580"/>
      <c r="Y33" s="337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79"/>
      <c r="Q34" s="1573" t="str">
        <f t="shared" si="11"/>
        <v>建筑结构</v>
      </c>
      <c r="R34" s="1574" t="s">
        <v>11</v>
      </c>
      <c r="S34" s="1575">
        <f t="shared" si="12"/>
        <v>100</v>
      </c>
      <c r="T34" s="1574" t="s">
        <v>11</v>
      </c>
      <c r="U34" s="1575">
        <f t="shared" si="13"/>
        <v>100</v>
      </c>
      <c r="V34" s="1574" t="s">
        <v>11</v>
      </c>
      <c r="W34" s="1575">
        <f t="shared" si="14"/>
        <v>100</v>
      </c>
      <c r="X34" s="1568"/>
      <c r="Y34" s="337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79"/>
      <c r="Q35" s="1573" t="str">
        <f t="shared" si="11"/>
        <v>建筑品质</v>
      </c>
      <c r="R35" s="1574" t="s">
        <v>11</v>
      </c>
      <c r="S35" s="1575">
        <f t="shared" si="12"/>
        <v>100</v>
      </c>
      <c r="T35" s="1574" t="s">
        <v>11</v>
      </c>
      <c r="U35" s="1575">
        <f t="shared" si="13"/>
        <v>100</v>
      </c>
      <c r="V35" s="1574" t="s">
        <v>11</v>
      </c>
      <c r="W35" s="1575">
        <f t="shared" si="14"/>
        <v>100</v>
      </c>
      <c r="X35" s="1568"/>
      <c r="Y35" s="337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79"/>
      <c r="Q36" s="1573" t="str">
        <f t="shared" si="11"/>
        <v>公共部分装修</v>
      </c>
      <c r="R36" s="1574" t="s">
        <v>11</v>
      </c>
      <c r="S36" s="1575">
        <f t="shared" si="12"/>
        <v>100</v>
      </c>
      <c r="T36" s="1574" t="s">
        <v>11</v>
      </c>
      <c r="U36" s="1575">
        <f t="shared" si="13"/>
        <v>100</v>
      </c>
      <c r="V36" s="1574" t="s">
        <v>11</v>
      </c>
      <c r="W36" s="1575">
        <f t="shared" si="14"/>
        <v>100</v>
      </c>
      <c r="X36" s="1568"/>
      <c r="Y36" s="337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79"/>
      <c r="Q37" s="1151" t="str">
        <f t="shared" si="11"/>
        <v>成新度</v>
      </c>
      <c r="R37" s="1569" t="s">
        <v>11</v>
      </c>
      <c r="S37" s="1570" t="e">
        <f t="shared" si="12"/>
        <v>#N/A</v>
      </c>
      <c r="T37" s="1569" t="s">
        <v>11</v>
      </c>
      <c r="U37" s="1570" t="e">
        <f t="shared" si="13"/>
        <v>#N/A</v>
      </c>
      <c r="V37" s="1569" t="s">
        <v>11</v>
      </c>
      <c r="W37" s="1570" t="e">
        <f t="shared" si="14"/>
        <v>#N/A</v>
      </c>
      <c r="X37" s="1571"/>
      <c r="Y37" s="337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79" t="s">
        <v>550</v>
      </c>
      <c r="Q38" s="1573" t="str">
        <f t="shared" si="11"/>
        <v>物业管理</v>
      </c>
      <c r="R38" s="1574" t="s">
        <v>11</v>
      </c>
      <c r="S38" s="1575">
        <f t="shared" si="12"/>
        <v>100</v>
      </c>
      <c r="T38" s="1574" t="s">
        <v>11</v>
      </c>
      <c r="U38" s="1575">
        <f t="shared" si="13"/>
        <v>100</v>
      </c>
      <c r="V38" s="1574" t="s">
        <v>11</v>
      </c>
      <c r="W38" s="1575">
        <f t="shared" si="14"/>
        <v>100</v>
      </c>
      <c r="X38" s="1568"/>
      <c r="Y38" s="3379"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79"/>
      <c r="Q39" s="1573" t="str">
        <f t="shared" si="11"/>
        <v>市政基础设施</v>
      </c>
      <c r="R39" s="1574" t="s">
        <v>11</v>
      </c>
      <c r="S39" s="1575">
        <f t="shared" si="12"/>
        <v>100</v>
      </c>
      <c r="T39" s="1574" t="s">
        <v>11</v>
      </c>
      <c r="U39" s="1575">
        <f t="shared" si="13"/>
        <v>100</v>
      </c>
      <c r="V39" s="1574" t="s">
        <v>11</v>
      </c>
      <c r="W39" s="1575">
        <f t="shared" si="14"/>
        <v>100</v>
      </c>
      <c r="X39" s="1568"/>
      <c r="Y39" s="337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79"/>
      <c r="Q40" s="1573" t="str">
        <f t="shared" si="11"/>
        <v>房型</v>
      </c>
      <c r="R40" s="1574" t="s">
        <v>11</v>
      </c>
      <c r="S40" s="1575">
        <f t="shared" si="12"/>
        <v>100</v>
      </c>
      <c r="T40" s="1574" t="s">
        <v>11</v>
      </c>
      <c r="U40" s="1575">
        <f t="shared" si="13"/>
        <v>100</v>
      </c>
      <c r="V40" s="1574" t="s">
        <v>11</v>
      </c>
      <c r="W40" s="1575">
        <f t="shared" si="14"/>
        <v>100</v>
      </c>
      <c r="X40" s="1568"/>
      <c r="Y40" s="337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79"/>
      <c r="Q41" s="1606" t="str">
        <f t="shared" si="11"/>
        <v>单套/主力户型建筑面积</v>
      </c>
      <c r="R41" s="1578" t="s">
        <v>11</v>
      </c>
      <c r="S41" s="1579">
        <f t="shared" si="12"/>
        <v>100</v>
      </c>
      <c r="T41" s="1578" t="s">
        <v>11</v>
      </c>
      <c r="U41" s="1579">
        <f t="shared" si="13"/>
        <v>100</v>
      </c>
      <c r="V41" s="1578" t="s">
        <v>11</v>
      </c>
      <c r="W41" s="1579">
        <f t="shared" si="14"/>
        <v>100</v>
      </c>
      <c r="X41" s="1580"/>
      <c r="Y41" s="337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79"/>
      <c r="Q42" s="1573" t="str">
        <f t="shared" si="11"/>
        <v>内部装修</v>
      </c>
      <c r="R42" s="1574" t="s">
        <v>11</v>
      </c>
      <c r="S42" s="1575">
        <f t="shared" si="12"/>
        <v>100</v>
      </c>
      <c r="T42" s="1574" t="s">
        <v>11</v>
      </c>
      <c r="U42" s="1575">
        <f t="shared" si="13"/>
        <v>100</v>
      </c>
      <c r="V42" s="1574" t="s">
        <v>11</v>
      </c>
      <c r="W42" s="1575">
        <f t="shared" si="14"/>
        <v>100</v>
      </c>
      <c r="X42" s="1568"/>
      <c r="Y42" s="337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79"/>
      <c r="Q43" s="1573" t="str">
        <f t="shared" si="11"/>
        <v>内部装修维护情况</v>
      </c>
      <c r="R43" s="1574" t="s">
        <v>11</v>
      </c>
      <c r="S43" s="1575">
        <f t="shared" si="12"/>
        <v>100</v>
      </c>
      <c r="T43" s="1574" t="s">
        <v>11</v>
      </c>
      <c r="U43" s="1575">
        <f t="shared" si="13"/>
        <v>100</v>
      </c>
      <c r="V43" s="1574" t="s">
        <v>11</v>
      </c>
      <c r="W43" s="1575">
        <f t="shared" si="14"/>
        <v>100</v>
      </c>
      <c r="X43" s="1568"/>
      <c r="Y43" s="337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79"/>
      <c r="Q44" s="1151">
        <f t="shared" si="11"/>
        <v>111</v>
      </c>
      <c r="R44" s="1569" t="s">
        <v>11</v>
      </c>
      <c r="S44" s="1570">
        <f t="shared" si="12"/>
        <v>100</v>
      </c>
      <c r="T44" s="1569" t="s">
        <v>11</v>
      </c>
      <c r="U44" s="1570">
        <f t="shared" si="13"/>
        <v>100</v>
      </c>
      <c r="V44" s="1569" t="s">
        <v>11</v>
      </c>
      <c r="W44" s="1570">
        <f t="shared" si="14"/>
        <v>100</v>
      </c>
      <c r="X44" s="1571"/>
      <c r="Y44" s="337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79"/>
      <c r="Q45" s="1573">
        <f t="shared" si="11"/>
        <v>111</v>
      </c>
      <c r="R45" s="1574" t="s">
        <v>11</v>
      </c>
      <c r="S45" s="1575">
        <f t="shared" si="12"/>
        <v>100</v>
      </c>
      <c r="T45" s="1574" t="s">
        <v>11</v>
      </c>
      <c r="U45" s="1575">
        <f t="shared" si="13"/>
        <v>100</v>
      </c>
      <c r="V45" s="1574" t="s">
        <v>11</v>
      </c>
      <c r="W45" s="1575">
        <f t="shared" si="14"/>
        <v>100</v>
      </c>
      <c r="X45" s="1568"/>
      <c r="Y45" s="337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5"/>
      <c r="Q46" s="1573">
        <f t="shared" si="11"/>
        <v>111</v>
      </c>
      <c r="R46" s="1574" t="s">
        <v>10</v>
      </c>
      <c r="S46" s="1575">
        <f t="shared" si="12"/>
        <v>100</v>
      </c>
      <c r="T46" s="1574" t="s">
        <v>10</v>
      </c>
      <c r="U46" s="1575">
        <f t="shared" si="13"/>
        <v>100</v>
      </c>
      <c r="V46" s="1574" t="s">
        <v>10</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9</v>
      </c>
      <c r="D47" s="2627"/>
      <c r="E47" s="2628"/>
      <c r="F47" s="2629"/>
      <c r="G47" s="2630"/>
      <c r="H47" s="2631"/>
      <c r="I47" s="2628"/>
      <c r="J47" s="2631"/>
      <c r="K47" s="1607"/>
      <c r="L47" s="2144"/>
      <c r="M47" s="2145"/>
      <c r="N47" s="2134"/>
      <c r="O47" s="2145"/>
      <c r="P47" s="3374" t="str">
        <f>A47</f>
        <v>成交单价（元/平方米）</v>
      </c>
      <c r="Q47" s="3374"/>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08"/>
      <c r="L48" s="2144"/>
      <c r="M48" s="2145"/>
      <c r="N48" s="2145"/>
      <c r="O48" s="2145"/>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09"/>
      <c r="L49" s="2144"/>
      <c r="M49" s="2145"/>
      <c r="N49" s="2145"/>
      <c r="O49" s="2145"/>
      <c r="P49" s="3395" t="str">
        <f>A49</f>
        <v>估价对象XX用房的比较价格（楼面单价，元/平方米）</v>
      </c>
      <c r="Q49" s="3396"/>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80" t="s">
        <v>522</v>
      </c>
      <c r="D4" s="3381"/>
      <c r="E4" s="3404" t="s">
        <v>523</v>
      </c>
      <c r="F4" s="3405"/>
      <c r="G4" s="3380" t="s">
        <v>524</v>
      </c>
      <c r="H4" s="3381"/>
      <c r="I4" s="3380" t="s">
        <v>525</v>
      </c>
      <c r="J4" s="3381"/>
      <c r="K4" s="514" t="s">
        <v>526</v>
      </c>
      <c r="L4" s="2133"/>
      <c r="M4" s="2134"/>
      <c r="N4" s="2134"/>
      <c r="O4" s="2134"/>
      <c r="P4" s="3382" t="s">
        <v>527</v>
      </c>
      <c r="Q4" s="3383"/>
      <c r="R4" s="3368" t="s">
        <v>523</v>
      </c>
      <c r="S4" s="3369"/>
      <c r="T4" s="3368" t="s">
        <v>524</v>
      </c>
      <c r="U4" s="3369"/>
      <c r="V4" s="3388" t="s">
        <v>525</v>
      </c>
      <c r="W4" s="3388"/>
      <c r="X4" s="1568"/>
      <c r="Y4" s="3368" t="s">
        <v>527</v>
      </c>
      <c r="Z4" s="3369"/>
      <c r="AA4" s="3363" t="s">
        <v>523</v>
      </c>
      <c r="AB4" s="3388" t="s">
        <v>524</v>
      </c>
      <c r="AC4" s="3363" t="s">
        <v>525</v>
      </c>
    </row>
    <row r="5" spans="1:29" ht="15">
      <c r="A5" s="515"/>
      <c r="B5" s="516"/>
      <c r="C5" s="3391" t="s">
        <v>2928</v>
      </c>
      <c r="D5" s="3392"/>
      <c r="E5" s="3406" t="s">
        <v>2929</v>
      </c>
      <c r="F5" s="3407"/>
      <c r="G5" s="3391" t="s">
        <v>2930</v>
      </c>
      <c r="H5" s="3392"/>
      <c r="I5" s="3391" t="s">
        <v>2931</v>
      </c>
      <c r="J5" s="3392"/>
      <c r="K5" s="514"/>
      <c r="L5" s="2133"/>
      <c r="M5" s="2134"/>
      <c r="N5" s="2134"/>
      <c r="O5" s="2134"/>
      <c r="P5" s="3384"/>
      <c r="Q5" s="3385"/>
      <c r="R5" s="3370"/>
      <c r="S5" s="3371"/>
      <c r="T5" s="3370"/>
      <c r="U5" s="3371"/>
      <c r="V5" s="3388"/>
      <c r="W5" s="3388"/>
      <c r="X5" s="1568"/>
      <c r="Y5" s="3370"/>
      <c r="Z5" s="3371"/>
      <c r="AA5" s="3364"/>
      <c r="AB5" s="3388"/>
      <c r="AC5" s="3364"/>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6"/>
      <c r="Q6" s="3387"/>
      <c r="R6" s="3370"/>
      <c r="S6" s="3371"/>
      <c r="T6" s="3372"/>
      <c r="U6" s="3373"/>
      <c r="V6" s="3388"/>
      <c r="W6" s="3388"/>
      <c r="X6" s="1568"/>
      <c r="Y6" s="3372"/>
      <c r="Z6" s="3373"/>
      <c r="AA6" s="3365"/>
      <c r="AB6" s="3388"/>
      <c r="AC6" s="3365"/>
    </row>
    <row r="7" spans="1:29" s="1220" customFormat="1" ht="15.75" thickBot="1">
      <c r="A7" s="2911"/>
      <c r="B7" s="2918" t="s">
        <v>529</v>
      </c>
      <c r="C7" s="519">
        <f>'数据-取费表'!B2</f>
        <v>43417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66" t="s">
        <v>530</v>
      </c>
      <c r="Q7" s="3375"/>
      <c r="R7" s="1569" t="s">
        <v>8</v>
      </c>
      <c r="S7" s="1570">
        <f t="shared" ref="S7:S15" si="0">F7</f>
        <v>0</v>
      </c>
      <c r="T7" s="1569" t="s">
        <v>8</v>
      </c>
      <c r="U7" s="1570">
        <f t="shared" ref="U7:U15" si="1">H7</f>
        <v>0</v>
      </c>
      <c r="V7" s="1569" t="s">
        <v>8</v>
      </c>
      <c r="W7" s="1570">
        <f t="shared" ref="W7:W15"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66" t="s">
        <v>533</v>
      </c>
      <c r="Q8" s="3367"/>
      <c r="R8" s="1569" t="s">
        <v>8</v>
      </c>
      <c r="S8" s="1570">
        <f t="shared" si="0"/>
        <v>0</v>
      </c>
      <c r="T8" s="1569" t="s">
        <v>8</v>
      </c>
      <c r="U8" s="1570">
        <f t="shared" si="1"/>
        <v>0</v>
      </c>
      <c r="V8" s="1569" t="s">
        <v>8</v>
      </c>
      <c r="W8" s="1570">
        <f t="shared" si="2"/>
        <v>0</v>
      </c>
      <c r="X8" s="1571"/>
      <c r="Y8" s="3366" t="s">
        <v>533</v>
      </c>
      <c r="Z8" s="3367"/>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4" t="s">
        <v>535</v>
      </c>
      <c r="Q9" s="1151" t="str">
        <f t="shared" ref="Q9:Q15" si="6">B9</f>
        <v>用途</v>
      </c>
      <c r="R9" s="1569" t="s">
        <v>8</v>
      </c>
      <c r="S9" s="1570">
        <f t="shared" si="0"/>
        <v>100</v>
      </c>
      <c r="T9" s="1569" t="s">
        <v>8</v>
      </c>
      <c r="U9" s="1570">
        <f t="shared" si="1"/>
        <v>100</v>
      </c>
      <c r="V9" s="1569" t="s">
        <v>8</v>
      </c>
      <c r="W9" s="1570">
        <f t="shared" si="2"/>
        <v>100</v>
      </c>
      <c r="X9" s="1571"/>
      <c r="Y9" s="3331"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4"/>
      <c r="Q11" s="1151" t="str">
        <f t="shared" si="6"/>
        <v>容积率</v>
      </c>
      <c r="R11" s="1569" t="s">
        <v>8</v>
      </c>
      <c r="S11" s="1570" t="e">
        <f t="shared" si="0"/>
        <v>#N/A</v>
      </c>
      <c r="T11" s="1569" t="s">
        <v>8</v>
      </c>
      <c r="U11" s="1570" t="e">
        <f t="shared" si="1"/>
        <v>#N/A</v>
      </c>
      <c r="V11" s="1569" t="s">
        <v>8</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4"/>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 t="shared" si="3"/>
        <v>1</v>
      </c>
      <c r="AB14" s="1572">
        <f t="shared" si="4"/>
        <v>1</v>
      </c>
      <c r="AC14" s="1572">
        <f t="shared" si="5"/>
        <v>1</v>
      </c>
    </row>
    <row r="15" spans="1:29" ht="71.25">
      <c r="A15" s="2909"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76" t="s">
        <v>540</v>
      </c>
      <c r="Q15" s="1573" t="str">
        <f t="shared" si="6"/>
        <v>商业繁华度</v>
      </c>
      <c r="R15" s="1574" t="s">
        <v>8</v>
      </c>
      <c r="S15" s="1575">
        <f t="shared" si="0"/>
        <v>100</v>
      </c>
      <c r="T15" s="1574" t="s">
        <v>8</v>
      </c>
      <c r="U15" s="1575">
        <f t="shared" si="1"/>
        <v>100</v>
      </c>
      <c r="V15" s="1574" t="s">
        <v>8</v>
      </c>
      <c r="W15" s="1575">
        <f t="shared" si="2"/>
        <v>100</v>
      </c>
      <c r="X15" s="1568"/>
      <c r="Y15" s="337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77"/>
      <c r="Q16" s="1573"/>
      <c r="R16" s="1574"/>
      <c r="S16" s="1575"/>
      <c r="T16" s="1574"/>
      <c r="U16" s="1575"/>
      <c r="V16" s="1574"/>
      <c r="W16" s="1575"/>
      <c r="X16" s="1568"/>
      <c r="Y16" s="337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77"/>
      <c r="Q17" s="1573" t="str">
        <f>B17</f>
        <v>交通便捷度</v>
      </c>
      <c r="R17" s="1574" t="s">
        <v>8</v>
      </c>
      <c r="S17" s="1575">
        <f>F17</f>
        <v>100</v>
      </c>
      <c r="T17" s="1574" t="s">
        <v>8</v>
      </c>
      <c r="U17" s="1575">
        <f>H17</f>
        <v>100</v>
      </c>
      <c r="V17" s="1574" t="s">
        <v>8</v>
      </c>
      <c r="W17" s="1575">
        <f>J17</f>
        <v>100</v>
      </c>
      <c r="X17" s="1568"/>
      <c r="Y17" s="337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77"/>
      <c r="Q18" s="1573"/>
      <c r="R18" s="1574"/>
      <c r="S18" s="1575"/>
      <c r="T18" s="1574"/>
      <c r="U18" s="1575"/>
      <c r="V18" s="1574"/>
      <c r="W18" s="1575"/>
      <c r="X18" s="1568"/>
      <c r="Y18" s="3377"/>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77"/>
      <c r="Q19" s="1573" t="str">
        <f>B19</f>
        <v>公共配套设施</v>
      </c>
      <c r="R19" s="1574" t="s">
        <v>8</v>
      </c>
      <c r="S19" s="1575">
        <f>F19</f>
        <v>100</v>
      </c>
      <c r="T19" s="1574" t="s">
        <v>8</v>
      </c>
      <c r="U19" s="1575">
        <f>H19</f>
        <v>100</v>
      </c>
      <c r="V19" s="1574" t="s">
        <v>8</v>
      </c>
      <c r="W19" s="1575">
        <f>J19</f>
        <v>100</v>
      </c>
      <c r="X19" s="1568"/>
      <c r="Y19" s="337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77"/>
      <c r="Q20" s="1573"/>
      <c r="R20" s="1574"/>
      <c r="S20" s="1575"/>
      <c r="T20" s="1574"/>
      <c r="U20" s="1575"/>
      <c r="V20" s="1574"/>
      <c r="W20" s="1575"/>
      <c r="X20" s="1568"/>
      <c r="Y20" s="3377"/>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77"/>
      <c r="Q21" s="2578" t="str">
        <f>B21</f>
        <v>基础设施水平</v>
      </c>
      <c r="R21" s="1574" t="s">
        <v>8</v>
      </c>
      <c r="S21" s="1575">
        <f>F21</f>
        <v>100</v>
      </c>
      <c r="T21" s="1574" t="s">
        <v>8</v>
      </c>
      <c r="U21" s="1575">
        <f>H21</f>
        <v>100</v>
      </c>
      <c r="V21" s="1574" t="s">
        <v>8</v>
      </c>
      <c r="W21" s="1575">
        <f>J21</f>
        <v>100</v>
      </c>
      <c r="X21" s="2580"/>
      <c r="Y21" s="3377"/>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2"/>
      <c r="M22" s="2134"/>
      <c r="N22" s="2134"/>
      <c r="O22" s="2141"/>
      <c r="P22" s="3377"/>
      <c r="Q22" s="2578"/>
      <c r="R22" s="1574"/>
      <c r="S22" s="1575"/>
      <c r="T22" s="1574"/>
      <c r="U22" s="1575"/>
      <c r="V22" s="1574"/>
      <c r="W22" s="1575"/>
      <c r="X22" s="2580"/>
      <c r="Y22" s="3377"/>
      <c r="Z22" s="257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77"/>
      <c r="Q23" s="1573" t="str">
        <f>B23</f>
        <v>自然及人文环境</v>
      </c>
      <c r="R23" s="1574" t="s">
        <v>8</v>
      </c>
      <c r="S23" s="1575">
        <f>F23</f>
        <v>100</v>
      </c>
      <c r="T23" s="1574" t="s">
        <v>8</v>
      </c>
      <c r="U23" s="1575">
        <f>H23</f>
        <v>100</v>
      </c>
      <c r="V23" s="1574" t="s">
        <v>8</v>
      </c>
      <c r="W23" s="1575">
        <f>J23</f>
        <v>100</v>
      </c>
      <c r="X23" s="1568"/>
      <c r="Y23" s="337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77"/>
      <c r="Q24" s="1573"/>
      <c r="R24" s="1574"/>
      <c r="S24" s="1575"/>
      <c r="T24" s="1574"/>
      <c r="U24" s="1575"/>
      <c r="V24" s="1574"/>
      <c r="W24" s="1575"/>
      <c r="X24" s="1568"/>
      <c r="Y24" s="337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7"/>
      <c r="Q25" s="1573" t="str">
        <f t="shared" ref="Q25:Q46" si="11">B25</f>
        <v>临街状况</v>
      </c>
      <c r="R25" s="1574" t="s">
        <v>8</v>
      </c>
      <c r="S25" s="1575">
        <f>F25</f>
        <v>100</v>
      </c>
      <c r="T25" s="1574" t="s">
        <v>8</v>
      </c>
      <c r="U25" s="1575">
        <f>H25</f>
        <v>100</v>
      </c>
      <c r="V25" s="1574" t="s">
        <v>8</v>
      </c>
      <c r="W25" s="1575">
        <f>J25</f>
        <v>100</v>
      </c>
      <c r="X25" s="1568"/>
      <c r="Y25" s="337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7"/>
      <c r="Q26" s="1573" t="str">
        <f t="shared" si="11"/>
        <v>平面位置/可视性</v>
      </c>
      <c r="R26" s="1574" t="s">
        <v>8</v>
      </c>
      <c r="S26" s="1575">
        <f>F26</f>
        <v>100</v>
      </c>
      <c r="T26" s="1574" t="s">
        <v>8</v>
      </c>
      <c r="U26" s="1575">
        <f>H26</f>
        <v>100</v>
      </c>
      <c r="V26" s="1574" t="s">
        <v>8</v>
      </c>
      <c r="W26" s="1575">
        <f>J26</f>
        <v>100</v>
      </c>
      <c r="X26" s="1568"/>
      <c r="Y26" s="337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77"/>
      <c r="Q27" s="1151" t="str">
        <f t="shared" si="11"/>
        <v>人流量</v>
      </c>
      <c r="R27" s="1569" t="s">
        <v>8</v>
      </c>
      <c r="S27" s="1570">
        <f>F27</f>
        <v>100</v>
      </c>
      <c r="T27" s="1569" t="s">
        <v>8</v>
      </c>
      <c r="U27" s="1570">
        <f>H27</f>
        <v>100</v>
      </c>
      <c r="V27" s="1569" t="s">
        <v>8</v>
      </c>
      <c r="W27" s="1570">
        <f>J27</f>
        <v>100</v>
      </c>
      <c r="X27" s="1571"/>
      <c r="Y27" s="337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7"/>
      <c r="Q29" s="1573">
        <f t="shared" si="11"/>
        <v>111</v>
      </c>
      <c r="R29" s="1574" t="s">
        <v>8</v>
      </c>
      <c r="S29" s="1575">
        <f t="shared" si="12"/>
        <v>100</v>
      </c>
      <c r="T29" s="1574" t="s">
        <v>8</v>
      </c>
      <c r="U29" s="1575">
        <f t="shared" si="13"/>
        <v>100</v>
      </c>
      <c r="V29" s="1574" t="s">
        <v>8</v>
      </c>
      <c r="W29" s="1575">
        <f t="shared" si="14"/>
        <v>100</v>
      </c>
      <c r="X29" s="1568"/>
      <c r="Y29" s="337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7"/>
      <c r="Q30" s="1573">
        <f t="shared" si="11"/>
        <v>111</v>
      </c>
      <c r="R30" s="1574" t="s">
        <v>8</v>
      </c>
      <c r="S30" s="1575">
        <f t="shared" si="12"/>
        <v>100</v>
      </c>
      <c r="T30" s="1574" t="s">
        <v>8</v>
      </c>
      <c r="U30" s="1575">
        <f t="shared" si="13"/>
        <v>100</v>
      </c>
      <c r="V30" s="1574" t="s">
        <v>8</v>
      </c>
      <c r="W30" s="1575">
        <f t="shared" si="14"/>
        <v>100</v>
      </c>
      <c r="X30" s="1568"/>
      <c r="Y30" s="337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7"/>
      <c r="Q31" s="1573">
        <f t="shared" si="11"/>
        <v>111</v>
      </c>
      <c r="R31" s="1574" t="s">
        <v>8</v>
      </c>
      <c r="S31" s="1575">
        <f t="shared" si="12"/>
        <v>100</v>
      </c>
      <c r="T31" s="1574" t="s">
        <v>8</v>
      </c>
      <c r="U31" s="1575">
        <f t="shared" si="13"/>
        <v>100</v>
      </c>
      <c r="V31" s="1574" t="s">
        <v>8</v>
      </c>
      <c r="W31" s="1575">
        <f t="shared" si="14"/>
        <v>100</v>
      </c>
      <c r="X31" s="1568"/>
      <c r="Y31" s="3377"/>
      <c r="Z31" s="1576">
        <f t="shared" si="15"/>
        <v>111</v>
      </c>
      <c r="AA31" s="1577">
        <f t="shared" si="3"/>
        <v>1</v>
      </c>
      <c r="AB31" s="1577">
        <f t="shared" si="4"/>
        <v>1</v>
      </c>
      <c r="AC31" s="1577">
        <f t="shared" si="5"/>
        <v>1</v>
      </c>
    </row>
    <row r="32" spans="1:29" ht="15">
      <c r="A32" s="2906"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8" t="s">
        <v>550</v>
      </c>
      <c r="Q32" s="1573" t="str">
        <f t="shared" si="11"/>
        <v>商业类型</v>
      </c>
      <c r="R32" s="1574" t="s">
        <v>8</v>
      </c>
      <c r="S32" s="1575">
        <f t="shared" si="12"/>
        <v>100</v>
      </c>
      <c r="T32" s="1574" t="s">
        <v>8</v>
      </c>
      <c r="U32" s="1575">
        <f t="shared" si="13"/>
        <v>100</v>
      </c>
      <c r="V32" s="1574" t="s">
        <v>8</v>
      </c>
      <c r="W32" s="1575">
        <f t="shared" si="14"/>
        <v>100</v>
      </c>
      <c r="X32" s="1568"/>
      <c r="Y32" s="337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79"/>
      <c r="Q33" s="1606" t="str">
        <f t="shared" si="11"/>
        <v>项目建筑规模</v>
      </c>
      <c r="R33" s="1578" t="s">
        <v>8</v>
      </c>
      <c r="S33" s="1579" t="e">
        <f t="shared" si="12"/>
        <v>#N/A</v>
      </c>
      <c r="T33" s="1578" t="s">
        <v>8</v>
      </c>
      <c r="U33" s="1579" t="e">
        <f t="shared" si="13"/>
        <v>#N/A</v>
      </c>
      <c r="V33" s="1578" t="s">
        <v>8</v>
      </c>
      <c r="W33" s="1579" t="e">
        <f t="shared" si="14"/>
        <v>#N/A</v>
      </c>
      <c r="X33" s="1580"/>
      <c r="Y33" s="337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79"/>
      <c r="Q34" s="1573" t="str">
        <f t="shared" si="11"/>
        <v>建筑结构</v>
      </c>
      <c r="R34" s="1574" t="s">
        <v>8</v>
      </c>
      <c r="S34" s="1575">
        <f t="shared" si="12"/>
        <v>100</v>
      </c>
      <c r="T34" s="1574" t="s">
        <v>8</v>
      </c>
      <c r="U34" s="1575">
        <f t="shared" si="13"/>
        <v>100</v>
      </c>
      <c r="V34" s="1574" t="s">
        <v>8</v>
      </c>
      <c r="W34" s="1575">
        <f t="shared" si="14"/>
        <v>100</v>
      </c>
      <c r="X34" s="1568"/>
      <c r="Y34" s="337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79"/>
      <c r="Q35" s="1573" t="str">
        <f t="shared" si="11"/>
        <v>公共部分装修</v>
      </c>
      <c r="R35" s="1574" t="s">
        <v>8</v>
      </c>
      <c r="S35" s="1575">
        <f t="shared" si="12"/>
        <v>100</v>
      </c>
      <c r="T35" s="1574" t="s">
        <v>8</v>
      </c>
      <c r="U35" s="1575">
        <f t="shared" si="13"/>
        <v>100</v>
      </c>
      <c r="V35" s="1574" t="s">
        <v>8</v>
      </c>
      <c r="W35" s="1575">
        <f t="shared" si="14"/>
        <v>100</v>
      </c>
      <c r="X35" s="1568"/>
      <c r="Y35" s="337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79"/>
      <c r="Q36" s="1573" t="str">
        <f t="shared" si="11"/>
        <v>成新度</v>
      </c>
      <c r="R36" s="1574" t="s">
        <v>8</v>
      </c>
      <c r="S36" s="1575" t="e">
        <f t="shared" si="12"/>
        <v>#N/A</v>
      </c>
      <c r="T36" s="1574" t="s">
        <v>8</v>
      </c>
      <c r="U36" s="1575" t="e">
        <f t="shared" si="13"/>
        <v>#N/A</v>
      </c>
      <c r="V36" s="1574" t="s">
        <v>8</v>
      </c>
      <c r="W36" s="1575" t="e">
        <f t="shared" si="14"/>
        <v>#N/A</v>
      </c>
      <c r="X36" s="1568"/>
      <c r="Y36" s="3379"/>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79"/>
      <c r="Q37" s="1151" t="str">
        <f t="shared" si="11"/>
        <v>市政基础设施</v>
      </c>
      <c r="R37" s="1569" t="s">
        <v>8</v>
      </c>
      <c r="S37" s="1570">
        <f t="shared" si="12"/>
        <v>100</v>
      </c>
      <c r="T37" s="1569" t="s">
        <v>8</v>
      </c>
      <c r="U37" s="1570">
        <f t="shared" si="13"/>
        <v>100</v>
      </c>
      <c r="V37" s="1569" t="s">
        <v>8</v>
      </c>
      <c r="W37" s="1570">
        <f t="shared" si="14"/>
        <v>100</v>
      </c>
      <c r="X37" s="1571"/>
      <c r="Y37" s="337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79" t="s">
        <v>766</v>
      </c>
      <c r="Q38" s="1573" t="str">
        <f t="shared" si="11"/>
        <v>业态</v>
      </c>
      <c r="R38" s="1574" t="s">
        <v>8</v>
      </c>
      <c r="S38" s="1575">
        <f t="shared" si="12"/>
        <v>100</v>
      </c>
      <c r="T38" s="1574" t="s">
        <v>8</v>
      </c>
      <c r="U38" s="1575">
        <f t="shared" si="13"/>
        <v>100</v>
      </c>
      <c r="V38" s="1574" t="s">
        <v>8</v>
      </c>
      <c r="W38" s="1575">
        <f t="shared" si="14"/>
        <v>100</v>
      </c>
      <c r="X38" s="1568"/>
      <c r="Y38" s="337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9"/>
      <c r="Q39" s="1573" t="str">
        <f t="shared" si="11"/>
        <v>层高</v>
      </c>
      <c r="R39" s="1574" t="s">
        <v>8</v>
      </c>
      <c r="S39" s="1575">
        <f t="shared" si="12"/>
        <v>100</v>
      </c>
      <c r="T39" s="1574" t="s">
        <v>8</v>
      </c>
      <c r="U39" s="1575">
        <f t="shared" si="13"/>
        <v>100</v>
      </c>
      <c r="V39" s="1574" t="s">
        <v>8</v>
      </c>
      <c r="W39" s="1575">
        <f t="shared" si="14"/>
        <v>100</v>
      </c>
      <c r="X39" s="1568"/>
      <c r="Y39" s="337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79"/>
      <c r="Q40" s="1573" t="str">
        <f t="shared" si="11"/>
        <v>单套建筑面积</v>
      </c>
      <c r="R40" s="1574" t="s">
        <v>8</v>
      </c>
      <c r="S40" s="1575">
        <f t="shared" si="12"/>
        <v>100</v>
      </c>
      <c r="T40" s="1574" t="s">
        <v>8</v>
      </c>
      <c r="U40" s="1575">
        <f t="shared" si="13"/>
        <v>100</v>
      </c>
      <c r="V40" s="1574" t="s">
        <v>8</v>
      </c>
      <c r="W40" s="1575">
        <f t="shared" si="14"/>
        <v>100</v>
      </c>
      <c r="X40" s="1568"/>
      <c r="Y40" s="337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79"/>
      <c r="Q41" s="1606" t="str">
        <f t="shared" si="11"/>
        <v>进深比</v>
      </c>
      <c r="R41" s="1578" t="s">
        <v>8</v>
      </c>
      <c r="S41" s="1579">
        <f t="shared" si="12"/>
        <v>100</v>
      </c>
      <c r="T41" s="1578" t="s">
        <v>8</v>
      </c>
      <c r="U41" s="1579">
        <f t="shared" si="13"/>
        <v>100</v>
      </c>
      <c r="V41" s="1578" t="s">
        <v>8</v>
      </c>
      <c r="W41" s="1579">
        <f t="shared" si="14"/>
        <v>100</v>
      </c>
      <c r="X41" s="1580"/>
      <c r="Y41" s="337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79"/>
      <c r="Q42" s="1573" t="str">
        <f t="shared" si="11"/>
        <v>内部装修</v>
      </c>
      <c r="R42" s="1574" t="s">
        <v>8</v>
      </c>
      <c r="S42" s="1575">
        <f t="shared" si="12"/>
        <v>100</v>
      </c>
      <c r="T42" s="1574" t="s">
        <v>8</v>
      </c>
      <c r="U42" s="1575">
        <f t="shared" si="13"/>
        <v>100</v>
      </c>
      <c r="V42" s="1574" t="s">
        <v>8</v>
      </c>
      <c r="W42" s="1575">
        <f t="shared" si="14"/>
        <v>100</v>
      </c>
      <c r="X42" s="1568"/>
      <c r="Y42" s="337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79"/>
      <c r="Q43" s="1573" t="str">
        <f t="shared" si="11"/>
        <v>内部装修维护情况</v>
      </c>
      <c r="R43" s="1574" t="s">
        <v>8</v>
      </c>
      <c r="S43" s="1575">
        <f t="shared" si="12"/>
        <v>100</v>
      </c>
      <c r="T43" s="1574" t="s">
        <v>8</v>
      </c>
      <c r="U43" s="1575">
        <f t="shared" si="13"/>
        <v>100</v>
      </c>
      <c r="V43" s="1574" t="s">
        <v>8</v>
      </c>
      <c r="W43" s="1575">
        <f t="shared" si="14"/>
        <v>100</v>
      </c>
      <c r="X43" s="1568"/>
      <c r="Y43" s="337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79"/>
      <c r="Q44" s="1151">
        <f t="shared" si="11"/>
        <v>111</v>
      </c>
      <c r="R44" s="1569" t="s">
        <v>8</v>
      </c>
      <c r="S44" s="1570">
        <f t="shared" si="12"/>
        <v>100</v>
      </c>
      <c r="T44" s="1569" t="s">
        <v>8</v>
      </c>
      <c r="U44" s="1570">
        <f t="shared" si="13"/>
        <v>100</v>
      </c>
      <c r="V44" s="1569" t="s">
        <v>8</v>
      </c>
      <c r="W44" s="1570">
        <f t="shared" si="14"/>
        <v>100</v>
      </c>
      <c r="X44" s="1571"/>
      <c r="Y44" s="337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79"/>
      <c r="Q45" s="1573">
        <f t="shared" si="11"/>
        <v>111</v>
      </c>
      <c r="R45" s="1574" t="s">
        <v>8</v>
      </c>
      <c r="S45" s="1575">
        <f t="shared" si="12"/>
        <v>100</v>
      </c>
      <c r="T45" s="1574" t="s">
        <v>8</v>
      </c>
      <c r="U45" s="1575">
        <f t="shared" si="13"/>
        <v>100</v>
      </c>
      <c r="V45" s="1574" t="s">
        <v>8</v>
      </c>
      <c r="W45" s="1575">
        <f t="shared" si="14"/>
        <v>100</v>
      </c>
      <c r="X45" s="1568"/>
      <c r="Y45" s="337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5"/>
      <c r="Q46" s="1573">
        <f t="shared" si="11"/>
        <v>111</v>
      </c>
      <c r="R46" s="1574" t="s">
        <v>8</v>
      </c>
      <c r="S46" s="1575">
        <f t="shared" si="12"/>
        <v>100</v>
      </c>
      <c r="T46" s="1574" t="s">
        <v>8</v>
      </c>
      <c r="U46" s="1575">
        <f t="shared" si="13"/>
        <v>100</v>
      </c>
      <c r="V46" s="1574" t="s">
        <v>8</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1</v>
      </c>
      <c r="D47" s="2627"/>
      <c r="E47" s="2628"/>
      <c r="F47" s="2629"/>
      <c r="G47" s="2630"/>
      <c r="H47" s="2631"/>
      <c r="I47" s="2628"/>
      <c r="J47" s="2631"/>
      <c r="K47" s="1612"/>
      <c r="L47" s="2144"/>
      <c r="M47" s="2145"/>
      <c r="N47" s="2134"/>
      <c r="O47" s="2145"/>
      <c r="P47" s="3374" t="str">
        <f>A47</f>
        <v>成交单价（元/平方米）</v>
      </c>
      <c r="Q47" s="3374"/>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13"/>
      <c r="L48" s="2144"/>
      <c r="M48" s="2145"/>
      <c r="N48" s="2134"/>
      <c r="O48" s="2145"/>
      <c r="P48" s="3374" t="str">
        <f>A48</f>
        <v>比较价格（元/平方米）</v>
      </c>
      <c r="Q48" s="3374"/>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14"/>
      <c r="L49" s="2144"/>
      <c r="M49" s="2145"/>
      <c r="N49" s="2134"/>
      <c r="O49" s="2145"/>
      <c r="P49" s="3395" t="str">
        <f>A49</f>
        <v>估价对象XX用房的比较价格（楼面单价，元/平方米）</v>
      </c>
      <c r="Q49" s="3396"/>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80" t="s">
        <v>522</v>
      </c>
      <c r="D4" s="3381"/>
      <c r="E4" s="3404" t="s">
        <v>523</v>
      </c>
      <c r="F4" s="3405"/>
      <c r="G4" s="3380" t="s">
        <v>524</v>
      </c>
      <c r="H4" s="3381"/>
      <c r="I4" s="3380" t="s">
        <v>525</v>
      </c>
      <c r="J4" s="3381"/>
      <c r="K4" s="514" t="s">
        <v>526</v>
      </c>
      <c r="L4" s="2133"/>
      <c r="M4" s="2134"/>
      <c r="N4" s="2134"/>
      <c r="O4" s="2134"/>
      <c r="P4" s="3476" t="s">
        <v>527</v>
      </c>
      <c r="Q4" s="3383"/>
      <c r="R4" s="3368" t="s">
        <v>523</v>
      </c>
      <c r="S4" s="3369"/>
      <c r="T4" s="3368" t="s">
        <v>524</v>
      </c>
      <c r="U4" s="3369"/>
      <c r="V4" s="3388" t="s">
        <v>525</v>
      </c>
      <c r="W4" s="3388"/>
      <c r="X4" s="1568"/>
      <c r="Y4" s="3368" t="s">
        <v>527</v>
      </c>
      <c r="Z4" s="3369"/>
      <c r="AA4" s="3363" t="s">
        <v>523</v>
      </c>
      <c r="AB4" s="3363" t="s">
        <v>524</v>
      </c>
      <c r="AC4" s="3363" t="s">
        <v>525</v>
      </c>
    </row>
    <row r="5" spans="1:29" ht="15">
      <c r="A5" s="515"/>
      <c r="B5" s="516"/>
      <c r="C5" s="3391" t="s">
        <v>2928</v>
      </c>
      <c r="D5" s="3392"/>
      <c r="E5" s="3406" t="s">
        <v>2929</v>
      </c>
      <c r="F5" s="3407"/>
      <c r="G5" s="3391" t="s">
        <v>2930</v>
      </c>
      <c r="H5" s="3392"/>
      <c r="I5" s="3391" t="s">
        <v>2931</v>
      </c>
      <c r="J5" s="3392"/>
      <c r="K5" s="514"/>
      <c r="L5" s="2133"/>
      <c r="M5" s="2134"/>
      <c r="N5" s="2134"/>
      <c r="O5" s="2134"/>
      <c r="P5" s="3477"/>
      <c r="Q5" s="3385"/>
      <c r="R5" s="3370"/>
      <c r="S5" s="3371"/>
      <c r="T5" s="3370"/>
      <c r="U5" s="3371"/>
      <c r="V5" s="3388"/>
      <c r="W5" s="3388"/>
      <c r="X5" s="1568"/>
      <c r="Y5" s="3370"/>
      <c r="Z5" s="3371"/>
      <c r="AA5" s="3364"/>
      <c r="AB5" s="3364"/>
      <c r="AC5" s="3364"/>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478"/>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5" t="s">
        <v>530</v>
      </c>
      <c r="Q7" s="3375"/>
      <c r="R7" s="1569" t="s">
        <v>8</v>
      </c>
      <c r="S7" s="1570">
        <f t="shared" ref="S7:S15" si="0">F7</f>
        <v>0</v>
      </c>
      <c r="T7" s="1569" t="s">
        <v>8</v>
      </c>
      <c r="U7" s="1570">
        <f t="shared" ref="U7:U15" si="1">H7</f>
        <v>0</v>
      </c>
      <c r="V7" s="1569" t="s">
        <v>8</v>
      </c>
      <c r="W7" s="1570">
        <f t="shared" ref="W7:W15"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5" t="s">
        <v>533</v>
      </c>
      <c r="Q8" s="3367"/>
      <c r="R8" s="1569" t="s">
        <v>8</v>
      </c>
      <c r="S8" s="1570">
        <f t="shared" si="0"/>
        <v>0</v>
      </c>
      <c r="T8" s="1569" t="s">
        <v>8</v>
      </c>
      <c r="U8" s="1570">
        <f t="shared" si="1"/>
        <v>0</v>
      </c>
      <c r="V8" s="1569" t="s">
        <v>8</v>
      </c>
      <c r="W8" s="1570">
        <f t="shared" si="2"/>
        <v>0</v>
      </c>
      <c r="X8" s="1571"/>
      <c r="Y8" s="3366" t="s">
        <v>533</v>
      </c>
      <c r="Z8" s="3367"/>
      <c r="AA8" s="1572" t="e">
        <f t="shared" ref="AA8:AA47" si="3">D8/F8</f>
        <v>#DIV/0!</v>
      </c>
      <c r="AB8" s="1572" t="e">
        <f t="shared" ref="AB8:AB47" si="4">D8/H8</f>
        <v>#DIV/0!</v>
      </c>
      <c r="AC8" s="1572" t="e">
        <f t="shared" ref="AC8:AC47" si="5">D8/J8</f>
        <v>#DIV/0!</v>
      </c>
    </row>
    <row r="9" spans="1:29" s="1220"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4" t="s">
        <v>535</v>
      </c>
      <c r="Q9" s="1151" t="str">
        <f t="shared" ref="Q9:Q15" si="6">B9</f>
        <v>用途</v>
      </c>
      <c r="R9" s="1569" t="s">
        <v>8</v>
      </c>
      <c r="S9" s="1570">
        <f t="shared" si="0"/>
        <v>100</v>
      </c>
      <c r="T9" s="1569" t="s">
        <v>8</v>
      </c>
      <c r="U9" s="1570">
        <f t="shared" si="1"/>
        <v>100</v>
      </c>
      <c r="V9" s="1569" t="s">
        <v>8</v>
      </c>
      <c r="W9" s="1570">
        <f t="shared" si="2"/>
        <v>100</v>
      </c>
      <c r="X9" s="1571"/>
      <c r="Y9" s="3331"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4"/>
      <c r="Q11" s="1151" t="str">
        <f t="shared" si="6"/>
        <v>容积率</v>
      </c>
      <c r="R11" s="1569" t="s">
        <v>8</v>
      </c>
      <c r="S11" s="1570" t="e">
        <f t="shared" si="0"/>
        <v>#N/A</v>
      </c>
      <c r="T11" s="1569" t="s">
        <v>8</v>
      </c>
      <c r="U11" s="1570" t="e">
        <f t="shared" si="1"/>
        <v>#N/A</v>
      </c>
      <c r="V11" s="1569" t="s">
        <v>8</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4"/>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 t="shared" si="3"/>
        <v>1</v>
      </c>
      <c r="AB14" s="1572">
        <f t="shared" si="4"/>
        <v>1</v>
      </c>
      <c r="AC14" s="1572">
        <f t="shared" si="5"/>
        <v>1</v>
      </c>
    </row>
    <row r="15" spans="1:29" ht="71.25">
      <c r="A15" s="2909"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76" t="s">
        <v>540</v>
      </c>
      <c r="Q15" s="1573" t="str">
        <f t="shared" si="6"/>
        <v>办公集聚程度</v>
      </c>
      <c r="R15" s="1574" t="s">
        <v>8</v>
      </c>
      <c r="S15" s="1575">
        <f t="shared" si="0"/>
        <v>100</v>
      </c>
      <c r="T15" s="1574" t="s">
        <v>8</v>
      </c>
      <c r="U15" s="1575">
        <f t="shared" si="1"/>
        <v>100</v>
      </c>
      <c r="V15" s="1574" t="s">
        <v>8</v>
      </c>
      <c r="W15" s="1575">
        <f t="shared" si="2"/>
        <v>100</v>
      </c>
      <c r="X15" s="1568"/>
      <c r="Y15" s="337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77"/>
      <c r="Q16" s="1573"/>
      <c r="R16" s="1574"/>
      <c r="S16" s="1575"/>
      <c r="T16" s="1574"/>
      <c r="U16" s="1575"/>
      <c r="V16" s="1574"/>
      <c r="W16" s="1575"/>
      <c r="X16" s="1568"/>
      <c r="Y16" s="337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77"/>
      <c r="Q17" s="1573" t="str">
        <f>B17</f>
        <v>交通便捷度</v>
      </c>
      <c r="R17" s="1574" t="s">
        <v>8</v>
      </c>
      <c r="S17" s="1575">
        <f>F17</f>
        <v>100</v>
      </c>
      <c r="T17" s="1574" t="s">
        <v>8</v>
      </c>
      <c r="U17" s="1575">
        <f>H17</f>
        <v>100</v>
      </c>
      <c r="V17" s="1574" t="s">
        <v>8</v>
      </c>
      <c r="W17" s="1575">
        <f>J17</f>
        <v>100</v>
      </c>
      <c r="X17" s="1568"/>
      <c r="Y17" s="337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77"/>
      <c r="Q18" s="1573"/>
      <c r="R18" s="1574"/>
      <c r="S18" s="1575"/>
      <c r="T18" s="1574"/>
      <c r="U18" s="1575"/>
      <c r="V18" s="1574"/>
      <c r="W18" s="1575"/>
      <c r="X18" s="1568"/>
      <c r="Y18" s="3377"/>
      <c r="Z18" s="1576"/>
      <c r="AA18" s="1577">
        <v>1</v>
      </c>
      <c r="AB18" s="1577">
        <v>1</v>
      </c>
      <c r="AC18" s="1577">
        <v>1</v>
      </c>
    </row>
    <row r="19" spans="1:29" ht="42.75">
      <c r="A19" s="532"/>
      <c r="B19" s="2602"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77"/>
      <c r="Q19" s="1573" t="str">
        <f>B19</f>
        <v>公共配套设施</v>
      </c>
      <c r="R19" s="1574" t="s">
        <v>8</v>
      </c>
      <c r="S19" s="1575">
        <f>F19</f>
        <v>100</v>
      </c>
      <c r="T19" s="1574" t="s">
        <v>8</v>
      </c>
      <c r="U19" s="1575">
        <f>H19</f>
        <v>100</v>
      </c>
      <c r="V19" s="1574" t="s">
        <v>8</v>
      </c>
      <c r="W19" s="1575">
        <f>J19</f>
        <v>100</v>
      </c>
      <c r="X19" s="1568"/>
      <c r="Y19" s="337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77"/>
      <c r="Q20" s="1573"/>
      <c r="R20" s="1574"/>
      <c r="S20" s="1575"/>
      <c r="T20" s="1574"/>
      <c r="U20" s="1575"/>
      <c r="V20" s="1574"/>
      <c r="W20" s="1575"/>
      <c r="X20" s="1568"/>
      <c r="Y20" s="3377"/>
      <c r="Z20" s="1576"/>
      <c r="AA20" s="1577">
        <v>1</v>
      </c>
      <c r="AB20" s="1577">
        <v>1</v>
      </c>
      <c r="AC20" s="1577">
        <v>1</v>
      </c>
    </row>
    <row r="21" spans="1:29" ht="28.5">
      <c r="A21" s="532"/>
      <c r="B21" s="2590"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77"/>
      <c r="Q21" s="2578" t="str">
        <f>B21</f>
        <v>基础设施水平</v>
      </c>
      <c r="R21" s="1574" t="s">
        <v>8</v>
      </c>
      <c r="S21" s="1575">
        <f>F21</f>
        <v>100</v>
      </c>
      <c r="T21" s="1574" t="s">
        <v>8</v>
      </c>
      <c r="U21" s="1575">
        <f>H21</f>
        <v>100</v>
      </c>
      <c r="V21" s="1574" t="s">
        <v>8</v>
      </c>
      <c r="W21" s="1575">
        <f>J21</f>
        <v>100</v>
      </c>
      <c r="X21" s="2580"/>
      <c r="Y21" s="3377"/>
      <c r="Z21" s="257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1"/>
      <c r="L22" s="2142"/>
      <c r="M22" s="2134"/>
      <c r="N22" s="2134"/>
      <c r="O22" s="2134"/>
      <c r="P22" s="3377"/>
      <c r="Q22" s="2578"/>
      <c r="R22" s="1574"/>
      <c r="S22" s="1575"/>
      <c r="T22" s="1574"/>
      <c r="U22" s="1575"/>
      <c r="V22" s="1574"/>
      <c r="W22" s="1575"/>
      <c r="X22" s="2580"/>
      <c r="Y22" s="3377"/>
      <c r="Z22" s="257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77"/>
      <c r="Q23" s="1573" t="str">
        <f>B23</f>
        <v>环境质量</v>
      </c>
      <c r="R23" s="1574" t="s">
        <v>8</v>
      </c>
      <c r="S23" s="1575">
        <f>F23</f>
        <v>100</v>
      </c>
      <c r="T23" s="1574" t="s">
        <v>8</v>
      </c>
      <c r="U23" s="1575">
        <f>H23</f>
        <v>100</v>
      </c>
      <c r="V23" s="1574" t="s">
        <v>8</v>
      </c>
      <c r="W23" s="1575">
        <f>J23</f>
        <v>100</v>
      </c>
      <c r="X23" s="1568"/>
      <c r="Y23" s="337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77"/>
      <c r="Q24" s="1573"/>
      <c r="R24" s="1574"/>
      <c r="S24" s="1575"/>
      <c r="T24" s="1574"/>
      <c r="U24" s="1575"/>
      <c r="V24" s="1574"/>
      <c r="W24" s="1575"/>
      <c r="X24" s="1568"/>
      <c r="Y24" s="337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77"/>
      <c r="Q25" s="1573" t="str">
        <f>B25</f>
        <v>毗邻道路的类型与等级</v>
      </c>
      <c r="R25" s="1574" t="s">
        <v>8</v>
      </c>
      <c r="S25" s="1575">
        <f>F25</f>
        <v>100</v>
      </c>
      <c r="T25" s="1574" t="s">
        <v>8</v>
      </c>
      <c r="U25" s="1575">
        <f>H25</f>
        <v>100</v>
      </c>
      <c r="V25" s="1574" t="s">
        <v>8</v>
      </c>
      <c r="W25" s="1575">
        <f>J25</f>
        <v>100</v>
      </c>
      <c r="X25" s="1568"/>
      <c r="Y25" s="337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77"/>
      <c r="Q26" s="1573"/>
      <c r="R26" s="1574"/>
      <c r="S26" s="1575"/>
      <c r="T26" s="1574"/>
      <c r="U26" s="1575"/>
      <c r="V26" s="1574"/>
      <c r="W26" s="1575"/>
      <c r="X26" s="1568"/>
      <c r="Y26" s="337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7"/>
      <c r="Q27" s="1573" t="str">
        <f t="shared" ref="Q27:Q47" si="11">B27</f>
        <v>楼层</v>
      </c>
      <c r="R27" s="1574" t="s">
        <v>8</v>
      </c>
      <c r="S27" s="1575">
        <f>F27</f>
        <v>100</v>
      </c>
      <c r="T27" s="1574" t="s">
        <v>8</v>
      </c>
      <c r="U27" s="1575">
        <f>H27</f>
        <v>100</v>
      </c>
      <c r="V27" s="1574" t="s">
        <v>8</v>
      </c>
      <c r="W27" s="1575">
        <f>J27</f>
        <v>100</v>
      </c>
      <c r="X27" s="1568"/>
      <c r="Y27" s="337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77"/>
      <c r="Q28" s="1151" t="str">
        <f t="shared" si="11"/>
        <v>朝向</v>
      </c>
      <c r="R28" s="1569" t="s">
        <v>8</v>
      </c>
      <c r="S28" s="1570">
        <f>F28</f>
        <v>100</v>
      </c>
      <c r="T28" s="1569" t="s">
        <v>8</v>
      </c>
      <c r="U28" s="1570">
        <f>H28</f>
        <v>100</v>
      </c>
      <c r="V28" s="1569" t="s">
        <v>8</v>
      </c>
      <c r="W28" s="1570">
        <f>J28</f>
        <v>100</v>
      </c>
      <c r="X28" s="1571"/>
      <c r="Y28" s="337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77"/>
      <c r="Q29" s="1573">
        <f t="shared" si="11"/>
        <v>111</v>
      </c>
      <c r="R29" s="1574" t="s">
        <v>8</v>
      </c>
      <c r="S29" s="1575">
        <f t="shared" ref="S29:S47" si="12">F29</f>
        <v>100</v>
      </c>
      <c r="T29" s="1574" t="s">
        <v>8</v>
      </c>
      <c r="U29" s="1575">
        <f t="shared" ref="U29:U47" si="13">H29</f>
        <v>100</v>
      </c>
      <c r="V29" s="1574" t="s">
        <v>8</v>
      </c>
      <c r="W29" s="1575">
        <f t="shared" ref="W29:W47" si="14">J29</f>
        <v>100</v>
      </c>
      <c r="X29" s="1568"/>
      <c r="Y29" s="337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77"/>
      <c r="Q30" s="1573">
        <f t="shared" si="11"/>
        <v>111</v>
      </c>
      <c r="R30" s="1574" t="s">
        <v>8</v>
      </c>
      <c r="S30" s="1575">
        <f t="shared" si="12"/>
        <v>100</v>
      </c>
      <c r="T30" s="1574" t="s">
        <v>8</v>
      </c>
      <c r="U30" s="1575">
        <f t="shared" si="13"/>
        <v>100</v>
      </c>
      <c r="V30" s="1574" t="s">
        <v>8</v>
      </c>
      <c r="W30" s="1575">
        <f t="shared" si="14"/>
        <v>100</v>
      </c>
      <c r="X30" s="1568"/>
      <c r="Y30" s="337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77"/>
      <c r="Q31" s="1573">
        <f t="shared" si="11"/>
        <v>111</v>
      </c>
      <c r="R31" s="1574" t="s">
        <v>8</v>
      </c>
      <c r="S31" s="1575">
        <f t="shared" si="12"/>
        <v>100</v>
      </c>
      <c r="T31" s="1574" t="s">
        <v>8</v>
      </c>
      <c r="U31" s="1575">
        <f t="shared" si="13"/>
        <v>100</v>
      </c>
      <c r="V31" s="1574" t="s">
        <v>8</v>
      </c>
      <c r="W31" s="1575">
        <f t="shared" si="14"/>
        <v>100</v>
      </c>
      <c r="X31" s="1568"/>
      <c r="Y31" s="337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77"/>
      <c r="Q32" s="1573">
        <f t="shared" si="11"/>
        <v>111</v>
      </c>
      <c r="R32" s="1574" t="s">
        <v>8</v>
      </c>
      <c r="S32" s="1575">
        <f t="shared" si="12"/>
        <v>100</v>
      </c>
      <c r="T32" s="1574" t="s">
        <v>8</v>
      </c>
      <c r="U32" s="1575">
        <f t="shared" si="13"/>
        <v>100</v>
      </c>
      <c r="V32" s="1574" t="s">
        <v>8</v>
      </c>
      <c r="W32" s="1575">
        <f t="shared" si="14"/>
        <v>100</v>
      </c>
      <c r="X32" s="1568"/>
      <c r="Y32" s="3377"/>
      <c r="Z32" s="1576">
        <f t="shared" si="15"/>
        <v>111</v>
      </c>
      <c r="AA32" s="1577">
        <f t="shared" si="3"/>
        <v>1</v>
      </c>
      <c r="AB32" s="1577">
        <f t="shared" si="4"/>
        <v>1</v>
      </c>
      <c r="AC32" s="1577">
        <f t="shared" si="5"/>
        <v>1</v>
      </c>
    </row>
    <row r="33" spans="1:29" ht="15">
      <c r="A33" s="2906"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78" t="s">
        <v>550</v>
      </c>
      <c r="Q33" s="1573" t="str">
        <f t="shared" si="11"/>
        <v>建筑类型</v>
      </c>
      <c r="R33" s="1574" t="s">
        <v>8</v>
      </c>
      <c r="S33" s="1575">
        <f t="shared" si="12"/>
        <v>100</v>
      </c>
      <c r="T33" s="1574" t="s">
        <v>8</v>
      </c>
      <c r="U33" s="1575">
        <f t="shared" si="13"/>
        <v>100</v>
      </c>
      <c r="V33" s="1574" t="s">
        <v>8</v>
      </c>
      <c r="W33" s="1575">
        <f t="shared" si="14"/>
        <v>100</v>
      </c>
      <c r="X33" s="1568"/>
      <c r="Y33" s="337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79"/>
      <c r="Q34" s="1606" t="str">
        <f t="shared" si="11"/>
        <v>项目建筑规模</v>
      </c>
      <c r="R34" s="1578" t="s">
        <v>8</v>
      </c>
      <c r="S34" s="1579" t="e">
        <f t="shared" si="12"/>
        <v>#N/A</v>
      </c>
      <c r="T34" s="1578" t="s">
        <v>8</v>
      </c>
      <c r="U34" s="1579" t="e">
        <f t="shared" si="13"/>
        <v>#N/A</v>
      </c>
      <c r="V34" s="1578" t="s">
        <v>8</v>
      </c>
      <c r="W34" s="1579" t="e">
        <f t="shared" si="14"/>
        <v>#N/A</v>
      </c>
      <c r="X34" s="1580"/>
      <c r="Y34" s="337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79"/>
      <c r="Q35" s="1573" t="str">
        <f t="shared" si="11"/>
        <v>建筑结构</v>
      </c>
      <c r="R35" s="1574" t="s">
        <v>8</v>
      </c>
      <c r="S35" s="1575">
        <f t="shared" si="12"/>
        <v>100</v>
      </c>
      <c r="T35" s="1574" t="s">
        <v>8</v>
      </c>
      <c r="U35" s="1575">
        <f t="shared" si="13"/>
        <v>100</v>
      </c>
      <c r="V35" s="1574" t="s">
        <v>8</v>
      </c>
      <c r="W35" s="1575">
        <f t="shared" si="14"/>
        <v>100</v>
      </c>
      <c r="X35" s="1568"/>
      <c r="Y35" s="337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79"/>
      <c r="Q36" s="1573" t="str">
        <f t="shared" si="11"/>
        <v>公共部分装修</v>
      </c>
      <c r="R36" s="1574" t="s">
        <v>8</v>
      </c>
      <c r="S36" s="1575">
        <f t="shared" si="12"/>
        <v>100</v>
      </c>
      <c r="T36" s="1574" t="s">
        <v>8</v>
      </c>
      <c r="U36" s="1575">
        <f t="shared" si="13"/>
        <v>100</v>
      </c>
      <c r="V36" s="1574" t="s">
        <v>8</v>
      </c>
      <c r="W36" s="1575">
        <f t="shared" si="14"/>
        <v>100</v>
      </c>
      <c r="X36" s="1568"/>
      <c r="Y36" s="337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79"/>
      <c r="Q37" s="1573" t="str">
        <f t="shared" si="11"/>
        <v>成新度</v>
      </c>
      <c r="R37" s="1574" t="s">
        <v>8</v>
      </c>
      <c r="S37" s="1575" t="e">
        <f t="shared" si="12"/>
        <v>#N/A</v>
      </c>
      <c r="T37" s="1574" t="s">
        <v>8</v>
      </c>
      <c r="U37" s="1575" t="e">
        <f t="shared" si="13"/>
        <v>#N/A</v>
      </c>
      <c r="V37" s="1574" t="s">
        <v>8</v>
      </c>
      <c r="W37" s="1575" t="e">
        <f t="shared" si="14"/>
        <v>#N/A</v>
      </c>
      <c r="X37" s="1568"/>
      <c r="Y37" s="337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79"/>
      <c r="Q38" s="1151" t="str">
        <f t="shared" si="11"/>
        <v>写字楼等级</v>
      </c>
      <c r="R38" s="1569" t="s">
        <v>8</v>
      </c>
      <c r="S38" s="1570">
        <f t="shared" si="12"/>
        <v>100</v>
      </c>
      <c r="T38" s="1569" t="s">
        <v>8</v>
      </c>
      <c r="U38" s="1570">
        <f t="shared" si="13"/>
        <v>100</v>
      </c>
      <c r="V38" s="1569" t="s">
        <v>8</v>
      </c>
      <c r="W38" s="1570">
        <f t="shared" si="14"/>
        <v>100</v>
      </c>
      <c r="X38" s="1571"/>
      <c r="Y38" s="337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79" t="s">
        <v>550</v>
      </c>
      <c r="Q39" s="1573" t="str">
        <f t="shared" si="11"/>
        <v>物业管理</v>
      </c>
      <c r="R39" s="1574" t="s">
        <v>8</v>
      </c>
      <c r="S39" s="1575">
        <f t="shared" si="12"/>
        <v>100</v>
      </c>
      <c r="T39" s="1574" t="s">
        <v>8</v>
      </c>
      <c r="U39" s="1575">
        <f t="shared" si="13"/>
        <v>100</v>
      </c>
      <c r="V39" s="1574" t="s">
        <v>8</v>
      </c>
      <c r="W39" s="1575">
        <f t="shared" si="14"/>
        <v>100</v>
      </c>
      <c r="X39" s="1568"/>
      <c r="Y39" s="3379"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79"/>
      <c r="Q40" s="1573" t="str">
        <f t="shared" si="11"/>
        <v>市政基础设施</v>
      </c>
      <c r="R40" s="1574" t="s">
        <v>8</v>
      </c>
      <c r="S40" s="1575">
        <f t="shared" si="12"/>
        <v>100</v>
      </c>
      <c r="T40" s="1574" t="s">
        <v>8</v>
      </c>
      <c r="U40" s="1575">
        <f t="shared" si="13"/>
        <v>100</v>
      </c>
      <c r="V40" s="1574" t="s">
        <v>8</v>
      </c>
      <c r="W40" s="1575">
        <f t="shared" si="14"/>
        <v>100</v>
      </c>
      <c r="X40" s="1568"/>
      <c r="Y40" s="337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79"/>
      <c r="Q41" s="1573" t="str">
        <f t="shared" si="11"/>
        <v>层高</v>
      </c>
      <c r="R41" s="1574" t="s">
        <v>8</v>
      </c>
      <c r="S41" s="1575">
        <f t="shared" si="12"/>
        <v>100</v>
      </c>
      <c r="T41" s="1574" t="s">
        <v>8</v>
      </c>
      <c r="U41" s="1575">
        <f t="shared" si="13"/>
        <v>100</v>
      </c>
      <c r="V41" s="1574" t="s">
        <v>8</v>
      </c>
      <c r="W41" s="1575">
        <f t="shared" si="14"/>
        <v>100</v>
      </c>
      <c r="X41" s="1568"/>
      <c r="Y41" s="337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79"/>
      <c r="Q42" s="1606" t="str">
        <f t="shared" si="11"/>
        <v>单套建筑面积</v>
      </c>
      <c r="R42" s="1578" t="s">
        <v>8</v>
      </c>
      <c r="S42" s="1579">
        <f t="shared" si="12"/>
        <v>100</v>
      </c>
      <c r="T42" s="1578" t="s">
        <v>8</v>
      </c>
      <c r="U42" s="1579">
        <f t="shared" si="13"/>
        <v>100</v>
      </c>
      <c r="V42" s="1578" t="s">
        <v>8</v>
      </c>
      <c r="W42" s="1579">
        <f t="shared" si="14"/>
        <v>100</v>
      </c>
      <c r="X42" s="1580"/>
      <c r="Y42" s="337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79"/>
      <c r="Q43" s="1573" t="str">
        <f t="shared" si="11"/>
        <v>内部装修</v>
      </c>
      <c r="R43" s="1574" t="s">
        <v>8</v>
      </c>
      <c r="S43" s="1575">
        <f t="shared" si="12"/>
        <v>100</v>
      </c>
      <c r="T43" s="1574" t="s">
        <v>8</v>
      </c>
      <c r="U43" s="1575">
        <f t="shared" si="13"/>
        <v>100</v>
      </c>
      <c r="V43" s="1574" t="s">
        <v>8</v>
      </c>
      <c r="W43" s="1575">
        <f t="shared" si="14"/>
        <v>100</v>
      </c>
      <c r="X43" s="1568"/>
      <c r="Y43" s="337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79"/>
      <c r="Q44" s="1573" t="str">
        <f t="shared" si="11"/>
        <v>内部装修维护情况</v>
      </c>
      <c r="R44" s="1574" t="s">
        <v>8</v>
      </c>
      <c r="S44" s="1575">
        <f t="shared" si="12"/>
        <v>100</v>
      </c>
      <c r="T44" s="1574" t="s">
        <v>8</v>
      </c>
      <c r="U44" s="1575">
        <f t="shared" si="13"/>
        <v>100</v>
      </c>
      <c r="V44" s="1574" t="s">
        <v>8</v>
      </c>
      <c r="W44" s="1575">
        <f t="shared" si="14"/>
        <v>100</v>
      </c>
      <c r="X44" s="1568"/>
      <c r="Y44" s="337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79"/>
      <c r="Q45" s="1151">
        <f t="shared" si="11"/>
        <v>111</v>
      </c>
      <c r="R45" s="1569" t="s">
        <v>8</v>
      </c>
      <c r="S45" s="1570">
        <f t="shared" si="12"/>
        <v>100</v>
      </c>
      <c r="T45" s="1569" t="s">
        <v>8</v>
      </c>
      <c r="U45" s="1570">
        <f t="shared" si="13"/>
        <v>100</v>
      </c>
      <c r="V45" s="1569" t="s">
        <v>8</v>
      </c>
      <c r="W45" s="1570">
        <f t="shared" si="14"/>
        <v>100</v>
      </c>
      <c r="X45" s="1571"/>
      <c r="Y45" s="337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79"/>
      <c r="Q46" s="1573">
        <f t="shared" si="11"/>
        <v>111</v>
      </c>
      <c r="R46" s="1574" t="s">
        <v>8</v>
      </c>
      <c r="S46" s="1575">
        <f t="shared" si="12"/>
        <v>100</v>
      </c>
      <c r="T46" s="1574" t="s">
        <v>8</v>
      </c>
      <c r="U46" s="1575">
        <f t="shared" si="13"/>
        <v>100</v>
      </c>
      <c r="V46" s="1574" t="s">
        <v>8</v>
      </c>
      <c r="W46" s="1575">
        <f t="shared" si="14"/>
        <v>100</v>
      </c>
      <c r="X46" s="1568"/>
      <c r="Y46" s="337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5"/>
      <c r="Q47" s="1573">
        <f t="shared" si="11"/>
        <v>111</v>
      </c>
      <c r="R47" s="1574" t="s">
        <v>8</v>
      </c>
      <c r="S47" s="1575">
        <f t="shared" si="12"/>
        <v>100</v>
      </c>
      <c r="T47" s="1574" t="s">
        <v>8</v>
      </c>
      <c r="U47" s="1575">
        <f t="shared" si="13"/>
        <v>100</v>
      </c>
      <c r="V47" s="1574" t="s">
        <v>8</v>
      </c>
      <c r="W47" s="1575">
        <f t="shared" si="14"/>
        <v>100</v>
      </c>
      <c r="X47" s="1568"/>
      <c r="Y47" s="3475"/>
      <c r="Z47" s="1576">
        <f t="shared" si="15"/>
        <v>111</v>
      </c>
      <c r="AA47" s="1577">
        <f t="shared" si="3"/>
        <v>1</v>
      </c>
      <c r="AB47" s="1577">
        <f t="shared" si="4"/>
        <v>1</v>
      </c>
      <c r="AC47" s="1577">
        <f t="shared" si="5"/>
        <v>1</v>
      </c>
    </row>
    <row r="48" spans="1:29" ht="15">
      <c r="A48" s="607" t="s">
        <v>736</v>
      </c>
      <c r="B48" s="887"/>
      <c r="C48" s="2626" t="s">
        <v>1</v>
      </c>
      <c r="D48" s="2627"/>
      <c r="E48" s="2628"/>
      <c r="F48" s="2629"/>
      <c r="G48" s="2630"/>
      <c r="H48" s="2631"/>
      <c r="I48" s="2628"/>
      <c r="J48" s="2631"/>
      <c r="K48" s="1612"/>
      <c r="L48" s="2144"/>
      <c r="M48" s="2134"/>
      <c r="N48" s="2134"/>
      <c r="O48" s="2134"/>
      <c r="P48" s="3396" t="str">
        <f>A48</f>
        <v>成交单价（元/平方米）</v>
      </c>
      <c r="Q48" s="3374"/>
      <c r="R48" s="3474">
        <f>E48</f>
        <v>0</v>
      </c>
      <c r="S48" s="3474"/>
      <c r="T48" s="3474">
        <f>G48</f>
        <v>0</v>
      </c>
      <c r="U48" s="3474"/>
      <c r="V48" s="3474">
        <f>I48</f>
        <v>0</v>
      </c>
      <c r="W48" s="3474"/>
      <c r="X48" s="1560"/>
      <c r="Y48" s="1582"/>
      <c r="Z48" s="1560"/>
      <c r="AA48" s="1560"/>
      <c r="AB48" s="1560"/>
      <c r="AC48" s="1560"/>
    </row>
    <row r="49" spans="1:29" ht="15.75" thickBot="1">
      <c r="A49" s="615" t="s">
        <v>2762</v>
      </c>
      <c r="B49" s="888"/>
      <c r="C49" s="2632" t="e">
        <f>R50</f>
        <v>#DIV/0!</v>
      </c>
      <c r="D49" s="2633"/>
      <c r="E49" s="2634" t="e">
        <f>R49</f>
        <v>#DIV/0!</v>
      </c>
      <c r="F49" s="2634"/>
      <c r="G49" s="2632" t="e">
        <f>T49</f>
        <v>#DIV/0!</v>
      </c>
      <c r="H49" s="2633"/>
      <c r="I49" s="2634" t="e">
        <f>V49</f>
        <v>#DIV/0!</v>
      </c>
      <c r="J49" s="2633"/>
      <c r="K49" s="1613"/>
      <c r="L49" s="2144"/>
      <c r="M49" s="2134"/>
      <c r="N49" s="2134"/>
      <c r="O49" s="2134"/>
      <c r="P49" s="3396" t="str">
        <f>A49</f>
        <v>比较价格（元/平方米）</v>
      </c>
      <c r="Q49" s="3374"/>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0"/>
      <c r="Y49" s="1560"/>
      <c r="Z49" s="1560"/>
      <c r="AA49" s="1560"/>
      <c r="AB49" s="1560"/>
      <c r="AC49" s="1560"/>
    </row>
    <row r="50" spans="1:29" ht="15.75" thickBot="1">
      <c r="A50" s="621" t="s">
        <v>2934</v>
      </c>
      <c r="B50" s="622"/>
      <c r="C50" s="2635" t="e">
        <f>R50</f>
        <v>#DIV/0!</v>
      </c>
      <c r="D50" s="2635"/>
      <c r="E50" s="2635"/>
      <c r="F50" s="2635"/>
      <c r="G50" s="2635"/>
      <c r="H50" s="2635"/>
      <c r="I50" s="2635"/>
      <c r="J50" s="2635"/>
      <c r="K50" s="1614"/>
      <c r="L50" s="2144"/>
      <c r="M50" s="2134"/>
      <c r="N50" s="2134"/>
      <c r="O50" s="2134"/>
      <c r="P50" s="3479" t="str">
        <f>A50</f>
        <v>估价对象XX用房的比较价格（楼面单价，元/平方米）</v>
      </c>
      <c r="Q50" s="3396"/>
      <c r="R50" s="3473" t="e">
        <f>IF(F1="售价",ROUND(AVERAGE(R49:V49),0),ROUND(AVERAGE(R49:V49),1))</f>
        <v>#DIV/0!</v>
      </c>
      <c r="S50" s="3473"/>
      <c r="T50" s="3473"/>
      <c r="U50" s="3473"/>
      <c r="V50" s="3473"/>
      <c r="W50" s="347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6" t="s">
        <v>2560</v>
      </c>
      <c r="C83" s="2597" t="s">
        <v>2561</v>
      </c>
      <c r="D83" s="2597" t="s">
        <v>2562</v>
      </c>
      <c r="E83" s="2597" t="s">
        <v>2563</v>
      </c>
      <c r="F83" s="2597" t="s">
        <v>2564</v>
      </c>
      <c r="G83" s="2597" t="s">
        <v>2565</v>
      </c>
      <c r="H83" s="674"/>
      <c r="I83" s="674"/>
      <c r="J83" s="674"/>
      <c r="K83" s="674"/>
      <c r="L83" s="674"/>
      <c r="M83" s="260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80" t="s">
        <v>522</v>
      </c>
      <c r="D4" s="3381"/>
      <c r="E4" s="3404" t="s">
        <v>523</v>
      </c>
      <c r="F4" s="3405"/>
      <c r="G4" s="3380" t="s">
        <v>524</v>
      </c>
      <c r="H4" s="3381"/>
      <c r="I4" s="3380" t="s">
        <v>525</v>
      </c>
      <c r="J4" s="3381"/>
      <c r="K4" s="514" t="s">
        <v>526</v>
      </c>
      <c r="L4" s="2133"/>
      <c r="M4" s="2134"/>
      <c r="N4" s="2134"/>
      <c r="O4" s="2134"/>
      <c r="P4" s="3382" t="s">
        <v>527</v>
      </c>
      <c r="Q4" s="3383"/>
      <c r="R4" s="3368" t="s">
        <v>523</v>
      </c>
      <c r="S4" s="3369"/>
      <c r="T4" s="3368" t="s">
        <v>524</v>
      </c>
      <c r="U4" s="3369"/>
      <c r="V4" s="3388" t="s">
        <v>525</v>
      </c>
      <c r="W4" s="3388"/>
      <c r="X4" s="1568"/>
      <c r="Y4" s="3368" t="s">
        <v>527</v>
      </c>
      <c r="Z4" s="3369"/>
      <c r="AA4" s="3363" t="s">
        <v>523</v>
      </c>
      <c r="AB4" s="3364" t="s">
        <v>524</v>
      </c>
      <c r="AC4" s="3363" t="s">
        <v>525</v>
      </c>
    </row>
    <row r="5" spans="1:29" ht="15">
      <c r="A5" s="515"/>
      <c r="B5" s="516"/>
      <c r="C5" s="3391" t="s">
        <v>2928</v>
      </c>
      <c r="D5" s="3392"/>
      <c r="E5" s="3406" t="s">
        <v>2929</v>
      </c>
      <c r="F5" s="3407"/>
      <c r="G5" s="3391" t="s">
        <v>2930</v>
      </c>
      <c r="H5" s="3392"/>
      <c r="I5" s="3391" t="s">
        <v>2931</v>
      </c>
      <c r="J5" s="3392"/>
      <c r="K5" s="514"/>
      <c r="L5" s="2133"/>
      <c r="M5" s="2134"/>
      <c r="N5" s="2134"/>
      <c r="O5" s="2134"/>
      <c r="P5" s="3384"/>
      <c r="Q5" s="3385"/>
      <c r="R5" s="3370"/>
      <c r="S5" s="3371"/>
      <c r="T5" s="3370"/>
      <c r="U5" s="3371"/>
      <c r="V5" s="3388"/>
      <c r="W5" s="3388"/>
      <c r="X5" s="1568"/>
      <c r="Y5" s="3370"/>
      <c r="Z5" s="3371"/>
      <c r="AA5" s="3364"/>
      <c r="AB5" s="3364"/>
      <c r="AC5" s="3364"/>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6"/>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66" t="s">
        <v>530</v>
      </c>
      <c r="Q7" s="3375"/>
      <c r="R7" s="1569" t="s">
        <v>8</v>
      </c>
      <c r="S7" s="1570">
        <f t="shared" ref="S7:S15" si="0">F7</f>
        <v>0</v>
      </c>
      <c r="T7" s="1569" t="s">
        <v>8</v>
      </c>
      <c r="U7" s="1570">
        <f t="shared" ref="U7:U15" si="1">H7</f>
        <v>0</v>
      </c>
      <c r="V7" s="1569" t="s">
        <v>8</v>
      </c>
      <c r="W7" s="1570">
        <f t="shared" ref="W7:W15"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66" t="s">
        <v>533</v>
      </c>
      <c r="Q8" s="3367"/>
      <c r="R8" s="1569" t="s">
        <v>8</v>
      </c>
      <c r="S8" s="1570">
        <f t="shared" si="0"/>
        <v>0</v>
      </c>
      <c r="T8" s="1569" t="s">
        <v>8</v>
      </c>
      <c r="U8" s="1570">
        <f t="shared" si="1"/>
        <v>0</v>
      </c>
      <c r="V8" s="1569" t="s">
        <v>8</v>
      </c>
      <c r="W8" s="1570">
        <f t="shared" si="2"/>
        <v>0</v>
      </c>
      <c r="X8" s="1571"/>
      <c r="Y8" s="3366" t="s">
        <v>533</v>
      </c>
      <c r="Z8" s="3367"/>
      <c r="AA8" s="1572" t="e">
        <f t="shared" ref="AA8:AA40" si="3">D8/F8</f>
        <v>#DIV/0!</v>
      </c>
      <c r="AB8" s="1572" t="e">
        <f t="shared" ref="AB8:AB40" si="4">D8/H8</f>
        <v>#DIV/0!</v>
      </c>
      <c r="AC8" s="1572" t="e">
        <f t="shared" ref="AC8:AC40" si="5">D8/J8</f>
        <v>#DIV/0!</v>
      </c>
    </row>
    <row r="9" spans="1:29" s="1220"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4" t="s">
        <v>535</v>
      </c>
      <c r="Q9" s="1151" t="str">
        <f t="shared" ref="Q9:Q15" si="6">B9</f>
        <v>用途</v>
      </c>
      <c r="R9" s="1569" t="s">
        <v>8</v>
      </c>
      <c r="S9" s="1570">
        <f t="shared" si="0"/>
        <v>100</v>
      </c>
      <c r="T9" s="1569" t="s">
        <v>8</v>
      </c>
      <c r="U9" s="1570">
        <f t="shared" si="1"/>
        <v>100</v>
      </c>
      <c r="V9" s="1569" t="s">
        <v>8</v>
      </c>
      <c r="W9" s="1570">
        <f t="shared" si="2"/>
        <v>100</v>
      </c>
      <c r="X9" s="1571"/>
      <c r="Y9" s="3331"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4"/>
      <c r="Q11" s="1151" t="str">
        <f t="shared" si="6"/>
        <v>容积率</v>
      </c>
      <c r="R11" s="1569" t="s">
        <v>8</v>
      </c>
      <c r="S11" s="1570" t="e">
        <f t="shared" si="0"/>
        <v>#N/A</v>
      </c>
      <c r="T11" s="1569" t="s">
        <v>8</v>
      </c>
      <c r="U11" s="1570" t="e">
        <f t="shared" si="1"/>
        <v>#N/A</v>
      </c>
      <c r="V11" s="1569" t="s">
        <v>8</v>
      </c>
      <c r="W11" s="1570" t="e">
        <f t="shared" si="2"/>
        <v>#N/A</v>
      </c>
      <c r="X11" s="1571"/>
      <c r="Y11" s="3331"/>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4"/>
      <c r="Q14" s="1151">
        <f t="shared" si="6"/>
        <v>111</v>
      </c>
      <c r="R14" s="1569" t="s">
        <v>8</v>
      </c>
      <c r="S14" s="1570">
        <f t="shared" si="0"/>
        <v>100</v>
      </c>
      <c r="T14" s="1569" t="s">
        <v>8</v>
      </c>
      <c r="U14" s="1570">
        <f t="shared" si="1"/>
        <v>100</v>
      </c>
      <c r="V14" s="1569" t="s">
        <v>8</v>
      </c>
      <c r="W14" s="1570">
        <f t="shared" si="2"/>
        <v>100</v>
      </c>
      <c r="X14" s="1571"/>
      <c r="Y14" s="3331"/>
      <c r="Z14" s="1150">
        <f t="shared" si="7"/>
        <v>111</v>
      </c>
      <c r="AA14" s="1572">
        <f t="shared" si="3"/>
        <v>1</v>
      </c>
      <c r="AB14" s="1572">
        <f t="shared" si="4"/>
        <v>1</v>
      </c>
      <c r="AC14" s="1572">
        <f t="shared" si="5"/>
        <v>1</v>
      </c>
    </row>
    <row r="15" spans="1:29" ht="57">
      <c r="A15" s="2909"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76" t="s">
        <v>540</v>
      </c>
      <c r="Q15" s="1573" t="str">
        <f t="shared" si="6"/>
        <v>产业集聚程度</v>
      </c>
      <c r="R15" s="1574" t="s">
        <v>8</v>
      </c>
      <c r="S15" s="1575">
        <f t="shared" si="0"/>
        <v>100</v>
      </c>
      <c r="T15" s="1574" t="s">
        <v>8</v>
      </c>
      <c r="U15" s="1575">
        <f t="shared" si="1"/>
        <v>100</v>
      </c>
      <c r="V15" s="1574" t="s">
        <v>8</v>
      </c>
      <c r="W15" s="1575">
        <f t="shared" si="2"/>
        <v>100</v>
      </c>
      <c r="X15" s="1568"/>
      <c r="Y15" s="337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77"/>
      <c r="Q16" s="1573"/>
      <c r="R16" s="1574"/>
      <c r="S16" s="1575"/>
      <c r="T16" s="1574"/>
      <c r="U16" s="1575"/>
      <c r="V16" s="1574"/>
      <c r="W16" s="1575"/>
      <c r="X16" s="1568"/>
      <c r="Y16" s="337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77"/>
      <c r="Q17" s="1573" t="str">
        <f>B17</f>
        <v>交通便捷度</v>
      </c>
      <c r="R17" s="1574" t="s">
        <v>8</v>
      </c>
      <c r="S17" s="1575">
        <f>F17</f>
        <v>100</v>
      </c>
      <c r="T17" s="1574" t="s">
        <v>8</v>
      </c>
      <c r="U17" s="1575">
        <f>H17</f>
        <v>100</v>
      </c>
      <c r="V17" s="1574" t="s">
        <v>8</v>
      </c>
      <c r="W17" s="1575">
        <f>J17</f>
        <v>100</v>
      </c>
      <c r="X17" s="1568"/>
      <c r="Y17" s="337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77"/>
      <c r="Q18" s="1573"/>
      <c r="R18" s="1574"/>
      <c r="S18" s="1575"/>
      <c r="T18" s="1574"/>
      <c r="U18" s="1575"/>
      <c r="V18" s="1574"/>
      <c r="W18" s="1575"/>
      <c r="X18" s="1568"/>
      <c r="Y18" s="3377"/>
      <c r="Z18" s="1576"/>
      <c r="AA18" s="1577">
        <v>1</v>
      </c>
      <c r="AB18" s="1577">
        <v>1</v>
      </c>
      <c r="AC18" s="1577">
        <v>1</v>
      </c>
    </row>
    <row r="19" spans="1:29" ht="42.75">
      <c r="A19" s="532"/>
      <c r="B19" s="2602"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77"/>
      <c r="Q19" s="1573" t="str">
        <f>B19</f>
        <v>公共配套设施</v>
      </c>
      <c r="R19" s="1574" t="s">
        <v>8</v>
      </c>
      <c r="S19" s="1575">
        <f>F19</f>
        <v>100</v>
      </c>
      <c r="T19" s="1574" t="s">
        <v>8</v>
      </c>
      <c r="U19" s="1575">
        <f>H19</f>
        <v>100</v>
      </c>
      <c r="V19" s="1574" t="s">
        <v>8</v>
      </c>
      <c r="W19" s="1575">
        <f>J19</f>
        <v>100</v>
      </c>
      <c r="X19" s="1568"/>
      <c r="Y19" s="337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77"/>
      <c r="Q20" s="1573"/>
      <c r="R20" s="1574"/>
      <c r="S20" s="1575"/>
      <c r="T20" s="1574"/>
      <c r="U20" s="1575"/>
      <c r="V20" s="1574"/>
      <c r="W20" s="1575"/>
      <c r="X20" s="1568"/>
      <c r="Y20" s="3377"/>
      <c r="Z20" s="1576"/>
      <c r="AA20" s="1577">
        <v>1</v>
      </c>
      <c r="AB20" s="1577">
        <v>1</v>
      </c>
      <c r="AC20" s="1577">
        <v>1</v>
      </c>
    </row>
    <row r="21" spans="1:29" ht="28.5">
      <c r="A21" s="532"/>
      <c r="B21" s="2590"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77"/>
      <c r="Q21" s="2578" t="str">
        <f>B21</f>
        <v>基础设施水平</v>
      </c>
      <c r="R21" s="1574" t="s">
        <v>8</v>
      </c>
      <c r="S21" s="1575">
        <f>F21</f>
        <v>100</v>
      </c>
      <c r="T21" s="1574" t="s">
        <v>8</v>
      </c>
      <c r="U21" s="1575">
        <f>H21</f>
        <v>100</v>
      </c>
      <c r="V21" s="1574" t="s">
        <v>8</v>
      </c>
      <c r="W21" s="1575">
        <f>J21</f>
        <v>100</v>
      </c>
      <c r="X21" s="2580"/>
      <c r="Y21" s="3377"/>
      <c r="Z21" s="257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1"/>
      <c r="L22" s="2142"/>
      <c r="M22" s="2134"/>
      <c r="N22" s="2134"/>
      <c r="O22" s="2141"/>
      <c r="P22" s="3377"/>
      <c r="Q22" s="2578"/>
      <c r="R22" s="1574"/>
      <c r="S22" s="1575"/>
      <c r="T22" s="1574"/>
      <c r="U22" s="1575"/>
      <c r="V22" s="1574"/>
      <c r="W22" s="1575"/>
      <c r="X22" s="2580"/>
      <c r="Y22" s="3377"/>
      <c r="Z22" s="257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77"/>
      <c r="Q23" s="1573" t="str">
        <f>B23</f>
        <v>环境质量</v>
      </c>
      <c r="R23" s="1574" t="s">
        <v>8</v>
      </c>
      <c r="S23" s="1575">
        <f>F23</f>
        <v>100</v>
      </c>
      <c r="T23" s="1574" t="s">
        <v>8</v>
      </c>
      <c r="U23" s="1575">
        <f>H23</f>
        <v>100</v>
      </c>
      <c r="V23" s="1574" t="s">
        <v>8</v>
      </c>
      <c r="W23" s="1575">
        <f>J23</f>
        <v>100</v>
      </c>
      <c r="X23" s="1568"/>
      <c r="Y23" s="337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77"/>
      <c r="Q24" s="1573"/>
      <c r="R24" s="1574"/>
      <c r="S24" s="1575"/>
      <c r="T24" s="1574"/>
      <c r="U24" s="1575"/>
      <c r="V24" s="1574"/>
      <c r="W24" s="1575"/>
      <c r="X24" s="1568"/>
      <c r="Y24" s="337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7"/>
      <c r="Q25" s="1573">
        <f>B25</f>
        <v>111</v>
      </c>
      <c r="R25" s="1574" t="s">
        <v>8</v>
      </c>
      <c r="S25" s="1575">
        <f>F25</f>
        <v>100</v>
      </c>
      <c r="T25" s="1574" t="s">
        <v>8</v>
      </c>
      <c r="U25" s="1575">
        <f>H25</f>
        <v>100</v>
      </c>
      <c r="V25" s="1574" t="s">
        <v>8</v>
      </c>
      <c r="W25" s="1575">
        <f>J25</f>
        <v>100</v>
      </c>
      <c r="X25" s="1568"/>
      <c r="Y25" s="337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7"/>
      <c r="Q26" s="1573">
        <f t="shared" ref="Q26:Q40" si="11">B26</f>
        <v>111</v>
      </c>
      <c r="R26" s="1574" t="s">
        <v>8</v>
      </c>
      <c r="S26" s="1575">
        <f>F26</f>
        <v>100</v>
      </c>
      <c r="T26" s="1574" t="s">
        <v>8</v>
      </c>
      <c r="U26" s="1575">
        <f>H26</f>
        <v>100</v>
      </c>
      <c r="V26" s="1574" t="s">
        <v>8</v>
      </c>
      <c r="W26" s="1575">
        <f>J26</f>
        <v>100</v>
      </c>
      <c r="X26" s="1568"/>
      <c r="Y26" s="337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7"/>
      <c r="Q27" s="1151">
        <f t="shared" si="11"/>
        <v>111</v>
      </c>
      <c r="R27" s="1569" t="s">
        <v>8</v>
      </c>
      <c r="S27" s="1570">
        <f>F27</f>
        <v>100</v>
      </c>
      <c r="T27" s="1569" t="s">
        <v>8</v>
      </c>
      <c r="U27" s="1570">
        <f>H27</f>
        <v>100</v>
      </c>
      <c r="V27" s="1569" t="s">
        <v>8</v>
      </c>
      <c r="W27" s="1570">
        <f>J27</f>
        <v>100</v>
      </c>
      <c r="X27" s="1571"/>
      <c r="Y27" s="337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77"/>
      <c r="Q28" s="1573">
        <f t="shared" si="11"/>
        <v>111</v>
      </c>
      <c r="R28" s="1574" t="s">
        <v>8</v>
      </c>
      <c r="S28" s="1575">
        <f t="shared" ref="S28:S40" si="12">F28</f>
        <v>100</v>
      </c>
      <c r="T28" s="1574" t="s">
        <v>8</v>
      </c>
      <c r="U28" s="1575">
        <f t="shared" ref="U28:U40" si="13">H28</f>
        <v>100</v>
      </c>
      <c r="V28" s="1574" t="s">
        <v>8</v>
      </c>
      <c r="W28" s="1575">
        <f t="shared" ref="W28:W40" si="14">J28</f>
        <v>100</v>
      </c>
      <c r="X28" s="1568"/>
      <c r="Y28" s="3377"/>
      <c r="Z28" s="1576">
        <f t="shared" ref="Z28:Z40" si="15">Q28</f>
        <v>111</v>
      </c>
      <c r="AA28" s="1577">
        <f t="shared" si="3"/>
        <v>1</v>
      </c>
      <c r="AB28" s="1577">
        <f t="shared" si="4"/>
        <v>1</v>
      </c>
      <c r="AC28" s="1577">
        <f t="shared" si="5"/>
        <v>1</v>
      </c>
    </row>
    <row r="29" spans="1:29" ht="15">
      <c r="A29" s="2906"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78" t="s">
        <v>550</v>
      </c>
      <c r="Q29" s="1573" t="str">
        <f t="shared" si="11"/>
        <v>建筑类型</v>
      </c>
      <c r="R29" s="1574" t="s">
        <v>8</v>
      </c>
      <c r="S29" s="1575">
        <f t="shared" si="12"/>
        <v>100</v>
      </c>
      <c r="T29" s="1574" t="s">
        <v>8</v>
      </c>
      <c r="U29" s="1575">
        <f t="shared" si="13"/>
        <v>100</v>
      </c>
      <c r="V29" s="1574" t="s">
        <v>8</v>
      </c>
      <c r="W29" s="1575">
        <f t="shared" si="14"/>
        <v>100</v>
      </c>
      <c r="X29" s="1568"/>
      <c r="Y29" s="337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79"/>
      <c r="Q30" s="1606" t="str">
        <f t="shared" si="11"/>
        <v>项目建筑规模</v>
      </c>
      <c r="R30" s="1578" t="s">
        <v>8</v>
      </c>
      <c r="S30" s="1579" t="e">
        <f t="shared" si="12"/>
        <v>#N/A</v>
      </c>
      <c r="T30" s="1578" t="s">
        <v>8</v>
      </c>
      <c r="U30" s="1579" t="e">
        <f t="shared" si="13"/>
        <v>#N/A</v>
      </c>
      <c r="V30" s="1578" t="s">
        <v>8</v>
      </c>
      <c r="W30" s="1579" t="e">
        <f t="shared" si="14"/>
        <v>#N/A</v>
      </c>
      <c r="X30" s="1580"/>
      <c r="Y30" s="337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79"/>
      <c r="Q31" s="1573" t="str">
        <f t="shared" si="11"/>
        <v>建筑结构</v>
      </c>
      <c r="R31" s="1574" t="s">
        <v>8</v>
      </c>
      <c r="S31" s="1575">
        <f t="shared" si="12"/>
        <v>100</v>
      </c>
      <c r="T31" s="1574" t="s">
        <v>8</v>
      </c>
      <c r="U31" s="1575">
        <f t="shared" si="13"/>
        <v>100</v>
      </c>
      <c r="V31" s="1574" t="s">
        <v>8</v>
      </c>
      <c r="W31" s="1575">
        <f t="shared" si="14"/>
        <v>100</v>
      </c>
      <c r="X31" s="1568"/>
      <c r="Y31" s="337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79"/>
      <c r="Q32" s="1573" t="str">
        <f t="shared" si="11"/>
        <v>公共部分装修</v>
      </c>
      <c r="R32" s="1574" t="s">
        <v>8</v>
      </c>
      <c r="S32" s="1575">
        <f t="shared" si="12"/>
        <v>100</v>
      </c>
      <c r="T32" s="1574" t="s">
        <v>8</v>
      </c>
      <c r="U32" s="1575">
        <f t="shared" si="13"/>
        <v>100</v>
      </c>
      <c r="V32" s="1574" t="s">
        <v>8</v>
      </c>
      <c r="W32" s="1575">
        <f t="shared" si="14"/>
        <v>100</v>
      </c>
      <c r="X32" s="1568"/>
      <c r="Y32" s="337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79"/>
      <c r="Q33" s="1573" t="str">
        <f t="shared" si="11"/>
        <v>成新度</v>
      </c>
      <c r="R33" s="1574" t="s">
        <v>8</v>
      </c>
      <c r="S33" s="1575" t="e">
        <f t="shared" si="12"/>
        <v>#N/A</v>
      </c>
      <c r="T33" s="1574" t="s">
        <v>8</v>
      </c>
      <c r="U33" s="1575" t="e">
        <f t="shared" si="13"/>
        <v>#N/A</v>
      </c>
      <c r="V33" s="1574" t="s">
        <v>8</v>
      </c>
      <c r="W33" s="1575" t="e">
        <f t="shared" si="14"/>
        <v>#N/A</v>
      </c>
      <c r="X33" s="1568"/>
      <c r="Y33" s="337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79"/>
      <c r="Q34" s="1151" t="str">
        <f t="shared" si="11"/>
        <v>物业管理</v>
      </c>
      <c r="R34" s="1569" t="s">
        <v>8</v>
      </c>
      <c r="S34" s="1570">
        <f t="shared" si="12"/>
        <v>100</v>
      </c>
      <c r="T34" s="1569" t="s">
        <v>8</v>
      </c>
      <c r="U34" s="1570">
        <f t="shared" si="13"/>
        <v>100</v>
      </c>
      <c r="V34" s="1569" t="s">
        <v>8</v>
      </c>
      <c r="W34" s="1570">
        <f t="shared" si="14"/>
        <v>100</v>
      </c>
      <c r="X34" s="1571"/>
      <c r="Y34" s="3379"/>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79" t="s">
        <v>550</v>
      </c>
      <c r="Q35" s="1573" t="str">
        <f t="shared" si="11"/>
        <v>市政基础设施</v>
      </c>
      <c r="R35" s="1574" t="s">
        <v>8</v>
      </c>
      <c r="S35" s="1575">
        <f t="shared" si="12"/>
        <v>100</v>
      </c>
      <c r="T35" s="1574" t="s">
        <v>8</v>
      </c>
      <c r="U35" s="1575">
        <f t="shared" si="13"/>
        <v>100</v>
      </c>
      <c r="V35" s="1574" t="s">
        <v>8</v>
      </c>
      <c r="W35" s="1575">
        <f t="shared" si="14"/>
        <v>100</v>
      </c>
      <c r="X35" s="1568"/>
      <c r="Y35" s="337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79"/>
      <c r="Q36" s="1573" t="str">
        <f t="shared" si="11"/>
        <v>内部装修</v>
      </c>
      <c r="R36" s="1574" t="s">
        <v>8</v>
      </c>
      <c r="S36" s="1575">
        <f t="shared" si="12"/>
        <v>100</v>
      </c>
      <c r="T36" s="1574" t="s">
        <v>8</v>
      </c>
      <c r="U36" s="1575">
        <f t="shared" si="13"/>
        <v>100</v>
      </c>
      <c r="V36" s="1574" t="s">
        <v>8</v>
      </c>
      <c r="W36" s="1575">
        <f t="shared" si="14"/>
        <v>100</v>
      </c>
      <c r="X36" s="1568"/>
      <c r="Y36" s="337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79"/>
      <c r="Q37" s="1573" t="str">
        <f t="shared" si="11"/>
        <v>内部装修状况</v>
      </c>
      <c r="R37" s="1574" t="s">
        <v>8</v>
      </c>
      <c r="S37" s="1575">
        <f t="shared" si="12"/>
        <v>100</v>
      </c>
      <c r="T37" s="1574" t="s">
        <v>8</v>
      </c>
      <c r="U37" s="1575">
        <f t="shared" si="13"/>
        <v>100</v>
      </c>
      <c r="V37" s="1574" t="s">
        <v>8</v>
      </c>
      <c r="W37" s="1575">
        <f t="shared" si="14"/>
        <v>100</v>
      </c>
      <c r="X37" s="1568"/>
      <c r="Y37" s="337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79"/>
      <c r="Q38" s="1606">
        <f t="shared" si="11"/>
        <v>111</v>
      </c>
      <c r="R38" s="1578" t="s">
        <v>8</v>
      </c>
      <c r="S38" s="1579">
        <f t="shared" si="12"/>
        <v>100</v>
      </c>
      <c r="T38" s="1578" t="s">
        <v>8</v>
      </c>
      <c r="U38" s="1579">
        <f t="shared" si="13"/>
        <v>100</v>
      </c>
      <c r="V38" s="1578" t="s">
        <v>8</v>
      </c>
      <c r="W38" s="1579">
        <f t="shared" si="14"/>
        <v>100</v>
      </c>
      <c r="X38" s="1580"/>
      <c r="Y38" s="337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79"/>
      <c r="Q39" s="1573">
        <f t="shared" si="11"/>
        <v>111</v>
      </c>
      <c r="R39" s="1574" t="s">
        <v>8</v>
      </c>
      <c r="S39" s="1575">
        <f t="shared" si="12"/>
        <v>100</v>
      </c>
      <c r="T39" s="1574" t="s">
        <v>8</v>
      </c>
      <c r="U39" s="1575">
        <f t="shared" si="13"/>
        <v>100</v>
      </c>
      <c r="V39" s="1574" t="s">
        <v>8</v>
      </c>
      <c r="W39" s="1575">
        <f t="shared" si="14"/>
        <v>100</v>
      </c>
      <c r="X39" s="1568"/>
      <c r="Y39" s="337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5"/>
      <c r="Q40" s="1573">
        <f t="shared" si="11"/>
        <v>111</v>
      </c>
      <c r="R40" s="1574" t="s">
        <v>8</v>
      </c>
      <c r="S40" s="1575">
        <f t="shared" si="12"/>
        <v>100</v>
      </c>
      <c r="T40" s="1574" t="s">
        <v>8</v>
      </c>
      <c r="U40" s="1575">
        <f t="shared" si="13"/>
        <v>100</v>
      </c>
      <c r="V40" s="1574" t="s">
        <v>8</v>
      </c>
      <c r="W40" s="1575">
        <f t="shared" si="14"/>
        <v>100</v>
      </c>
      <c r="X40" s="1568"/>
      <c r="Y40" s="3475"/>
      <c r="Z40" s="1576">
        <f t="shared" si="15"/>
        <v>111</v>
      </c>
      <c r="AA40" s="1577">
        <f t="shared" si="3"/>
        <v>1</v>
      </c>
      <c r="AB40" s="1577">
        <f t="shared" si="4"/>
        <v>1</v>
      </c>
      <c r="AC40" s="1577">
        <f t="shared" si="5"/>
        <v>1</v>
      </c>
    </row>
    <row r="41" spans="1:29" ht="15">
      <c r="A41" s="607" t="s">
        <v>736</v>
      </c>
      <c r="B41" s="887"/>
      <c r="C41" s="2626" t="s">
        <v>1</v>
      </c>
      <c r="D41" s="2627"/>
      <c r="E41" s="2628"/>
      <c r="F41" s="2629"/>
      <c r="G41" s="2630"/>
      <c r="H41" s="2631"/>
      <c r="I41" s="2628"/>
      <c r="J41" s="2631"/>
      <c r="K41" s="1612"/>
      <c r="L41" s="2144"/>
      <c r="M41" s="2145"/>
      <c r="N41" s="2134"/>
      <c r="O41" s="2145"/>
      <c r="P41" s="3374" t="str">
        <f>A41</f>
        <v>成交单价（元/平方米）</v>
      </c>
      <c r="Q41" s="3374"/>
      <c r="R41" s="3474">
        <f>E41</f>
        <v>0</v>
      </c>
      <c r="S41" s="3474"/>
      <c r="T41" s="3474">
        <f>G41</f>
        <v>0</v>
      </c>
      <c r="U41" s="3474"/>
      <c r="V41" s="3474">
        <f>I41</f>
        <v>0</v>
      </c>
      <c r="W41" s="3474"/>
      <c r="X41" s="1560"/>
      <c r="Y41" s="1582"/>
      <c r="Z41" s="1560"/>
      <c r="AA41" s="1560"/>
      <c r="AB41" s="1560"/>
      <c r="AC41" s="1560"/>
    </row>
    <row r="42" spans="1:29" ht="15.75" thickBot="1">
      <c r="A42" s="615" t="s">
        <v>2762</v>
      </c>
      <c r="B42" s="888"/>
      <c r="C42" s="2632" t="e">
        <f>R43</f>
        <v>#DIV/0!</v>
      </c>
      <c r="D42" s="2633"/>
      <c r="E42" s="2634" t="e">
        <f>R42</f>
        <v>#DIV/0!</v>
      </c>
      <c r="F42" s="2634"/>
      <c r="G42" s="2632" t="e">
        <f>T42</f>
        <v>#DIV/0!</v>
      </c>
      <c r="H42" s="2633"/>
      <c r="I42" s="2634" t="e">
        <f>V42</f>
        <v>#DIV/0!</v>
      </c>
      <c r="J42" s="2633"/>
      <c r="K42" s="1613"/>
      <c r="L42" s="2144"/>
      <c r="M42" s="2145"/>
      <c r="N42" s="2134"/>
      <c r="O42" s="2145"/>
      <c r="P42" s="3374" t="str">
        <f>A42</f>
        <v>比较价格（元/平方米）</v>
      </c>
      <c r="Q42" s="3374"/>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0"/>
      <c r="Y42" s="1560"/>
      <c r="Z42" s="1560"/>
      <c r="AA42" s="1560"/>
      <c r="AB42" s="1560"/>
      <c r="AC42" s="1560"/>
    </row>
    <row r="43" spans="1:29" ht="15.75" thickBot="1">
      <c r="A43" s="621" t="s">
        <v>2934</v>
      </c>
      <c r="B43" s="622"/>
      <c r="C43" s="2635" t="e">
        <f>R43</f>
        <v>#DIV/0!</v>
      </c>
      <c r="D43" s="2635"/>
      <c r="E43" s="2635"/>
      <c r="F43" s="2635"/>
      <c r="G43" s="2635"/>
      <c r="H43" s="2635"/>
      <c r="I43" s="2635"/>
      <c r="J43" s="2635"/>
      <c r="K43" s="1614"/>
      <c r="L43" s="2144"/>
      <c r="M43" s="2145"/>
      <c r="N43" s="2145"/>
      <c r="O43" s="2145"/>
      <c r="P43" s="3395" t="str">
        <f>A43</f>
        <v>估价对象XX用房的比较价格（楼面单价，元/平方米）</v>
      </c>
      <c r="Q43" s="3396"/>
      <c r="R43" s="3473" t="e">
        <f>IF(F1="售价",ROUND(AVERAGE(R42:V42),0),ROUND(AVERAGE(R42:V42),1))</f>
        <v>#DIV/0!</v>
      </c>
      <c r="S43" s="3473"/>
      <c r="T43" s="3473"/>
      <c r="U43" s="3473"/>
      <c r="V43" s="3473"/>
      <c r="W43" s="347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6" t="s">
        <v>2560</v>
      </c>
      <c r="C76" s="2597" t="s">
        <v>2561</v>
      </c>
      <c r="D76" s="2597" t="s">
        <v>2562</v>
      </c>
      <c r="E76" s="2597" t="s">
        <v>2563</v>
      </c>
      <c r="F76" s="2597" t="s">
        <v>2564</v>
      </c>
      <c r="G76" s="2597"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0" t="s">
        <v>798</v>
      </c>
      <c r="D4" s="3381"/>
      <c r="E4" s="3380" t="s">
        <v>799</v>
      </c>
      <c r="F4" s="3381"/>
      <c r="G4" s="3380" t="s">
        <v>800</v>
      </c>
      <c r="H4" s="3381"/>
      <c r="I4" s="3380" t="s">
        <v>801</v>
      </c>
      <c r="J4" s="3381"/>
      <c r="K4" s="514" t="s">
        <v>802</v>
      </c>
      <c r="L4" s="2133"/>
      <c r="M4" s="2134"/>
      <c r="N4" s="2134"/>
      <c r="O4" s="2134"/>
      <c r="P4" s="3382" t="s">
        <v>803</v>
      </c>
      <c r="Q4" s="3383"/>
      <c r="R4" s="3368" t="s">
        <v>799</v>
      </c>
      <c r="S4" s="3369"/>
      <c r="T4" s="3368" t="s">
        <v>800</v>
      </c>
      <c r="U4" s="3369"/>
      <c r="V4" s="3388" t="s">
        <v>801</v>
      </c>
      <c r="W4" s="3388"/>
      <c r="X4" s="1568"/>
      <c r="Y4" s="3368" t="s">
        <v>803</v>
      </c>
      <c r="Z4" s="3369"/>
      <c r="AA4" s="3363" t="s">
        <v>799</v>
      </c>
      <c r="AB4" s="3364" t="s">
        <v>800</v>
      </c>
      <c r="AC4" s="3363" t="s">
        <v>801</v>
      </c>
    </row>
    <row r="5" spans="1:29" ht="15">
      <c r="A5" s="515"/>
      <c r="B5" s="516"/>
      <c r="C5" s="3391" t="s">
        <v>2928</v>
      </c>
      <c r="D5" s="3392"/>
      <c r="E5" s="3391" t="s">
        <v>2929</v>
      </c>
      <c r="F5" s="3392"/>
      <c r="G5" s="3391" t="s">
        <v>2930</v>
      </c>
      <c r="H5" s="3392"/>
      <c r="I5" s="3391" t="s">
        <v>2931</v>
      </c>
      <c r="J5" s="3392"/>
      <c r="K5" s="514"/>
      <c r="L5" s="2133"/>
      <c r="M5" s="2134"/>
      <c r="N5" s="2134"/>
      <c r="O5" s="2134"/>
      <c r="P5" s="3384"/>
      <c r="Q5" s="3385"/>
      <c r="R5" s="3370"/>
      <c r="S5" s="3371"/>
      <c r="T5" s="3370"/>
      <c r="U5" s="3371"/>
      <c r="V5" s="3388"/>
      <c r="W5" s="3388"/>
      <c r="X5" s="1568"/>
      <c r="Y5" s="3370"/>
      <c r="Z5" s="3371"/>
      <c r="AA5" s="3364"/>
      <c r="AB5" s="3364"/>
      <c r="AC5" s="3364"/>
    </row>
    <row r="6" spans="1:29" ht="15.75" thickBot="1">
      <c r="A6" s="517"/>
      <c r="B6" s="518"/>
      <c r="C6" s="3389" t="s">
        <v>2932</v>
      </c>
      <c r="D6" s="3390"/>
      <c r="E6" s="3393" t="s">
        <v>2932</v>
      </c>
      <c r="F6" s="3394"/>
      <c r="G6" s="3389" t="s">
        <v>2932</v>
      </c>
      <c r="H6" s="3390"/>
      <c r="I6" s="3389" t="s">
        <v>2932</v>
      </c>
      <c r="J6" s="3390"/>
      <c r="K6" s="514" t="s">
        <v>528</v>
      </c>
      <c r="L6" s="2133"/>
      <c r="M6" s="2134"/>
      <c r="N6" s="2134"/>
      <c r="O6" s="2134"/>
      <c r="P6" s="3386"/>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66" t="s">
        <v>530</v>
      </c>
      <c r="Q7" s="3375"/>
      <c r="R7" s="1569" t="s">
        <v>8</v>
      </c>
      <c r="S7" s="1570">
        <f t="shared" ref="S7:S14" si="0">F7</f>
        <v>0</v>
      </c>
      <c r="T7" s="1569" t="s">
        <v>8</v>
      </c>
      <c r="U7" s="1570">
        <f t="shared" ref="U7:U14" si="1">H7</f>
        <v>0</v>
      </c>
      <c r="V7" s="1569" t="s">
        <v>8</v>
      </c>
      <c r="W7" s="1570">
        <f t="shared" ref="W7:W14"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66" t="s">
        <v>533</v>
      </c>
      <c r="Q8" s="3367"/>
      <c r="R8" s="1569" t="s">
        <v>8</v>
      </c>
      <c r="S8" s="1570">
        <f t="shared" si="0"/>
        <v>0</v>
      </c>
      <c r="T8" s="1569" t="s">
        <v>8</v>
      </c>
      <c r="U8" s="1570">
        <f t="shared" si="1"/>
        <v>0</v>
      </c>
      <c r="V8" s="1569" t="s">
        <v>8</v>
      </c>
      <c r="W8" s="1570">
        <f t="shared" si="2"/>
        <v>0</v>
      </c>
      <c r="X8" s="1571"/>
      <c r="Y8" s="3366" t="s">
        <v>533</v>
      </c>
      <c r="Z8" s="3367"/>
      <c r="AA8" s="1572" t="e">
        <f t="shared" ref="AA8:AA36" si="3">D8/F8</f>
        <v>#DIV/0!</v>
      </c>
      <c r="AB8" s="1572" t="e">
        <f t="shared" ref="AB8:AB36" si="4">D8/H8</f>
        <v>#DIV/0!</v>
      </c>
      <c r="AC8" s="1572" t="e">
        <f t="shared" ref="AC8:AC36" si="5">D8/J8</f>
        <v>#DIV/0!</v>
      </c>
    </row>
    <row r="9" spans="1:29" s="1220"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4" t="s">
        <v>535</v>
      </c>
      <c r="Q9" s="1151" t="str">
        <f t="shared" ref="Q9:Q14" si="6">B9</f>
        <v>用途</v>
      </c>
      <c r="R9" s="1569" t="s">
        <v>8</v>
      </c>
      <c r="S9" s="1570">
        <f t="shared" si="0"/>
        <v>100</v>
      </c>
      <c r="T9" s="1569" t="s">
        <v>8</v>
      </c>
      <c r="U9" s="1570">
        <f t="shared" si="1"/>
        <v>100</v>
      </c>
      <c r="V9" s="1569" t="s">
        <v>8</v>
      </c>
      <c r="W9" s="1570">
        <f t="shared" si="2"/>
        <v>100</v>
      </c>
      <c r="X9" s="1571"/>
      <c r="Y9" s="3331"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4"/>
      <c r="Q11" s="1151">
        <f t="shared" si="6"/>
        <v>111</v>
      </c>
      <c r="R11" s="1569" t="s">
        <v>8</v>
      </c>
      <c r="S11" s="1570">
        <f t="shared" si="0"/>
        <v>100</v>
      </c>
      <c r="T11" s="1569" t="s">
        <v>8</v>
      </c>
      <c r="U11" s="1570">
        <f t="shared" si="1"/>
        <v>100</v>
      </c>
      <c r="V11" s="1569" t="s">
        <v>8</v>
      </c>
      <c r="W11" s="1570">
        <f t="shared" si="2"/>
        <v>100</v>
      </c>
      <c r="X11" s="1571"/>
      <c r="Y11" s="3331"/>
      <c r="Z11" s="1150">
        <f t="shared" si="7"/>
        <v>111</v>
      </c>
      <c r="AA11" s="1572">
        <f t="shared" si="3"/>
        <v>1</v>
      </c>
      <c r="AB11" s="1572">
        <f t="shared" si="4"/>
        <v>1</v>
      </c>
      <c r="AC11" s="1572">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85.5">
      <c r="A14" s="2909"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76" t="s">
        <v>540</v>
      </c>
      <c r="Q14" s="1573" t="str">
        <f t="shared" si="6"/>
        <v>交通便捷度</v>
      </c>
      <c r="R14" s="1574" t="s">
        <v>8</v>
      </c>
      <c r="S14" s="1575">
        <f t="shared" si="0"/>
        <v>100</v>
      </c>
      <c r="T14" s="1574" t="s">
        <v>8</v>
      </c>
      <c r="U14" s="1575">
        <f t="shared" si="1"/>
        <v>100</v>
      </c>
      <c r="V14" s="1574" t="s">
        <v>8</v>
      </c>
      <c r="W14" s="1575">
        <f t="shared" si="2"/>
        <v>100</v>
      </c>
      <c r="X14" s="1568"/>
      <c r="Y14" s="337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77"/>
      <c r="Q15" s="1573"/>
      <c r="R15" s="1574"/>
      <c r="S15" s="1575"/>
      <c r="T15" s="1574"/>
      <c r="U15" s="1575"/>
      <c r="V15" s="1574"/>
      <c r="W15" s="1575"/>
      <c r="X15" s="1568"/>
      <c r="Y15" s="3377"/>
      <c r="Z15" s="1576"/>
      <c r="AA15" s="1577">
        <v>1</v>
      </c>
      <c r="AB15" s="1577">
        <v>1</v>
      </c>
      <c r="AC15" s="1577">
        <v>1</v>
      </c>
    </row>
    <row r="16" spans="1:29" ht="42.75">
      <c r="A16" s="515"/>
      <c r="B16" s="2602"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77"/>
      <c r="Q16" s="1573" t="str">
        <f>B16</f>
        <v>公共配套设施</v>
      </c>
      <c r="R16" s="1574" t="s">
        <v>8</v>
      </c>
      <c r="S16" s="1575">
        <f>F16</f>
        <v>100</v>
      </c>
      <c r="T16" s="1574" t="s">
        <v>8</v>
      </c>
      <c r="U16" s="1575">
        <f>H16</f>
        <v>100</v>
      </c>
      <c r="V16" s="1574" t="s">
        <v>8</v>
      </c>
      <c r="W16" s="1575">
        <f>J16</f>
        <v>100</v>
      </c>
      <c r="X16" s="1568"/>
      <c r="Y16" s="337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77"/>
      <c r="Q17" s="1573"/>
      <c r="R17" s="1574"/>
      <c r="S17" s="1575"/>
      <c r="T17" s="1574"/>
      <c r="U17" s="1575"/>
      <c r="V17" s="1574"/>
      <c r="W17" s="1575"/>
      <c r="X17" s="1568"/>
      <c r="Y17" s="3377"/>
      <c r="Z17" s="1576"/>
      <c r="AA17" s="1577">
        <v>1</v>
      </c>
      <c r="AB17" s="1577">
        <v>1</v>
      </c>
      <c r="AC17" s="1577">
        <v>1</v>
      </c>
    </row>
    <row r="18" spans="1:29" ht="28.5">
      <c r="A18" s="515"/>
      <c r="B18" s="2590"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77"/>
      <c r="Q18" s="2578" t="str">
        <f>B18</f>
        <v>基础设施水平</v>
      </c>
      <c r="R18" s="1574" t="s">
        <v>8</v>
      </c>
      <c r="S18" s="1575">
        <f>F18</f>
        <v>100</v>
      </c>
      <c r="T18" s="1574" t="s">
        <v>8</v>
      </c>
      <c r="U18" s="1575">
        <f>H18</f>
        <v>100</v>
      </c>
      <c r="V18" s="1574" t="s">
        <v>8</v>
      </c>
      <c r="W18" s="1575">
        <f>J18</f>
        <v>100</v>
      </c>
      <c r="X18" s="2580"/>
      <c r="Y18" s="3377"/>
      <c r="Z18" s="257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1"/>
      <c r="L19" s="2142"/>
      <c r="M19" s="2134"/>
      <c r="N19" s="2134"/>
      <c r="O19" s="2141"/>
      <c r="P19" s="3377"/>
      <c r="Q19" s="2578"/>
      <c r="R19" s="1574"/>
      <c r="S19" s="1575"/>
      <c r="T19" s="1574"/>
      <c r="U19" s="1575"/>
      <c r="V19" s="1574"/>
      <c r="W19" s="1575"/>
      <c r="X19" s="2580"/>
      <c r="Y19" s="3377"/>
      <c r="Z19" s="257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77"/>
      <c r="Q20" s="1573" t="str">
        <f>B20</f>
        <v>自然及人文环境</v>
      </c>
      <c r="R20" s="1574" t="s">
        <v>8</v>
      </c>
      <c r="S20" s="1575">
        <f>F20</f>
        <v>100</v>
      </c>
      <c r="T20" s="1574" t="s">
        <v>8</v>
      </c>
      <c r="U20" s="1575">
        <f>H20</f>
        <v>100</v>
      </c>
      <c r="V20" s="1574" t="s">
        <v>8</v>
      </c>
      <c r="W20" s="1575">
        <f>J20</f>
        <v>100</v>
      </c>
      <c r="X20" s="1568"/>
      <c r="Y20" s="337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77"/>
      <c r="Q21" s="1573"/>
      <c r="R21" s="1574"/>
      <c r="S21" s="1575"/>
      <c r="T21" s="1574"/>
      <c r="U21" s="1575"/>
      <c r="V21" s="1574"/>
      <c r="W21" s="1575"/>
      <c r="X21" s="1568"/>
      <c r="Y21" s="337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7"/>
      <c r="Q22" s="1573" t="str">
        <f>B22</f>
        <v>楼层</v>
      </c>
      <c r="R22" s="1574" t="s">
        <v>8</v>
      </c>
      <c r="S22" s="1575">
        <f>F22</f>
        <v>100</v>
      </c>
      <c r="T22" s="1574" t="s">
        <v>8</v>
      </c>
      <c r="U22" s="1575">
        <f>H22</f>
        <v>100</v>
      </c>
      <c r="V22" s="1574" t="s">
        <v>8</v>
      </c>
      <c r="W22" s="1575">
        <f>J22</f>
        <v>100</v>
      </c>
      <c r="X22" s="1568"/>
      <c r="Y22" s="337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77"/>
      <c r="Q23" s="1573">
        <f>B23</f>
        <v>111</v>
      </c>
      <c r="R23" s="1574" t="s">
        <v>8</v>
      </c>
      <c r="S23" s="1575">
        <f>F23</f>
        <v>100</v>
      </c>
      <c r="T23" s="1574" t="s">
        <v>8</v>
      </c>
      <c r="U23" s="1575">
        <f>H23</f>
        <v>100</v>
      </c>
      <c r="V23" s="1574" t="s">
        <v>8</v>
      </c>
      <c r="W23" s="1575">
        <f>J23</f>
        <v>100</v>
      </c>
      <c r="X23" s="1568"/>
      <c r="Y23" s="337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77"/>
      <c r="Q24" s="1573">
        <f t="shared" ref="Q24:Q36" si="11">B24</f>
        <v>111</v>
      </c>
      <c r="R24" s="1574" t="s">
        <v>8</v>
      </c>
      <c r="S24" s="1575">
        <f>F24</f>
        <v>100</v>
      </c>
      <c r="T24" s="1574" t="s">
        <v>8</v>
      </c>
      <c r="U24" s="1575">
        <f>H24</f>
        <v>100</v>
      </c>
      <c r="V24" s="1574" t="s">
        <v>8</v>
      </c>
      <c r="W24" s="1575">
        <f>J24</f>
        <v>100</v>
      </c>
      <c r="X24" s="1568"/>
      <c r="Y24" s="337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77"/>
      <c r="Q25" s="1151">
        <f t="shared" si="11"/>
        <v>111</v>
      </c>
      <c r="R25" s="1569" t="s">
        <v>8</v>
      </c>
      <c r="S25" s="1570">
        <f>F25</f>
        <v>100</v>
      </c>
      <c r="T25" s="1569" t="s">
        <v>8</v>
      </c>
      <c r="U25" s="1570">
        <f>H25</f>
        <v>100</v>
      </c>
      <c r="V25" s="1569" t="s">
        <v>8</v>
      </c>
      <c r="W25" s="1570">
        <f>J25</f>
        <v>100</v>
      </c>
      <c r="X25" s="1571"/>
      <c r="Y25" s="3377"/>
      <c r="Z25" s="1150">
        <f>Q25</f>
        <v>111</v>
      </c>
      <c r="AA25" s="1577">
        <f>D25/F25</f>
        <v>1</v>
      </c>
      <c r="AB25" s="1577">
        <f>D25/H25</f>
        <v>1</v>
      </c>
      <c r="AC25" s="1577">
        <f>D25/J25</f>
        <v>1</v>
      </c>
    </row>
    <row r="26" spans="1:29" ht="15">
      <c r="A26" s="2906"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7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79"/>
      <c r="Q27" s="1606" t="str">
        <f t="shared" si="11"/>
        <v>项目停车位配比</v>
      </c>
      <c r="R27" s="1578" t="s">
        <v>8</v>
      </c>
      <c r="S27" s="1579">
        <f t="shared" si="12"/>
        <v>100</v>
      </c>
      <c r="T27" s="1578" t="s">
        <v>8</v>
      </c>
      <c r="U27" s="1579">
        <f t="shared" si="13"/>
        <v>100</v>
      </c>
      <c r="V27" s="1578" t="s">
        <v>8</v>
      </c>
      <c r="W27" s="1579">
        <f t="shared" si="14"/>
        <v>100</v>
      </c>
      <c r="X27" s="1580"/>
      <c r="Y27" s="337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79"/>
      <c r="Q28" s="1573" t="str">
        <f t="shared" si="11"/>
        <v>公共部分装修</v>
      </c>
      <c r="R28" s="1574" t="s">
        <v>8</v>
      </c>
      <c r="S28" s="1575">
        <f t="shared" si="12"/>
        <v>100</v>
      </c>
      <c r="T28" s="1574" t="s">
        <v>8</v>
      </c>
      <c r="U28" s="1575">
        <f t="shared" si="13"/>
        <v>100</v>
      </c>
      <c r="V28" s="1574" t="s">
        <v>8</v>
      </c>
      <c r="W28" s="1575">
        <f t="shared" si="14"/>
        <v>100</v>
      </c>
      <c r="X28" s="1568"/>
      <c r="Y28" s="337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79"/>
      <c r="Q29" s="1573" t="str">
        <f t="shared" si="11"/>
        <v>成新率</v>
      </c>
      <c r="R29" s="1574" t="s">
        <v>8</v>
      </c>
      <c r="S29" s="1575" t="e">
        <f t="shared" si="12"/>
        <v>#N/A</v>
      </c>
      <c r="T29" s="1574" t="s">
        <v>8</v>
      </c>
      <c r="U29" s="1575" t="e">
        <f t="shared" si="13"/>
        <v>#N/A</v>
      </c>
      <c r="V29" s="1574" t="s">
        <v>8</v>
      </c>
      <c r="W29" s="1575" t="e">
        <f t="shared" si="14"/>
        <v>#N/A</v>
      </c>
      <c r="X29" s="1568"/>
      <c r="Y29" s="337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79"/>
      <c r="Q30" s="1573" t="str">
        <f t="shared" si="11"/>
        <v>物业等级</v>
      </c>
      <c r="R30" s="1574" t="s">
        <v>8</v>
      </c>
      <c r="S30" s="1575">
        <f t="shared" si="12"/>
        <v>100</v>
      </c>
      <c r="T30" s="1574" t="s">
        <v>8</v>
      </c>
      <c r="U30" s="1575">
        <f t="shared" si="13"/>
        <v>100</v>
      </c>
      <c r="V30" s="1574" t="s">
        <v>8</v>
      </c>
      <c r="W30" s="1575">
        <f t="shared" si="14"/>
        <v>100</v>
      </c>
      <c r="X30" s="1568"/>
      <c r="Y30" s="337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79"/>
      <c r="Q31" s="1151" t="str">
        <f t="shared" si="11"/>
        <v>停车位面积</v>
      </c>
      <c r="R31" s="1569" t="s">
        <v>8</v>
      </c>
      <c r="S31" s="1570" t="e">
        <f t="shared" si="12"/>
        <v>#N/A</v>
      </c>
      <c r="T31" s="1569" t="s">
        <v>8</v>
      </c>
      <c r="U31" s="1570" t="e">
        <f t="shared" si="13"/>
        <v>#N/A</v>
      </c>
      <c r="V31" s="1569" t="s">
        <v>8</v>
      </c>
      <c r="W31" s="1570" t="e">
        <f t="shared" si="14"/>
        <v>#N/A</v>
      </c>
      <c r="X31" s="1571"/>
      <c r="Y31" s="337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79" t="s">
        <v>550</v>
      </c>
      <c r="Q32" s="1573" t="str">
        <f t="shared" si="11"/>
        <v>车位类型</v>
      </c>
      <c r="R32" s="1574" t="s">
        <v>8</v>
      </c>
      <c r="S32" s="1575">
        <f t="shared" si="12"/>
        <v>100</v>
      </c>
      <c r="T32" s="1574" t="s">
        <v>8</v>
      </c>
      <c r="U32" s="1575">
        <f t="shared" si="13"/>
        <v>100</v>
      </c>
      <c r="V32" s="1574" t="s">
        <v>8</v>
      </c>
      <c r="W32" s="1575">
        <f t="shared" si="14"/>
        <v>100</v>
      </c>
      <c r="X32" s="1568"/>
      <c r="Y32" s="337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79"/>
      <c r="Q33" s="1573" t="str">
        <f t="shared" si="11"/>
        <v>是否直接入户</v>
      </c>
      <c r="R33" s="1574" t="s">
        <v>8</v>
      </c>
      <c r="S33" s="1575">
        <f t="shared" si="12"/>
        <v>100</v>
      </c>
      <c r="T33" s="1574" t="s">
        <v>8</v>
      </c>
      <c r="U33" s="1575">
        <f t="shared" si="13"/>
        <v>100</v>
      </c>
      <c r="V33" s="1574" t="s">
        <v>8</v>
      </c>
      <c r="W33" s="1575">
        <f t="shared" si="14"/>
        <v>100</v>
      </c>
      <c r="X33" s="1568"/>
      <c r="Y33" s="337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79"/>
      <c r="Q34" s="1573">
        <f t="shared" si="11"/>
        <v>111</v>
      </c>
      <c r="R34" s="1574" t="s">
        <v>8</v>
      </c>
      <c r="S34" s="1575">
        <f t="shared" si="12"/>
        <v>100</v>
      </c>
      <c r="T34" s="1574" t="s">
        <v>8</v>
      </c>
      <c r="U34" s="1575">
        <f t="shared" si="13"/>
        <v>100</v>
      </c>
      <c r="V34" s="1574" t="s">
        <v>8</v>
      </c>
      <c r="W34" s="1575">
        <f t="shared" si="14"/>
        <v>100</v>
      </c>
      <c r="X34" s="1568"/>
      <c r="Y34" s="337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79"/>
      <c r="Q35" s="1606">
        <f t="shared" si="11"/>
        <v>111</v>
      </c>
      <c r="R35" s="1578" t="s">
        <v>8</v>
      </c>
      <c r="S35" s="1579">
        <f t="shared" si="12"/>
        <v>100</v>
      </c>
      <c r="T35" s="1578" t="s">
        <v>8</v>
      </c>
      <c r="U35" s="1579">
        <f t="shared" si="13"/>
        <v>100</v>
      </c>
      <c r="V35" s="1578" t="s">
        <v>8</v>
      </c>
      <c r="W35" s="1579">
        <f t="shared" si="14"/>
        <v>100</v>
      </c>
      <c r="X35" s="1580"/>
      <c r="Y35" s="337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79"/>
      <c r="Q36" s="1573">
        <f t="shared" si="11"/>
        <v>111</v>
      </c>
      <c r="R36" s="1574" t="s">
        <v>8</v>
      </c>
      <c r="S36" s="1575">
        <f t="shared" si="12"/>
        <v>100</v>
      </c>
      <c r="T36" s="1574" t="s">
        <v>8</v>
      </c>
      <c r="U36" s="1575">
        <f t="shared" si="13"/>
        <v>100</v>
      </c>
      <c r="V36" s="1574" t="s">
        <v>8</v>
      </c>
      <c r="W36" s="1575">
        <f t="shared" si="14"/>
        <v>100</v>
      </c>
      <c r="X36" s="1568"/>
      <c r="Y36" s="3379"/>
      <c r="Z36" s="1576">
        <f t="shared" si="15"/>
        <v>111</v>
      </c>
      <c r="AA36" s="1577">
        <f t="shared" si="3"/>
        <v>1</v>
      </c>
      <c r="AB36" s="1577">
        <f t="shared" si="4"/>
        <v>1</v>
      </c>
      <c r="AC36" s="1577">
        <f t="shared" si="5"/>
        <v>1</v>
      </c>
    </row>
    <row r="37" spans="1:29" ht="15">
      <c r="A37" s="1848" t="s">
        <v>2079</v>
      </c>
      <c r="B37" s="1849" t="s">
        <v>2080</v>
      </c>
      <c r="C37" s="2626" t="s">
        <v>1</v>
      </c>
      <c r="D37" s="2627"/>
      <c r="E37" s="2628"/>
      <c r="F37" s="2629"/>
      <c r="G37" s="2630"/>
      <c r="H37" s="2631"/>
      <c r="I37" s="2628"/>
      <c r="J37" s="2631"/>
      <c r="K37" s="1612"/>
      <c r="L37" s="2144"/>
      <c r="M37" s="2145"/>
      <c r="N37" s="2134"/>
      <c r="O37" s="2145"/>
      <c r="P37" s="3374" t="str">
        <f>A37</f>
        <v>成交单价</v>
      </c>
      <c r="Q37" s="3374"/>
      <c r="R37" s="3474">
        <f>E37</f>
        <v>0</v>
      </c>
      <c r="S37" s="3474"/>
      <c r="T37" s="3474">
        <f>G37</f>
        <v>0</v>
      </c>
      <c r="U37" s="3474"/>
      <c r="V37" s="3474">
        <f>I37</f>
        <v>0</v>
      </c>
      <c r="W37" s="3474"/>
      <c r="X37" s="1560"/>
      <c r="Y37" s="1582"/>
      <c r="Z37" s="1560"/>
      <c r="AA37" s="1560"/>
      <c r="AB37" s="1560"/>
      <c r="AC37" s="1560"/>
    </row>
    <row r="38" spans="1:29" ht="15.75" thickBot="1">
      <c r="A38" s="615" t="s">
        <v>2762</v>
      </c>
      <c r="B38" s="888"/>
      <c r="C38" s="2632" t="e">
        <f>R39</f>
        <v>#DIV/0!</v>
      </c>
      <c r="D38" s="2633"/>
      <c r="E38" s="2634" t="e">
        <f>R38</f>
        <v>#DIV/0!</v>
      </c>
      <c r="F38" s="2634"/>
      <c r="G38" s="2632" t="e">
        <f>T38</f>
        <v>#DIV/0!</v>
      </c>
      <c r="H38" s="2633"/>
      <c r="I38" s="2634" t="e">
        <f>V38</f>
        <v>#DIV/0!</v>
      </c>
      <c r="J38" s="2633"/>
      <c r="K38" s="1613"/>
      <c r="L38" s="2144"/>
      <c r="M38" s="2145"/>
      <c r="N38" s="2145"/>
      <c r="O38" s="2145"/>
      <c r="P38" s="3374" t="str">
        <f>A38</f>
        <v>比较价格（元/平方米）</v>
      </c>
      <c r="Q38" s="3374"/>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0"/>
      <c r="Y38" s="1560"/>
      <c r="Z38" s="1560"/>
      <c r="AA38" s="1560"/>
      <c r="AB38" s="1560"/>
      <c r="AC38" s="1560"/>
    </row>
    <row r="39" spans="1:29" ht="15.75" thickBot="1">
      <c r="A39" s="621" t="s">
        <v>2934</v>
      </c>
      <c r="B39" s="622"/>
      <c r="C39" s="2635" t="e">
        <f>R39</f>
        <v>#DIV/0!</v>
      </c>
      <c r="D39" s="2635"/>
      <c r="E39" s="2635"/>
      <c r="F39" s="2635"/>
      <c r="G39" s="2635"/>
      <c r="H39" s="2635"/>
      <c r="I39" s="2635"/>
      <c r="J39" s="2635"/>
      <c r="K39" s="1614"/>
      <c r="L39" s="2144"/>
      <c r="M39" s="2145"/>
      <c r="N39" s="2145"/>
      <c r="O39" s="2145"/>
      <c r="P39" s="3395" t="str">
        <f>A39</f>
        <v>估价对象XX用房的比较价格（楼面单价，元/平方米）</v>
      </c>
      <c r="Q39" s="3396"/>
      <c r="R39" s="3473" t="e">
        <f>IF(F1="售价",ROUND(AVERAGE(R38:V38),0),ROUND(AVERAGE(R38:V38),1))</f>
        <v>#DIV/0!</v>
      </c>
      <c r="S39" s="3473"/>
      <c r="T39" s="3473"/>
      <c r="U39" s="3473"/>
      <c r="V39" s="3473"/>
      <c r="W39" s="347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6" t="s">
        <v>2560</v>
      </c>
      <c r="C67" s="2597" t="s">
        <v>2561</v>
      </c>
      <c r="D67" s="2597" t="s">
        <v>2562</v>
      </c>
      <c r="E67" s="2597" t="s">
        <v>2563</v>
      </c>
      <c r="F67" s="2597" t="s">
        <v>2564</v>
      </c>
      <c r="G67" s="2597" t="s">
        <v>2565</v>
      </c>
      <c r="H67" s="674"/>
      <c r="I67" s="674"/>
      <c r="J67" s="674"/>
      <c r="K67" s="674"/>
      <c r="L67" s="674"/>
      <c r="M67" s="260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0" t="s">
        <v>798</v>
      </c>
      <c r="D4" s="3381"/>
      <c r="E4" s="3404" t="s">
        <v>799</v>
      </c>
      <c r="F4" s="3405"/>
      <c r="G4" s="3380" t="s">
        <v>800</v>
      </c>
      <c r="H4" s="3381"/>
      <c r="I4" s="3380" t="s">
        <v>801</v>
      </c>
      <c r="J4" s="3381"/>
      <c r="K4" s="514" t="s">
        <v>802</v>
      </c>
      <c r="L4" s="2133"/>
      <c r="M4" s="2134"/>
      <c r="N4" s="2134"/>
      <c r="O4" s="2134"/>
      <c r="P4" s="3382" t="s">
        <v>803</v>
      </c>
      <c r="Q4" s="3383"/>
      <c r="R4" s="3368" t="s">
        <v>799</v>
      </c>
      <c r="S4" s="3369"/>
      <c r="T4" s="3368" t="s">
        <v>800</v>
      </c>
      <c r="U4" s="3369"/>
      <c r="V4" s="3388" t="s">
        <v>801</v>
      </c>
      <c r="W4" s="3388"/>
      <c r="X4" s="1568"/>
      <c r="Y4" s="3368" t="s">
        <v>803</v>
      </c>
      <c r="Z4" s="3369"/>
      <c r="AA4" s="3363" t="s">
        <v>799</v>
      </c>
      <c r="AB4" s="3364" t="s">
        <v>800</v>
      </c>
      <c r="AC4" s="3363" t="s">
        <v>801</v>
      </c>
    </row>
    <row r="5" spans="1:29" ht="15">
      <c r="A5" s="515"/>
      <c r="B5" s="516"/>
      <c r="C5" s="3391" t="s">
        <v>2928</v>
      </c>
      <c r="D5" s="3392"/>
      <c r="E5" s="3406" t="s">
        <v>2929</v>
      </c>
      <c r="F5" s="3407"/>
      <c r="G5" s="3391" t="s">
        <v>2930</v>
      </c>
      <c r="H5" s="3392"/>
      <c r="I5" s="3391" t="s">
        <v>2931</v>
      </c>
      <c r="J5" s="3392"/>
      <c r="K5" s="514"/>
      <c r="L5" s="2133"/>
      <c r="M5" s="2134"/>
      <c r="N5" s="2134"/>
      <c r="O5" s="2134"/>
      <c r="P5" s="3384"/>
      <c r="Q5" s="3385"/>
      <c r="R5" s="3370"/>
      <c r="S5" s="3371"/>
      <c r="T5" s="3370"/>
      <c r="U5" s="3371"/>
      <c r="V5" s="3388"/>
      <c r="W5" s="3388"/>
      <c r="X5" s="1568"/>
      <c r="Y5" s="3370"/>
      <c r="Z5" s="3371"/>
      <c r="AA5" s="3364"/>
      <c r="AB5" s="3364"/>
      <c r="AC5" s="3364"/>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6"/>
      <c r="Q6" s="3387"/>
      <c r="R6" s="3370"/>
      <c r="S6" s="3371"/>
      <c r="T6" s="3372"/>
      <c r="U6" s="3373"/>
      <c r="V6" s="3388"/>
      <c r="W6" s="3388"/>
      <c r="X6" s="1568"/>
      <c r="Y6" s="3372"/>
      <c r="Z6" s="3373"/>
      <c r="AA6" s="3365"/>
      <c r="AB6" s="3365"/>
      <c r="AC6" s="3365"/>
    </row>
    <row r="7" spans="1:29" s="1220" customFormat="1" ht="15.75" thickBot="1">
      <c r="A7" s="2911"/>
      <c r="B7" s="2918" t="s">
        <v>529</v>
      </c>
      <c r="C7" s="519">
        <f>'数据-取费表'!B2</f>
        <v>43417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66" t="s">
        <v>530</v>
      </c>
      <c r="Q7" s="3375"/>
      <c r="R7" s="1569" t="s">
        <v>8</v>
      </c>
      <c r="S7" s="1570">
        <f t="shared" ref="S7:S14" si="0">F7</f>
        <v>0</v>
      </c>
      <c r="T7" s="1569" t="s">
        <v>8</v>
      </c>
      <c r="U7" s="1570">
        <f t="shared" ref="U7:U14" si="1">H7</f>
        <v>0</v>
      </c>
      <c r="V7" s="1569" t="s">
        <v>8</v>
      </c>
      <c r="W7" s="1570">
        <f t="shared" ref="W7:W14" si="2">J7</f>
        <v>0</v>
      </c>
      <c r="X7" s="1571"/>
      <c r="Y7" s="3366" t="s">
        <v>530</v>
      </c>
      <c r="Z7" s="3367"/>
      <c r="AA7" s="1572" t="e">
        <f>D7/F7</f>
        <v>#DIV/0!</v>
      </c>
      <c r="AB7" s="1572" t="e">
        <f>D7/H7</f>
        <v>#DIV/0!</v>
      </c>
      <c r="AC7" s="1572"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66" t="s">
        <v>533</v>
      </c>
      <c r="Q8" s="3367"/>
      <c r="R8" s="1569" t="s">
        <v>8</v>
      </c>
      <c r="S8" s="1570">
        <f t="shared" si="0"/>
        <v>0</v>
      </c>
      <c r="T8" s="1569" t="s">
        <v>8</v>
      </c>
      <c r="U8" s="1570">
        <f t="shared" si="1"/>
        <v>0</v>
      </c>
      <c r="V8" s="1569" t="s">
        <v>8</v>
      </c>
      <c r="W8" s="1570">
        <f t="shared" si="2"/>
        <v>0</v>
      </c>
      <c r="X8" s="1571"/>
      <c r="Y8" s="3366" t="s">
        <v>533</v>
      </c>
      <c r="Z8" s="3367"/>
      <c r="AA8" s="1572" t="e">
        <f t="shared" ref="AA8:AA34" si="3">D8/F8</f>
        <v>#DIV/0!</v>
      </c>
      <c r="AB8" s="1572" t="e">
        <f t="shared" ref="AB8:AB34" si="4">D8/H8</f>
        <v>#DIV/0!</v>
      </c>
      <c r="AC8" s="1572" t="e">
        <f t="shared" ref="AC8:AC34" si="5">D8/J8</f>
        <v>#DIV/0!</v>
      </c>
    </row>
    <row r="9" spans="1:29" s="1220"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4" t="s">
        <v>535</v>
      </c>
      <c r="Q9" s="1151" t="str">
        <f t="shared" ref="Q9:Q14" si="6">B9</f>
        <v>用途</v>
      </c>
      <c r="R9" s="1569" t="s">
        <v>8</v>
      </c>
      <c r="S9" s="1570">
        <f t="shared" si="0"/>
        <v>100</v>
      </c>
      <c r="T9" s="1569" t="s">
        <v>8</v>
      </c>
      <c r="U9" s="1570">
        <f t="shared" si="1"/>
        <v>100</v>
      </c>
      <c r="V9" s="1569" t="s">
        <v>8</v>
      </c>
      <c r="W9" s="1570">
        <f t="shared" si="2"/>
        <v>100</v>
      </c>
      <c r="X9" s="1571"/>
      <c r="Y9" s="3331"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4"/>
      <c r="Q10" s="1151" t="str">
        <f t="shared" si="6"/>
        <v>土地使用年限（年）</v>
      </c>
      <c r="R10" s="1569" t="s">
        <v>8</v>
      </c>
      <c r="S10" s="1570">
        <f t="shared" si="0"/>
        <v>100</v>
      </c>
      <c r="T10" s="1569" t="s">
        <v>8</v>
      </c>
      <c r="U10" s="1570">
        <f t="shared" si="1"/>
        <v>100</v>
      </c>
      <c r="V10" s="1569" t="s">
        <v>8</v>
      </c>
      <c r="W10" s="1570">
        <f t="shared" si="2"/>
        <v>100</v>
      </c>
      <c r="X10" s="1571"/>
      <c r="Y10" s="3331"/>
      <c r="Z10" s="1150" t="str">
        <f t="shared" si="7"/>
        <v>土地使用年限（年）</v>
      </c>
      <c r="AA10" s="1572">
        <f t="shared" si="3"/>
        <v>1</v>
      </c>
      <c r="AB10" s="1572">
        <f t="shared" si="4"/>
        <v>1</v>
      </c>
      <c r="AC10" s="1572">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4"/>
      <c r="Q11" s="1151">
        <f t="shared" si="6"/>
        <v>111</v>
      </c>
      <c r="R11" s="1569" t="s">
        <v>8</v>
      </c>
      <c r="S11" s="1570">
        <f t="shared" si="0"/>
        <v>100</v>
      </c>
      <c r="T11" s="1569" t="s">
        <v>8</v>
      </c>
      <c r="U11" s="1570">
        <f t="shared" si="1"/>
        <v>100</v>
      </c>
      <c r="V11" s="1569" t="s">
        <v>8</v>
      </c>
      <c r="W11" s="1570">
        <f t="shared" si="2"/>
        <v>100</v>
      </c>
      <c r="X11" s="1571"/>
      <c r="Y11" s="3331"/>
      <c r="Z11" s="1150">
        <f t="shared" si="7"/>
        <v>111</v>
      </c>
      <c r="AA11" s="1572">
        <f t="shared" si="3"/>
        <v>1</v>
      </c>
      <c r="AB11" s="1572">
        <f t="shared" si="4"/>
        <v>1</v>
      </c>
      <c r="AC11" s="1572">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4"/>
      <c r="Q12" s="1151">
        <f t="shared" si="6"/>
        <v>111</v>
      </c>
      <c r="R12" s="1569" t="s">
        <v>8</v>
      </c>
      <c r="S12" s="1570">
        <f t="shared" si="0"/>
        <v>100</v>
      </c>
      <c r="T12" s="1569" t="s">
        <v>8</v>
      </c>
      <c r="U12" s="1570">
        <f t="shared" si="1"/>
        <v>100</v>
      </c>
      <c r="V12" s="1569" t="s">
        <v>8</v>
      </c>
      <c r="W12" s="1570">
        <f t="shared" si="2"/>
        <v>100</v>
      </c>
      <c r="X12" s="1571"/>
      <c r="Y12" s="3331"/>
      <c r="Z12" s="1150">
        <f t="shared" si="7"/>
        <v>111</v>
      </c>
      <c r="AA12" s="1572">
        <f>D12/F12</f>
        <v>1</v>
      </c>
      <c r="AB12" s="1572">
        <f>D12/H12</f>
        <v>1</v>
      </c>
      <c r="AC12" s="1572">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4"/>
      <c r="Q13" s="1151">
        <f t="shared" si="6"/>
        <v>111</v>
      </c>
      <c r="R13" s="1569" t="s">
        <v>8</v>
      </c>
      <c r="S13" s="1570">
        <f t="shared" si="0"/>
        <v>100</v>
      </c>
      <c r="T13" s="1569" t="s">
        <v>8</v>
      </c>
      <c r="U13" s="1570">
        <f t="shared" si="1"/>
        <v>100</v>
      </c>
      <c r="V13" s="1569" t="s">
        <v>8</v>
      </c>
      <c r="W13" s="1570">
        <f t="shared" si="2"/>
        <v>100</v>
      </c>
      <c r="X13" s="1571"/>
      <c r="Y13" s="3331"/>
      <c r="Z13" s="1150">
        <f t="shared" si="7"/>
        <v>111</v>
      </c>
      <c r="AA13" s="1572">
        <f t="shared" si="3"/>
        <v>1</v>
      </c>
      <c r="AB13" s="1572">
        <f t="shared" si="4"/>
        <v>1</v>
      </c>
      <c r="AC13" s="1572">
        <f t="shared" si="5"/>
        <v>1</v>
      </c>
    </row>
    <row r="14" spans="1:29" ht="85.5">
      <c r="A14" s="2909"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76" t="s">
        <v>540</v>
      </c>
      <c r="Q14" s="1573" t="str">
        <f t="shared" si="6"/>
        <v>交通便捷度</v>
      </c>
      <c r="R14" s="1574" t="s">
        <v>8</v>
      </c>
      <c r="S14" s="1575">
        <f t="shared" si="0"/>
        <v>100</v>
      </c>
      <c r="T14" s="1574" t="s">
        <v>8</v>
      </c>
      <c r="U14" s="1575">
        <f t="shared" si="1"/>
        <v>100</v>
      </c>
      <c r="V14" s="1574" t="s">
        <v>8</v>
      </c>
      <c r="W14" s="1575">
        <f t="shared" si="2"/>
        <v>100</v>
      </c>
      <c r="X14" s="1568"/>
      <c r="Y14" s="337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77"/>
      <c r="Q15" s="1573"/>
      <c r="R15" s="1574"/>
      <c r="S15" s="1575"/>
      <c r="T15" s="1574"/>
      <c r="U15" s="1575"/>
      <c r="V15" s="1574"/>
      <c r="W15" s="1575"/>
      <c r="X15" s="1568"/>
      <c r="Y15" s="3377"/>
      <c r="Z15" s="1576"/>
      <c r="AA15" s="1577">
        <v>1</v>
      </c>
      <c r="AB15" s="1577">
        <v>1</v>
      </c>
      <c r="AC15" s="1577">
        <v>1</v>
      </c>
    </row>
    <row r="16" spans="1:29" ht="42.75">
      <c r="A16" s="532"/>
      <c r="B16" s="2602"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77"/>
      <c r="Q16" s="1573" t="str">
        <f>B16</f>
        <v>公共配套设施</v>
      </c>
      <c r="R16" s="1574" t="s">
        <v>8</v>
      </c>
      <c r="S16" s="1575">
        <f>F16</f>
        <v>100</v>
      </c>
      <c r="T16" s="1574" t="s">
        <v>8</v>
      </c>
      <c r="U16" s="1575">
        <f>H16</f>
        <v>100</v>
      </c>
      <c r="V16" s="1574" t="s">
        <v>8</v>
      </c>
      <c r="W16" s="1575">
        <f>J16</f>
        <v>100</v>
      </c>
      <c r="X16" s="1568"/>
      <c r="Y16" s="337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77"/>
      <c r="Q17" s="1573"/>
      <c r="R17" s="1574"/>
      <c r="S17" s="1575"/>
      <c r="T17" s="1574"/>
      <c r="U17" s="1575"/>
      <c r="V17" s="1574"/>
      <c r="W17" s="1575"/>
      <c r="X17" s="1568"/>
      <c r="Y17" s="3377"/>
      <c r="Z17" s="1576"/>
      <c r="AA17" s="1577">
        <v>1</v>
      </c>
      <c r="AB17" s="1577">
        <v>1</v>
      </c>
      <c r="AC17" s="1577">
        <v>1</v>
      </c>
    </row>
    <row r="18" spans="1:29" ht="28.5">
      <c r="A18" s="532"/>
      <c r="B18" s="2590"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77"/>
      <c r="Q18" s="2578" t="str">
        <f>B18</f>
        <v>基础设施水平</v>
      </c>
      <c r="R18" s="1574" t="s">
        <v>8</v>
      </c>
      <c r="S18" s="1575">
        <f>F18</f>
        <v>100</v>
      </c>
      <c r="T18" s="1574" t="s">
        <v>8</v>
      </c>
      <c r="U18" s="1575">
        <f>H18</f>
        <v>100</v>
      </c>
      <c r="V18" s="1574" t="s">
        <v>8</v>
      </c>
      <c r="W18" s="1575">
        <f>J18</f>
        <v>100</v>
      </c>
      <c r="X18" s="2580"/>
      <c r="Y18" s="3377"/>
      <c r="Z18" s="257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1"/>
      <c r="L19" s="2142"/>
      <c r="M19" s="2134"/>
      <c r="N19" s="2134"/>
      <c r="O19" s="2141"/>
      <c r="P19" s="3377"/>
      <c r="Q19" s="2578"/>
      <c r="R19" s="1574"/>
      <c r="S19" s="1575"/>
      <c r="T19" s="1574"/>
      <c r="U19" s="1575"/>
      <c r="V19" s="1574"/>
      <c r="W19" s="1575"/>
      <c r="X19" s="2580"/>
      <c r="Y19" s="3377"/>
      <c r="Z19" s="257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77"/>
      <c r="Q20" s="1573" t="str">
        <f>B20</f>
        <v>自然及人文环境</v>
      </c>
      <c r="R20" s="1574" t="s">
        <v>8</v>
      </c>
      <c r="S20" s="1575">
        <f>F20</f>
        <v>100</v>
      </c>
      <c r="T20" s="1574" t="s">
        <v>8</v>
      </c>
      <c r="U20" s="1575">
        <f>H20</f>
        <v>100</v>
      </c>
      <c r="V20" s="1574" t="s">
        <v>8</v>
      </c>
      <c r="W20" s="1575">
        <f>J20</f>
        <v>100</v>
      </c>
      <c r="X20" s="1568"/>
      <c r="Y20" s="337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77"/>
      <c r="Q21" s="1573"/>
      <c r="R21" s="1574"/>
      <c r="S21" s="1575"/>
      <c r="T21" s="1574"/>
      <c r="U21" s="1575"/>
      <c r="V21" s="1574"/>
      <c r="W21" s="1575"/>
      <c r="X21" s="1568"/>
      <c r="Y21" s="337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7"/>
      <c r="Q22" s="1573" t="str">
        <f>B22</f>
        <v>楼层</v>
      </c>
      <c r="R22" s="1574" t="s">
        <v>8</v>
      </c>
      <c r="S22" s="1575">
        <f>F22</f>
        <v>100</v>
      </c>
      <c r="T22" s="1574" t="s">
        <v>8</v>
      </c>
      <c r="U22" s="1575">
        <f>H22</f>
        <v>100</v>
      </c>
      <c r="V22" s="1574" t="s">
        <v>8</v>
      </c>
      <c r="W22" s="1575">
        <f>J22</f>
        <v>100</v>
      </c>
      <c r="X22" s="1568"/>
      <c r="Y22" s="337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7"/>
      <c r="Q23" s="1573">
        <f>B23</f>
        <v>111</v>
      </c>
      <c r="R23" s="1574" t="s">
        <v>8</v>
      </c>
      <c r="S23" s="1575">
        <f>F23</f>
        <v>100</v>
      </c>
      <c r="T23" s="1574" t="s">
        <v>8</v>
      </c>
      <c r="U23" s="1575">
        <f>H23</f>
        <v>100</v>
      </c>
      <c r="V23" s="1574" t="s">
        <v>8</v>
      </c>
      <c r="W23" s="1575">
        <f>J23</f>
        <v>100</v>
      </c>
      <c r="X23" s="1568"/>
      <c r="Y23" s="337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7"/>
      <c r="Q24" s="1573">
        <f t="shared" ref="Q24:Q34" si="11">B24</f>
        <v>111</v>
      </c>
      <c r="R24" s="1574" t="s">
        <v>8</v>
      </c>
      <c r="S24" s="1575">
        <f>F24</f>
        <v>100</v>
      </c>
      <c r="T24" s="1574" t="s">
        <v>8</v>
      </c>
      <c r="U24" s="1575">
        <f>H24</f>
        <v>100</v>
      </c>
      <c r="V24" s="1574" t="s">
        <v>8</v>
      </c>
      <c r="W24" s="1575">
        <f>J24</f>
        <v>100</v>
      </c>
      <c r="X24" s="1568"/>
      <c r="Y24" s="337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77"/>
      <c r="Q25" s="1151">
        <f t="shared" si="11"/>
        <v>111</v>
      </c>
      <c r="R25" s="1569" t="s">
        <v>8</v>
      </c>
      <c r="S25" s="1570">
        <f>F25</f>
        <v>100</v>
      </c>
      <c r="T25" s="1569" t="s">
        <v>8</v>
      </c>
      <c r="U25" s="1570">
        <f>H25</f>
        <v>100</v>
      </c>
      <c r="V25" s="1569" t="s">
        <v>8</v>
      </c>
      <c r="W25" s="1570">
        <f>J25</f>
        <v>100</v>
      </c>
      <c r="X25" s="1571"/>
      <c r="Y25" s="3377"/>
      <c r="Z25" s="1150">
        <f>Q25</f>
        <v>111</v>
      </c>
      <c r="AA25" s="1577">
        <f>D25/F25</f>
        <v>1</v>
      </c>
      <c r="AB25" s="1577">
        <f>D25/H25</f>
        <v>1</v>
      </c>
      <c r="AC25" s="1577">
        <f>D25/J25</f>
        <v>1</v>
      </c>
    </row>
    <row r="26" spans="1:29" ht="15">
      <c r="A26" s="2906"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7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79"/>
      <c r="Q27" s="1606" t="str">
        <f t="shared" si="11"/>
        <v>成新率</v>
      </c>
      <c r="R27" s="1578" t="s">
        <v>8</v>
      </c>
      <c r="S27" s="1579" t="e">
        <f t="shared" si="12"/>
        <v>#N/A</v>
      </c>
      <c r="T27" s="1578" t="s">
        <v>8</v>
      </c>
      <c r="U27" s="1579" t="e">
        <f t="shared" si="13"/>
        <v>#N/A</v>
      </c>
      <c r="V27" s="1578" t="s">
        <v>8</v>
      </c>
      <c r="W27" s="1579" t="e">
        <f t="shared" si="14"/>
        <v>#N/A</v>
      </c>
      <c r="X27" s="1580"/>
      <c r="Y27" s="337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79"/>
      <c r="Q28" s="1573" t="str">
        <f t="shared" si="11"/>
        <v>物业等级</v>
      </c>
      <c r="R28" s="1574" t="s">
        <v>8</v>
      </c>
      <c r="S28" s="1575">
        <f t="shared" si="12"/>
        <v>100</v>
      </c>
      <c r="T28" s="1574" t="s">
        <v>8</v>
      </c>
      <c r="U28" s="1575">
        <f t="shared" si="13"/>
        <v>100</v>
      </c>
      <c r="V28" s="1574" t="s">
        <v>8</v>
      </c>
      <c r="W28" s="1575">
        <f t="shared" si="14"/>
        <v>100</v>
      </c>
      <c r="X28" s="1568"/>
      <c r="Y28" s="337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79"/>
      <c r="Q29" s="1573" t="str">
        <f t="shared" si="11"/>
        <v>有无电梯</v>
      </c>
      <c r="R29" s="1574" t="s">
        <v>8</v>
      </c>
      <c r="S29" s="1575">
        <f t="shared" si="12"/>
        <v>100</v>
      </c>
      <c r="T29" s="1574" t="s">
        <v>8</v>
      </c>
      <c r="U29" s="1575">
        <f t="shared" si="13"/>
        <v>100</v>
      </c>
      <c r="V29" s="1574" t="s">
        <v>8</v>
      </c>
      <c r="W29" s="1575">
        <f t="shared" si="14"/>
        <v>100</v>
      </c>
      <c r="X29" s="1568"/>
      <c r="Y29" s="337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79"/>
      <c r="Q30" s="1573" t="str">
        <f t="shared" si="11"/>
        <v>建筑面积</v>
      </c>
      <c r="R30" s="1574" t="s">
        <v>8</v>
      </c>
      <c r="S30" s="1575" t="e">
        <f t="shared" si="12"/>
        <v>#N/A</v>
      </c>
      <c r="T30" s="1574" t="s">
        <v>8</v>
      </c>
      <c r="U30" s="1575" t="e">
        <f t="shared" si="13"/>
        <v>#N/A</v>
      </c>
      <c r="V30" s="1574" t="s">
        <v>8</v>
      </c>
      <c r="W30" s="1575" t="e">
        <f t="shared" si="14"/>
        <v>#N/A</v>
      </c>
      <c r="X30" s="1568"/>
      <c r="Y30" s="337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79"/>
      <c r="Q31" s="1151" t="str">
        <f t="shared" si="11"/>
        <v>是否封闭</v>
      </c>
      <c r="R31" s="1569" t="s">
        <v>8</v>
      </c>
      <c r="S31" s="1570">
        <f t="shared" si="12"/>
        <v>100</v>
      </c>
      <c r="T31" s="1569" t="s">
        <v>8</v>
      </c>
      <c r="U31" s="1570">
        <f t="shared" si="13"/>
        <v>100</v>
      </c>
      <c r="V31" s="1569" t="s">
        <v>8</v>
      </c>
      <c r="W31" s="1570">
        <f t="shared" si="14"/>
        <v>100</v>
      </c>
      <c r="X31" s="1571"/>
      <c r="Y31" s="337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79" t="s">
        <v>550</v>
      </c>
      <c r="Q32" s="1573">
        <f t="shared" si="11"/>
        <v>111</v>
      </c>
      <c r="R32" s="1574" t="s">
        <v>8</v>
      </c>
      <c r="S32" s="1575">
        <f t="shared" si="12"/>
        <v>100</v>
      </c>
      <c r="T32" s="1574" t="s">
        <v>8</v>
      </c>
      <c r="U32" s="1575">
        <f t="shared" si="13"/>
        <v>100</v>
      </c>
      <c r="V32" s="1574" t="s">
        <v>8</v>
      </c>
      <c r="W32" s="1575">
        <f t="shared" si="14"/>
        <v>100</v>
      </c>
      <c r="X32" s="1568"/>
      <c r="Y32" s="337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79"/>
      <c r="Q33" s="1573">
        <f t="shared" si="11"/>
        <v>111</v>
      </c>
      <c r="R33" s="1574" t="s">
        <v>8</v>
      </c>
      <c r="S33" s="1575">
        <f t="shared" si="12"/>
        <v>100</v>
      </c>
      <c r="T33" s="1574" t="s">
        <v>8</v>
      </c>
      <c r="U33" s="1575">
        <f t="shared" si="13"/>
        <v>100</v>
      </c>
      <c r="V33" s="1574" t="s">
        <v>8</v>
      </c>
      <c r="W33" s="1575">
        <f t="shared" si="14"/>
        <v>100</v>
      </c>
      <c r="X33" s="1568"/>
      <c r="Y33" s="337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79"/>
      <c r="Q34" s="1573">
        <f t="shared" si="11"/>
        <v>111</v>
      </c>
      <c r="R34" s="1574" t="s">
        <v>8</v>
      </c>
      <c r="S34" s="1575">
        <f t="shared" si="12"/>
        <v>100</v>
      </c>
      <c r="T34" s="1574" t="s">
        <v>8</v>
      </c>
      <c r="U34" s="1575">
        <f t="shared" si="13"/>
        <v>100</v>
      </c>
      <c r="V34" s="1574" t="s">
        <v>8</v>
      </c>
      <c r="W34" s="1575">
        <f t="shared" si="14"/>
        <v>100</v>
      </c>
      <c r="X34" s="1568"/>
      <c r="Y34" s="3379"/>
      <c r="Z34" s="1576">
        <f t="shared" si="15"/>
        <v>111</v>
      </c>
      <c r="AA34" s="1577">
        <f t="shared" si="3"/>
        <v>1</v>
      </c>
      <c r="AB34" s="1577">
        <f t="shared" si="4"/>
        <v>1</v>
      </c>
      <c r="AC34" s="1577">
        <f t="shared" si="5"/>
        <v>1</v>
      </c>
    </row>
    <row r="35" spans="1:29" ht="15">
      <c r="A35" s="607" t="s">
        <v>736</v>
      </c>
      <c r="B35" s="887"/>
      <c r="C35" s="2626" t="s">
        <v>1</v>
      </c>
      <c r="D35" s="2627"/>
      <c r="E35" s="2628"/>
      <c r="F35" s="2629"/>
      <c r="G35" s="2630"/>
      <c r="H35" s="2631"/>
      <c r="I35" s="2628"/>
      <c r="J35" s="2631"/>
      <c r="K35" s="1612"/>
      <c r="L35" s="2144"/>
      <c r="M35" s="2145"/>
      <c r="N35" s="2134"/>
      <c r="O35" s="2145"/>
      <c r="P35" s="3374" t="str">
        <f>A35</f>
        <v>成交单价（元/平方米）</v>
      </c>
      <c r="Q35" s="3374"/>
      <c r="R35" s="3474">
        <f>E35</f>
        <v>0</v>
      </c>
      <c r="S35" s="3474"/>
      <c r="T35" s="3474">
        <f>G35</f>
        <v>0</v>
      </c>
      <c r="U35" s="3474"/>
      <c r="V35" s="3474">
        <f>I35</f>
        <v>0</v>
      </c>
      <c r="W35" s="3474"/>
      <c r="X35" s="1560"/>
      <c r="Y35" s="1582"/>
      <c r="Z35" s="1560"/>
      <c r="AA35" s="1560"/>
      <c r="AB35" s="1560"/>
      <c r="AC35" s="1560"/>
    </row>
    <row r="36" spans="1:29" ht="15.75" thickBot="1">
      <c r="A36" s="615" t="s">
        <v>2762</v>
      </c>
      <c r="B36" s="888"/>
      <c r="C36" s="2632" t="e">
        <f>R37</f>
        <v>#DIV/0!</v>
      </c>
      <c r="D36" s="2633"/>
      <c r="E36" s="2634" t="e">
        <f>R36</f>
        <v>#DIV/0!</v>
      </c>
      <c r="F36" s="2634"/>
      <c r="G36" s="2632" t="e">
        <f>T36</f>
        <v>#DIV/0!</v>
      </c>
      <c r="H36" s="2633"/>
      <c r="I36" s="2634" t="e">
        <f>V36</f>
        <v>#DIV/0!</v>
      </c>
      <c r="J36" s="2633"/>
      <c r="K36" s="1613"/>
      <c r="L36" s="2144"/>
      <c r="M36" s="2145"/>
      <c r="N36" s="2134"/>
      <c r="O36" s="2145"/>
      <c r="P36" s="3374" t="str">
        <f>A36</f>
        <v>比较价格（元/平方米）</v>
      </c>
      <c r="Q36" s="3374"/>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0"/>
      <c r="Y36" s="1560"/>
      <c r="Z36" s="1560"/>
      <c r="AA36" s="1560"/>
      <c r="AB36" s="1560"/>
      <c r="AC36" s="1560"/>
    </row>
    <row r="37" spans="1:29" ht="15.75" thickBot="1">
      <c r="A37" s="621" t="s">
        <v>2934</v>
      </c>
      <c r="B37" s="622"/>
      <c r="C37" s="2635" t="e">
        <f>R37</f>
        <v>#DIV/0!</v>
      </c>
      <c r="D37" s="2635"/>
      <c r="E37" s="2635"/>
      <c r="F37" s="2635"/>
      <c r="G37" s="2635"/>
      <c r="H37" s="2635"/>
      <c r="I37" s="2635"/>
      <c r="J37" s="2635"/>
      <c r="K37" s="1614"/>
      <c r="L37" s="2144"/>
      <c r="M37" s="2145"/>
      <c r="N37" s="2145"/>
      <c r="O37" s="2145"/>
      <c r="P37" s="3395" t="str">
        <f>A37</f>
        <v>估价对象XX用房的比较价格（楼面单价，元/平方米）</v>
      </c>
      <c r="Q37" s="3396"/>
      <c r="R37" s="3473" t="e">
        <f>IF(F1="售价",ROUND(AVERAGE(R36:V36),0),ROUND(AVERAGE(R36:V36),1))</f>
        <v>#DIV/0!</v>
      </c>
      <c r="S37" s="3473"/>
      <c r="T37" s="3473"/>
      <c r="U37" s="3473"/>
      <c r="V37" s="3473"/>
      <c r="W37" s="347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6" t="s">
        <v>2560</v>
      </c>
      <c r="C65" s="2597" t="s">
        <v>2561</v>
      </c>
      <c r="D65" s="2597" t="s">
        <v>2562</v>
      </c>
      <c r="E65" s="2597" t="s">
        <v>2563</v>
      </c>
      <c r="F65" s="2597" t="s">
        <v>2564</v>
      </c>
      <c r="G65" s="2597" t="s">
        <v>2565</v>
      </c>
      <c r="H65" s="674"/>
      <c r="I65" s="674"/>
      <c r="J65" s="674"/>
      <c r="K65" s="674"/>
      <c r="L65" s="674"/>
      <c r="M65" s="260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5" sqref="S25"/>
    </sheetView>
  </sheetViews>
  <sheetFormatPr defaultRowHeight="12.75"/>
  <cols>
    <col min="1" max="1" width="11.5" style="1250" customWidth="1"/>
    <col min="2" max="2" width="9.25" style="1218" customWidth="1"/>
    <col min="3" max="3" width="7.125" style="1218" customWidth="1"/>
    <col min="4" max="4" width="9" style="1218"/>
    <col min="5" max="5" width="8.625" style="1218" customWidth="1"/>
    <col min="6" max="6" width="9" style="1218"/>
    <col min="7" max="7" width="8" style="1218" customWidth="1"/>
    <col min="8" max="8" width="9" style="1218"/>
    <col min="9" max="9" width="10.125" style="1218" customWidth="1"/>
    <col min="10" max="10" width="9" style="1218"/>
    <col min="11" max="11" width="7.375" style="1218" customWidth="1"/>
    <col min="12" max="12" width="9" style="1218"/>
    <col min="13" max="13" width="8.625" style="1218" customWidth="1"/>
    <col min="14" max="14" width="9" style="1218"/>
    <col min="15" max="15" width="5" style="1218" customWidth="1"/>
    <col min="16" max="16" width="9" style="1218"/>
    <col min="17" max="17" width="5" style="1218" customWidth="1"/>
    <col min="18" max="18" width="9" style="1617"/>
    <col min="19" max="19" width="9" style="1250"/>
    <col min="20" max="20" width="12.125" style="257" bestFit="1" customWidth="1"/>
    <col min="21" max="35" width="9" style="257"/>
    <col min="36" max="16384" width="9" style="1250"/>
  </cols>
  <sheetData>
    <row r="1" spans="1:45" s="257" customFormat="1" ht="14.25" customHeight="1" thickBot="1">
      <c r="A1" s="365"/>
      <c r="B1" s="2234" t="s">
        <v>2305</v>
      </c>
      <c r="C1" s="3483" t="s">
        <v>2306</v>
      </c>
      <c r="D1" s="3484"/>
      <c r="E1" s="3484"/>
      <c r="F1" s="3484"/>
      <c r="G1" s="3484"/>
      <c r="H1" s="3484"/>
      <c r="I1" s="3484"/>
      <c r="J1" s="3484"/>
      <c r="K1" s="3484"/>
      <c r="L1" s="3484"/>
      <c r="M1" s="3484"/>
      <c r="N1" s="3484"/>
      <c r="O1" s="3484"/>
      <c r="P1" s="3484"/>
      <c r="Q1" s="3484"/>
      <c r="R1" s="3484"/>
      <c r="S1" s="348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49" t="s">
        <v>2308</v>
      </c>
      <c r="C2" s="950" t="str">
        <f t="shared" ref="C2:L2" si="0">C3&amp;"(含)"&amp;"-"&amp;D3</f>
        <v>0(含)-50000</v>
      </c>
      <c r="D2" s="951" t="str">
        <f t="shared" si="0"/>
        <v>50000(含)-100000</v>
      </c>
      <c r="E2" s="951" t="str">
        <f t="shared" si="0"/>
        <v>100000(含)-150000</v>
      </c>
      <c r="F2" s="951" t="str">
        <f t="shared" si="0"/>
        <v>150000(含)-200000</v>
      </c>
      <c r="G2" s="951" t="str">
        <f t="shared" si="0"/>
        <v>200000(含)-250000</v>
      </c>
      <c r="H2" s="951" t="str">
        <f t="shared" si="0"/>
        <v>250000(含)-300000</v>
      </c>
      <c r="I2" s="951" t="str">
        <f t="shared" si="0"/>
        <v>300000(含)-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0</v>
      </c>
      <c r="D3" s="955">
        <v>50000</v>
      </c>
      <c r="E3" s="955">
        <v>100000</v>
      </c>
      <c r="F3" s="955">
        <v>150000</v>
      </c>
      <c r="G3" s="955">
        <v>200000</v>
      </c>
      <c r="H3" s="955">
        <v>250000</v>
      </c>
      <c r="I3" s="955">
        <v>300000</v>
      </c>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101</v>
      </c>
      <c r="E4" s="2246">
        <v>102</v>
      </c>
      <c r="F4" s="2246">
        <v>103</v>
      </c>
      <c r="G4" s="2246">
        <v>104</v>
      </c>
      <c r="H4" s="2246">
        <v>105</v>
      </c>
      <c r="I4" s="2246">
        <v>106</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t="24">
      <c r="A5" s="2251"/>
      <c r="B5" s="3186" t="s">
        <v>3102</v>
      </c>
      <c r="C5" s="3188" t="s">
        <v>3105</v>
      </c>
      <c r="D5" s="3189" t="s">
        <v>3106</v>
      </c>
      <c r="E5" s="3189" t="s">
        <v>3107</v>
      </c>
      <c r="F5" s="3189" t="s">
        <v>3108</v>
      </c>
      <c r="G5" s="3189" t="s">
        <v>3109</v>
      </c>
      <c r="H5" s="2252"/>
      <c r="I5" s="2252"/>
      <c r="J5" s="2252"/>
      <c r="K5" s="2252"/>
      <c r="L5" s="2253"/>
      <c r="M5" s="2254"/>
      <c r="N5" s="2254"/>
      <c r="O5" s="2252"/>
      <c r="P5" s="2252"/>
      <c r="Q5" s="2252"/>
      <c r="R5" s="2252"/>
      <c r="S5" s="2255"/>
      <c r="T5" s="2256">
        <v>5</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2" customFormat="1" ht="13.5" thickBot="1">
      <c r="A6" s="2251"/>
      <c r="B6" s="1965"/>
      <c r="C6" s="1968">
        <v>100</v>
      </c>
      <c r="D6" s="1969">
        <f>C6-$T5</f>
        <v>95</v>
      </c>
      <c r="E6" s="1969">
        <f t="shared" ref="E6:S6" si="7">D6-$T5</f>
        <v>90</v>
      </c>
      <c r="F6" s="1969">
        <f t="shared" si="7"/>
        <v>85</v>
      </c>
      <c r="G6" s="1969">
        <f t="shared" si="7"/>
        <v>80</v>
      </c>
      <c r="H6" s="1969">
        <f t="shared" si="7"/>
        <v>75</v>
      </c>
      <c r="I6" s="1969">
        <f t="shared" si="7"/>
        <v>70</v>
      </c>
      <c r="J6" s="1969">
        <f t="shared" si="7"/>
        <v>65</v>
      </c>
      <c r="K6" s="1969">
        <f t="shared" si="7"/>
        <v>60</v>
      </c>
      <c r="L6" s="1969">
        <f t="shared" si="7"/>
        <v>55</v>
      </c>
      <c r="M6" s="1969">
        <f t="shared" si="7"/>
        <v>50</v>
      </c>
      <c r="N6" s="1969">
        <f t="shared" si="7"/>
        <v>45</v>
      </c>
      <c r="O6" s="1969">
        <f t="shared" si="7"/>
        <v>40</v>
      </c>
      <c r="P6" s="1969">
        <f t="shared" si="7"/>
        <v>35</v>
      </c>
      <c r="Q6" s="1969">
        <f t="shared" si="7"/>
        <v>30</v>
      </c>
      <c r="R6" s="1969">
        <f t="shared" si="7"/>
        <v>25</v>
      </c>
      <c r="S6" s="1969">
        <f t="shared" si="7"/>
        <v>20</v>
      </c>
      <c r="T6" s="196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2" customFormat="1" ht="24">
      <c r="A7" s="2251"/>
      <c r="B7" s="3187" t="s">
        <v>3103</v>
      </c>
      <c r="C7" s="3188" t="s">
        <v>3105</v>
      </c>
      <c r="D7" s="3189" t="s">
        <v>3106</v>
      </c>
      <c r="E7" s="3189" t="s">
        <v>3107</v>
      </c>
      <c r="F7" s="3189" t="s">
        <v>3108</v>
      </c>
      <c r="G7" s="3189" t="s">
        <v>3109</v>
      </c>
      <c r="H7" s="1963"/>
      <c r="I7" s="1963"/>
      <c r="J7" s="1963"/>
      <c r="K7" s="1963"/>
      <c r="L7" s="1963"/>
      <c r="M7" s="2258"/>
      <c r="N7" s="2259"/>
      <c r="O7" s="2260"/>
      <c r="P7" s="2261"/>
      <c r="Q7" s="2262"/>
      <c r="R7" s="2263"/>
      <c r="S7" s="2264"/>
      <c r="T7" s="959">
        <v>3</v>
      </c>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2" customFormat="1" ht="24">
      <c r="A9" s="2251"/>
      <c r="B9" s="3187" t="s">
        <v>3104</v>
      </c>
      <c r="C9" s="3188" t="s">
        <v>3105</v>
      </c>
      <c r="D9" s="3189" t="s">
        <v>3106</v>
      </c>
      <c r="E9" s="3189" t="s">
        <v>3107</v>
      </c>
      <c r="F9" s="3189" t="s">
        <v>3108</v>
      </c>
      <c r="G9" s="3189" t="s">
        <v>3109</v>
      </c>
      <c r="H9" s="1963"/>
      <c r="I9" s="1963"/>
      <c r="J9" s="1963"/>
      <c r="K9" s="1963"/>
      <c r="L9" s="1964"/>
      <c r="M9" s="2258"/>
      <c r="N9" s="2259"/>
      <c r="O9" s="2260"/>
      <c r="P9" s="2261"/>
      <c r="Q9" s="2262"/>
      <c r="R9" s="2263"/>
      <c r="S9" s="2264"/>
      <c r="T9" s="959">
        <v>3</v>
      </c>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2" customFormat="1" ht="13.5" thickBot="1">
      <c r="A10" s="2251"/>
      <c r="B10" s="3089"/>
      <c r="C10" s="2265">
        <v>100</v>
      </c>
      <c r="D10" s="2266">
        <f>C10-$T9</f>
        <v>97</v>
      </c>
      <c r="E10" s="2266">
        <f t="shared" ref="E10:S10" si="9">D10-$T9</f>
        <v>94</v>
      </c>
      <c r="F10" s="2266">
        <f t="shared" si="9"/>
        <v>91</v>
      </c>
      <c r="G10" s="2266">
        <f t="shared" si="9"/>
        <v>88</v>
      </c>
      <c r="H10" s="2266">
        <f t="shared" si="9"/>
        <v>85</v>
      </c>
      <c r="I10" s="2266">
        <f t="shared" si="9"/>
        <v>82</v>
      </c>
      <c r="J10" s="2266">
        <f t="shared" si="9"/>
        <v>79</v>
      </c>
      <c r="K10" s="2266">
        <f t="shared" si="9"/>
        <v>76</v>
      </c>
      <c r="L10" s="2266">
        <f t="shared" si="9"/>
        <v>73</v>
      </c>
      <c r="M10" s="2266">
        <f t="shared" si="9"/>
        <v>70</v>
      </c>
      <c r="N10" s="2266">
        <f t="shared" si="9"/>
        <v>67</v>
      </c>
      <c r="O10" s="2266">
        <f t="shared" si="9"/>
        <v>64</v>
      </c>
      <c r="P10" s="2266">
        <f t="shared" si="9"/>
        <v>61</v>
      </c>
      <c r="Q10" s="2266">
        <f t="shared" si="9"/>
        <v>58</v>
      </c>
      <c r="R10" s="2266">
        <f t="shared" si="9"/>
        <v>55</v>
      </c>
      <c r="S10" s="2266">
        <f t="shared" si="9"/>
        <v>52</v>
      </c>
      <c r="T10" s="2250"/>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2" customFormat="1" ht="24">
      <c r="A11" s="2251"/>
      <c r="B11" s="3186" t="s">
        <v>3127</v>
      </c>
      <c r="C11" s="3188" t="s">
        <v>3129</v>
      </c>
      <c r="D11" s="3189" t="s">
        <v>3132</v>
      </c>
      <c r="E11" s="3189"/>
      <c r="F11" s="3189"/>
      <c r="G11" s="3189"/>
      <c r="H11" s="2252"/>
      <c r="I11" s="2252"/>
      <c r="J11" s="2252"/>
      <c r="K11" s="2252"/>
      <c r="L11" s="2252"/>
      <c r="M11" s="2254"/>
      <c r="N11" s="2267"/>
      <c r="O11" s="2268"/>
      <c r="P11" s="2269"/>
      <c r="Q11" s="2270"/>
      <c r="R11" s="2271"/>
      <c r="S11" s="2272"/>
      <c r="T11" s="3191">
        <f>100-Sheet2!C2</f>
        <v>7.9166666666666572</v>
      </c>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2" customFormat="1" ht="13.5" thickBot="1">
      <c r="A12" s="2251"/>
      <c r="B12" s="1965"/>
      <c r="C12" s="1968">
        <v>100</v>
      </c>
      <c r="D12" s="1969">
        <f>C12-$T11</f>
        <v>92.083333333333343</v>
      </c>
      <c r="E12" s="1969">
        <f t="shared" ref="E12:S12" si="10">D12-$T11</f>
        <v>84.166666666666686</v>
      </c>
      <c r="F12" s="1969">
        <f t="shared" si="10"/>
        <v>76.250000000000028</v>
      </c>
      <c r="G12" s="1969">
        <f t="shared" si="10"/>
        <v>68.333333333333371</v>
      </c>
      <c r="H12" s="1969">
        <f t="shared" si="10"/>
        <v>60.416666666666714</v>
      </c>
      <c r="I12" s="1969">
        <f t="shared" si="10"/>
        <v>52.500000000000057</v>
      </c>
      <c r="J12" s="1969">
        <f t="shared" si="10"/>
        <v>44.5833333333334</v>
      </c>
      <c r="K12" s="1969">
        <f t="shared" si="10"/>
        <v>36.666666666666742</v>
      </c>
      <c r="L12" s="1969">
        <f t="shared" si="10"/>
        <v>28.750000000000085</v>
      </c>
      <c r="M12" s="1969">
        <f t="shared" si="10"/>
        <v>20.833333333333428</v>
      </c>
      <c r="N12" s="1969">
        <f t="shared" si="10"/>
        <v>12.916666666666771</v>
      </c>
      <c r="O12" s="1969">
        <f t="shared" si="10"/>
        <v>5.0000000000001137</v>
      </c>
      <c r="P12" s="1969">
        <f t="shared" si="10"/>
        <v>-2.9166666666665435</v>
      </c>
      <c r="Q12" s="1969">
        <f t="shared" si="10"/>
        <v>-10.833333333333201</v>
      </c>
      <c r="R12" s="1969">
        <f t="shared" si="10"/>
        <v>-18.749999999999858</v>
      </c>
      <c r="S12" s="1969">
        <f t="shared" si="10"/>
        <v>-26.666666666666515</v>
      </c>
      <c r="T12" s="196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2" customFormat="1" ht="14.25">
      <c r="A13" s="2251"/>
      <c r="B13" s="3186" t="s">
        <v>3110</v>
      </c>
      <c r="C13" s="730">
        <v>0</v>
      </c>
      <c r="D13" s="730">
        <v>10000</v>
      </c>
      <c r="E13" s="730">
        <v>20000</v>
      </c>
      <c r="F13" s="730">
        <v>30000</v>
      </c>
      <c r="G13" s="730">
        <v>40000</v>
      </c>
      <c r="H13" s="730">
        <v>50000</v>
      </c>
      <c r="I13" s="730">
        <v>60000</v>
      </c>
      <c r="J13" s="2366">
        <v>70000</v>
      </c>
      <c r="K13" s="2366">
        <v>80000</v>
      </c>
      <c r="L13" s="2367">
        <v>90000</v>
      </c>
      <c r="M13" s="2368">
        <v>100000</v>
      </c>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2" customFormat="1" ht="15" thickBot="1">
      <c r="A14" s="2251"/>
      <c r="B14" s="1965"/>
      <c r="C14" s="700">
        <v>100</v>
      </c>
      <c r="D14" s="726">
        <v>101</v>
      </c>
      <c r="E14" s="726">
        <v>102</v>
      </c>
      <c r="F14" s="726">
        <v>103</v>
      </c>
      <c r="G14" s="726">
        <v>104</v>
      </c>
      <c r="H14" s="726">
        <v>105</v>
      </c>
      <c r="I14" s="726">
        <v>106</v>
      </c>
      <c r="J14" s="726">
        <v>107</v>
      </c>
      <c r="K14" s="726">
        <v>108</v>
      </c>
      <c r="L14" s="726">
        <v>109</v>
      </c>
      <c r="M14" s="727">
        <v>110</v>
      </c>
      <c r="N14" s="2274"/>
      <c r="O14" s="1966"/>
      <c r="P14" s="1966"/>
      <c r="Q14" s="1966"/>
      <c r="R14" s="1966"/>
      <c r="S14" s="2275"/>
      <c r="T14" s="196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2" customFormat="1">
      <c r="A15" s="2251"/>
      <c r="B15" s="3186" t="s">
        <v>3115</v>
      </c>
      <c r="C15" s="3188" t="s">
        <v>3116</v>
      </c>
      <c r="D15" s="3189" t="s">
        <v>3117</v>
      </c>
      <c r="E15" s="3189" t="s">
        <v>3119</v>
      </c>
      <c r="F15" s="3189" t="s">
        <v>3120</v>
      </c>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2" customFormat="1" ht="13.5" thickBot="1">
      <c r="A16" s="2251"/>
      <c r="B16" s="2244"/>
      <c r="C16" s="2245">
        <v>100</v>
      </c>
      <c r="D16" s="2246">
        <v>95</v>
      </c>
      <c r="E16" s="2245">
        <v>90</v>
      </c>
      <c r="F16" s="2246">
        <v>85</v>
      </c>
      <c r="G16" s="2246"/>
      <c r="H16" s="2246"/>
      <c r="I16" s="2246"/>
      <c r="J16" s="2246"/>
      <c r="K16" s="2246"/>
      <c r="L16" s="2246"/>
      <c r="M16" s="2247"/>
      <c r="N16" s="2247"/>
      <c r="O16" s="2246"/>
      <c r="P16" s="2246"/>
      <c r="Q16" s="2246"/>
      <c r="R16" s="2246"/>
      <c r="S16" s="2249"/>
      <c r="T16" s="2250"/>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70"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7"/>
      <c r="AS17" s="2237"/>
    </row>
    <row r="18" spans="1:45" s="1970"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23804</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829</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287046</v>
      </c>
      <c r="C22" s="3480" t="s">
        <v>20</v>
      </c>
      <c r="D22" s="3481"/>
      <c r="E22" s="3481"/>
      <c r="F22" s="3481"/>
      <c r="G22" s="3481"/>
      <c r="H22" s="3481"/>
      <c r="I22" s="3481"/>
      <c r="J22" s="3481"/>
      <c r="K22" s="3481"/>
      <c r="L22" s="3481"/>
      <c r="M22" s="3481"/>
      <c r="N22" s="3481"/>
      <c r="O22" s="3481"/>
      <c r="P22" s="3481"/>
      <c r="Q22" s="3482"/>
      <c r="R22" s="490">
        <f ca="1">ROUND(S22*10000/B22,0)</f>
        <v>829</v>
      </c>
      <c r="S22" s="53">
        <f ca="1">SUM(S24:S10000)</f>
        <v>23804</v>
      </c>
    </row>
    <row r="23" spans="1:45" s="1615" customFormat="1" ht="25.5">
      <c r="A23" s="17" t="s">
        <v>831</v>
      </c>
      <c r="B23" s="17" t="s">
        <v>832</v>
      </c>
      <c r="C23" s="17" t="s">
        <v>833</v>
      </c>
      <c r="D23" s="17" t="str">
        <f>B5</f>
        <v>商业繁华度</v>
      </c>
      <c r="E23" s="17" t="s">
        <v>833</v>
      </c>
      <c r="F23" s="17" t="str">
        <f>B7</f>
        <v>交通便捷度</v>
      </c>
      <c r="G23" s="17" t="s">
        <v>833</v>
      </c>
      <c r="H23" s="17" t="str">
        <f>B9</f>
        <v>自然及人文环境</v>
      </c>
      <c r="I23" s="17" t="s">
        <v>833</v>
      </c>
      <c r="J23" s="17" t="str">
        <f>B11</f>
        <v>土地使用年限</v>
      </c>
      <c r="K23" s="17" t="s">
        <v>833</v>
      </c>
      <c r="L23" s="17" t="str">
        <f>B13</f>
        <v>土地面积</v>
      </c>
      <c r="M23" s="17" t="s">
        <v>833</v>
      </c>
      <c r="N23" s="17" t="str">
        <f>B15</f>
        <v>宗地形状</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3114</v>
      </c>
      <c r="B24" s="961">
        <f>Sheet1!D33</f>
        <v>18198</v>
      </c>
      <c r="C24" s="962">
        <v>1</v>
      </c>
      <c r="D24" s="963" t="s">
        <v>3098</v>
      </c>
      <c r="E24" s="962">
        <v>1</v>
      </c>
      <c r="F24" s="963" t="s">
        <v>3096</v>
      </c>
      <c r="G24" s="962">
        <v>1</v>
      </c>
      <c r="H24" s="963" t="s">
        <v>3096</v>
      </c>
      <c r="I24" s="962">
        <v>1</v>
      </c>
      <c r="J24" s="963" t="s">
        <v>3128</v>
      </c>
      <c r="K24" s="962">
        <v>1</v>
      </c>
      <c r="L24" s="963" t="s">
        <v>3111</v>
      </c>
      <c r="M24" s="962">
        <v>1</v>
      </c>
      <c r="N24" s="963" t="s">
        <v>3079</v>
      </c>
      <c r="O24" s="962">
        <v>1</v>
      </c>
      <c r="P24" s="963"/>
      <c r="Q24" s="962">
        <v>1</v>
      </c>
      <c r="R24" s="964">
        <f ca="1">结果表!G20</f>
        <v>850</v>
      </c>
      <c r="S24" s="962">
        <f t="shared" ref="S24:S54" ca="1" si="11">ROUND(R24*B24/10000,0)</f>
        <v>1547</v>
      </c>
      <c r="T24" s="1973"/>
      <c r="U24" s="1973"/>
      <c r="V24" s="1973"/>
      <c r="W24" s="1973"/>
      <c r="X24" s="1973"/>
      <c r="Y24" s="1973"/>
      <c r="Z24" s="1973"/>
      <c r="AA24" s="1973"/>
      <c r="AB24" s="1973"/>
      <c r="AC24" s="1973"/>
      <c r="AD24" s="1973"/>
      <c r="AE24" s="1973"/>
      <c r="AF24" s="1973"/>
      <c r="AG24" s="1973"/>
      <c r="AH24" s="1973"/>
      <c r="AI24" s="1973"/>
    </row>
    <row r="25" spans="1:45">
      <c r="A25" s="3192" t="s">
        <v>3139</v>
      </c>
      <c r="B25" s="961">
        <f>8617*3</f>
        <v>25851</v>
      </c>
      <c r="C25" s="53">
        <f>IF(B25="",1,(LOOKUP(B25,$3:$3,$4:$4)-LOOKUP($B$24,$3:$3,$4:$4)+100)/100)</f>
        <v>1</v>
      </c>
      <c r="D25" s="963" t="s">
        <v>3098</v>
      </c>
      <c r="E25" s="53">
        <f>(SUMIF($5:$5,D25,$6:$6)-SUMIF($5:$5,$D$24,$6:$6)+100)/100</f>
        <v>1</v>
      </c>
      <c r="F25" s="963" t="s">
        <v>3096</v>
      </c>
      <c r="G25" s="53">
        <f>(SUMIF($7:$7,F25,$8:$8)-SUMIF($7:$7,$F$24,$8:$8)+100)/100</f>
        <v>1</v>
      </c>
      <c r="H25" s="963" t="s">
        <v>3096</v>
      </c>
      <c r="I25" s="53">
        <f>(SUMIF($9:$9,H25,$10:$10)-SUMIF($9:$9,$H$24,$10:$10)+100)/100</f>
        <v>1</v>
      </c>
      <c r="J25" s="963" t="s">
        <v>3128</v>
      </c>
      <c r="K25" s="53">
        <f>(SUMIF($11:$11,J25,$12:$12)-SUMIF($11:$11,$J$24,$12:$12)+100)/100</f>
        <v>1</v>
      </c>
      <c r="L25" s="963" t="s">
        <v>3112</v>
      </c>
      <c r="M25" s="53">
        <f>(SUMIF($13:$13,L25,$14:$14)-SUMIF($13:$13,$L$24,$14:$14)+100)/100</f>
        <v>1</v>
      </c>
      <c r="N25" s="963" t="s">
        <v>3082</v>
      </c>
      <c r="O25" s="53">
        <f>(SUMIF($15:$15,N25,$16:$16)-SUMIF($15:$15,$N$24,$16:$16)+100)/100</f>
        <v>0.9</v>
      </c>
      <c r="P25" s="963"/>
      <c r="Q25" s="53">
        <f>(SUMIF($17:$17,P25,$18:$18)-SUMIF($17:$17,$P$24,$18:$18)+100)/100</f>
        <v>1</v>
      </c>
      <c r="R25" s="490">
        <f ca="1">IF(B25="",0,ROUND($R$24*C25*E25*G25*I25*K25*M25*O25*Q25,0))</f>
        <v>765</v>
      </c>
      <c r="S25" s="799">
        <f t="shared" ca="1" si="11"/>
        <v>1978</v>
      </c>
    </row>
    <row r="26" spans="1:45">
      <c r="A26" s="3192" t="s">
        <v>3134</v>
      </c>
      <c r="B26" s="961">
        <f>Sheet1!D36</f>
        <v>21792</v>
      </c>
      <c r="C26" s="53">
        <f t="shared" ref="C26:C89" si="12">IF(B26="",1,(LOOKUP(B26,$3:$3,$4:$4)-LOOKUP($B$24,$3:$3,$4:$4)+100)/100)</f>
        <v>1</v>
      </c>
      <c r="D26" s="963" t="s">
        <v>3098</v>
      </c>
      <c r="E26" s="53">
        <f t="shared" ref="E26:E89" si="13">(SUMIF($5:$5,D26,$6:$6)-SUMIF($5:$5,$D$24,$6:$6)+100)/100</f>
        <v>1</v>
      </c>
      <c r="F26" s="963" t="s">
        <v>3096</v>
      </c>
      <c r="G26" s="53">
        <f t="shared" ref="G26:G89" si="14">(SUMIF($7:$7,F26,$8:$8)-SUMIF($7:$7,$F$24,$8:$8)+100)/100</f>
        <v>1</v>
      </c>
      <c r="H26" s="963" t="s">
        <v>3096</v>
      </c>
      <c r="I26" s="53">
        <f t="shared" ref="I26:I89" si="15">(SUMIF($9:$9,H26,$10:$10)-SUMIF($9:$9,$H$24,$10:$10)+100)/100</f>
        <v>1</v>
      </c>
      <c r="J26" s="963" t="s">
        <v>3128</v>
      </c>
      <c r="K26" s="53">
        <f t="shared" ref="K26:K89" si="16">(SUMIF($11:$11,J26,$12:$12)-SUMIF($11:$11,$J$24,$12:$12)+100)/100</f>
        <v>1</v>
      </c>
      <c r="L26" s="963" t="s">
        <v>3111</v>
      </c>
      <c r="M26" s="53">
        <f t="shared" ref="M26:M89" si="17">(SUMIF($13:$13,L26,$14:$14)-SUMIF($13:$13,$L$24,$14:$14)+100)/100</f>
        <v>1</v>
      </c>
      <c r="N26" s="963" t="s">
        <v>3118</v>
      </c>
      <c r="O26" s="53">
        <f t="shared" ref="O26:O89" si="18">(SUMIF($15:$15,N26,$16:$16)-SUMIF($15:$15,$N$24,$16:$16)+100)/100</f>
        <v>0.95</v>
      </c>
      <c r="P26" s="963"/>
      <c r="Q26" s="53">
        <f t="shared" ref="Q26:Q89" si="19">(SUMIF($17:$17,P26,$18:$18)-SUMIF($17:$17,$P$24,$18:$18)+100)/100</f>
        <v>1</v>
      </c>
      <c r="R26" s="490">
        <f t="shared" ref="R26:R89" ca="1" si="20">IF(B26="",0,ROUND($R$24*C26*E26*G26*I26*K26*M26*O26*Q26,0))</f>
        <v>808</v>
      </c>
      <c r="S26" s="799">
        <f t="shared" ca="1" si="11"/>
        <v>1761</v>
      </c>
    </row>
    <row r="27" spans="1:45">
      <c r="A27" s="3192" t="s">
        <v>3135</v>
      </c>
      <c r="B27" s="961">
        <f>Sheet1!D31</f>
        <v>5874</v>
      </c>
      <c r="C27" s="53">
        <f t="shared" si="12"/>
        <v>1</v>
      </c>
      <c r="D27" s="963" t="s">
        <v>3098</v>
      </c>
      <c r="E27" s="53">
        <f t="shared" si="13"/>
        <v>1</v>
      </c>
      <c r="F27" s="963" t="s">
        <v>3096</v>
      </c>
      <c r="G27" s="53">
        <f t="shared" si="14"/>
        <v>1</v>
      </c>
      <c r="H27" s="963" t="s">
        <v>3096</v>
      </c>
      <c r="I27" s="53">
        <f t="shared" si="15"/>
        <v>1</v>
      </c>
      <c r="J27" s="963" t="s">
        <v>3128</v>
      </c>
      <c r="K27" s="53">
        <f t="shared" si="16"/>
        <v>1</v>
      </c>
      <c r="L27" s="963" t="s">
        <v>3111</v>
      </c>
      <c r="M27" s="53">
        <f t="shared" si="17"/>
        <v>1</v>
      </c>
      <c r="N27" s="963" t="s">
        <v>3118</v>
      </c>
      <c r="O27" s="53">
        <f t="shared" si="18"/>
        <v>0.95</v>
      </c>
      <c r="P27" s="963"/>
      <c r="Q27" s="53">
        <f t="shared" si="19"/>
        <v>1</v>
      </c>
      <c r="R27" s="490">
        <f t="shared" ca="1" si="20"/>
        <v>808</v>
      </c>
      <c r="S27" s="799">
        <f t="shared" ca="1" si="11"/>
        <v>475</v>
      </c>
    </row>
    <row r="28" spans="1:45">
      <c r="A28" s="3192" t="s">
        <v>3136</v>
      </c>
      <c r="B28" s="961">
        <f>Sheet1!D34</f>
        <v>8019</v>
      </c>
      <c r="C28" s="53">
        <f t="shared" si="12"/>
        <v>1</v>
      </c>
      <c r="D28" s="963" t="s">
        <v>3098</v>
      </c>
      <c r="E28" s="53">
        <f t="shared" si="13"/>
        <v>1</v>
      </c>
      <c r="F28" s="963" t="s">
        <v>3096</v>
      </c>
      <c r="G28" s="53">
        <f t="shared" si="14"/>
        <v>1</v>
      </c>
      <c r="H28" s="963" t="s">
        <v>3096</v>
      </c>
      <c r="I28" s="53">
        <f t="shared" si="15"/>
        <v>1</v>
      </c>
      <c r="J28" s="963" t="s">
        <v>3128</v>
      </c>
      <c r="K28" s="53">
        <f t="shared" si="16"/>
        <v>1</v>
      </c>
      <c r="L28" s="963" t="s">
        <v>3111</v>
      </c>
      <c r="M28" s="53">
        <f t="shared" si="17"/>
        <v>1</v>
      </c>
      <c r="N28" s="963" t="s">
        <v>3118</v>
      </c>
      <c r="O28" s="53">
        <f t="shared" si="18"/>
        <v>0.95</v>
      </c>
      <c r="P28" s="963"/>
      <c r="Q28" s="53">
        <f t="shared" si="19"/>
        <v>1</v>
      </c>
      <c r="R28" s="490">
        <f t="shared" ca="1" si="20"/>
        <v>808</v>
      </c>
      <c r="S28" s="799">
        <f t="shared" ca="1" si="11"/>
        <v>648</v>
      </c>
    </row>
    <row r="29" spans="1:45">
      <c r="A29" s="3192" t="s">
        <v>3137</v>
      </c>
      <c r="B29" s="961">
        <f>Sheet1!D37</f>
        <v>37713</v>
      </c>
      <c r="C29" s="53">
        <f t="shared" si="12"/>
        <v>1</v>
      </c>
      <c r="D29" s="963" t="s">
        <v>3098</v>
      </c>
      <c r="E29" s="53">
        <f t="shared" si="13"/>
        <v>1</v>
      </c>
      <c r="F29" s="963" t="s">
        <v>3096</v>
      </c>
      <c r="G29" s="53">
        <f t="shared" si="14"/>
        <v>1</v>
      </c>
      <c r="H29" s="963" t="s">
        <v>3096</v>
      </c>
      <c r="I29" s="53">
        <f t="shared" si="15"/>
        <v>1</v>
      </c>
      <c r="J29" s="963" t="s">
        <v>3128</v>
      </c>
      <c r="K29" s="53">
        <f t="shared" si="16"/>
        <v>1</v>
      </c>
      <c r="L29" s="963" t="s">
        <v>3113</v>
      </c>
      <c r="M29" s="53">
        <f t="shared" si="17"/>
        <v>1</v>
      </c>
      <c r="N29" s="963" t="s">
        <v>3118</v>
      </c>
      <c r="O29" s="53">
        <f t="shared" si="18"/>
        <v>0.95</v>
      </c>
      <c r="P29" s="963"/>
      <c r="Q29" s="53">
        <f t="shared" si="19"/>
        <v>1</v>
      </c>
      <c r="R29" s="490">
        <f t="shared" ca="1" si="20"/>
        <v>808</v>
      </c>
      <c r="S29" s="799">
        <f t="shared" ca="1" si="11"/>
        <v>3047</v>
      </c>
    </row>
    <row r="30" spans="1:45">
      <c r="A30" s="3192" t="s">
        <v>3138</v>
      </c>
      <c r="B30" s="961">
        <f>56533*3</f>
        <v>169599</v>
      </c>
      <c r="C30" s="53">
        <f t="shared" si="12"/>
        <v>1.03</v>
      </c>
      <c r="D30" s="963" t="s">
        <v>3096</v>
      </c>
      <c r="E30" s="53">
        <f t="shared" si="13"/>
        <v>1.05</v>
      </c>
      <c r="F30" s="963" t="s">
        <v>3096</v>
      </c>
      <c r="G30" s="53">
        <f t="shared" si="14"/>
        <v>1</v>
      </c>
      <c r="H30" s="963" t="s">
        <v>3096</v>
      </c>
      <c r="I30" s="53">
        <f t="shared" si="15"/>
        <v>1</v>
      </c>
      <c r="J30" s="963" t="s">
        <v>2868</v>
      </c>
      <c r="K30" s="53">
        <f t="shared" si="16"/>
        <v>0.92083333333333339</v>
      </c>
      <c r="L30" s="963" t="s">
        <v>3124</v>
      </c>
      <c r="M30" s="53">
        <f t="shared" si="17"/>
        <v>1</v>
      </c>
      <c r="N30" s="963" t="s">
        <v>3079</v>
      </c>
      <c r="O30" s="53">
        <f t="shared" si="18"/>
        <v>1</v>
      </c>
      <c r="P30" s="963"/>
      <c r="Q30" s="53">
        <f t="shared" si="19"/>
        <v>1</v>
      </c>
      <c r="R30" s="490">
        <f t="shared" ca="1" si="20"/>
        <v>846</v>
      </c>
      <c r="S30" s="799">
        <f t="shared" ca="1" si="11"/>
        <v>14348</v>
      </c>
    </row>
    <row r="31" spans="1:45">
      <c r="A31" s="965"/>
      <c r="B31" s="137"/>
      <c r="C31" s="53">
        <f t="shared" si="12"/>
        <v>1</v>
      </c>
      <c r="D31" s="963"/>
      <c r="E31" s="53">
        <f t="shared" si="13"/>
        <v>0.1</v>
      </c>
      <c r="F31" s="963"/>
      <c r="G31" s="53">
        <f t="shared" si="14"/>
        <v>0.03</v>
      </c>
      <c r="H31" s="963"/>
      <c r="I31" s="53">
        <f t="shared" si="15"/>
        <v>0.03</v>
      </c>
      <c r="J31" s="963"/>
      <c r="K31" s="53">
        <f t="shared" si="16"/>
        <v>0</v>
      </c>
      <c r="L31" s="963"/>
      <c r="M31" s="53">
        <f t="shared" si="17"/>
        <v>2</v>
      </c>
      <c r="N31" s="963"/>
      <c r="O31" s="53">
        <f t="shared" si="18"/>
        <v>0.05</v>
      </c>
      <c r="P31" s="963"/>
      <c r="Q31" s="53">
        <f t="shared" si="19"/>
        <v>1</v>
      </c>
      <c r="R31" s="490">
        <f t="shared" si="20"/>
        <v>0</v>
      </c>
      <c r="S31" s="799">
        <f t="shared" si="11"/>
        <v>0</v>
      </c>
    </row>
    <row r="32" spans="1:45">
      <c r="A32" s="965"/>
      <c r="B32" s="137"/>
      <c r="C32" s="53">
        <f t="shared" si="12"/>
        <v>1</v>
      </c>
      <c r="D32" s="963"/>
      <c r="E32" s="53">
        <f t="shared" si="13"/>
        <v>0.1</v>
      </c>
      <c r="F32" s="963"/>
      <c r="G32" s="53">
        <f t="shared" si="14"/>
        <v>0.03</v>
      </c>
      <c r="H32" s="963"/>
      <c r="I32" s="53">
        <f t="shared" si="15"/>
        <v>0.03</v>
      </c>
      <c r="J32" s="963"/>
      <c r="K32" s="53">
        <f t="shared" si="16"/>
        <v>0</v>
      </c>
      <c r="L32" s="963"/>
      <c r="M32" s="53">
        <f t="shared" si="17"/>
        <v>2</v>
      </c>
      <c r="N32" s="963"/>
      <c r="O32" s="53">
        <f t="shared" si="18"/>
        <v>0.05</v>
      </c>
      <c r="P32" s="963"/>
      <c r="Q32" s="53">
        <f t="shared" si="19"/>
        <v>1</v>
      </c>
      <c r="R32" s="490">
        <f t="shared" si="20"/>
        <v>0</v>
      </c>
      <c r="S32" s="799">
        <f t="shared" si="11"/>
        <v>0</v>
      </c>
    </row>
    <row r="33" spans="1:19">
      <c r="A33" s="965"/>
      <c r="B33" s="137"/>
      <c r="C33" s="53">
        <f t="shared" si="12"/>
        <v>1</v>
      </c>
      <c r="D33" s="963"/>
      <c r="E33" s="53">
        <f t="shared" si="13"/>
        <v>0.1</v>
      </c>
      <c r="F33" s="963"/>
      <c r="G33" s="53">
        <f t="shared" si="14"/>
        <v>0.03</v>
      </c>
      <c r="H33" s="963"/>
      <c r="I33" s="53">
        <f t="shared" si="15"/>
        <v>0.03</v>
      </c>
      <c r="J33" s="963"/>
      <c r="K33" s="53">
        <f t="shared" si="16"/>
        <v>0</v>
      </c>
      <c r="L33" s="963"/>
      <c r="M33" s="53">
        <f t="shared" si="17"/>
        <v>2</v>
      </c>
      <c r="N33" s="963"/>
      <c r="O33" s="53">
        <f t="shared" si="18"/>
        <v>0.05</v>
      </c>
      <c r="P33" s="963"/>
      <c r="Q33" s="53">
        <f t="shared" si="19"/>
        <v>1</v>
      </c>
      <c r="R33" s="490">
        <f t="shared" si="20"/>
        <v>0</v>
      </c>
      <c r="S33" s="799">
        <f t="shared" si="11"/>
        <v>0</v>
      </c>
    </row>
    <row r="34" spans="1:19">
      <c r="A34" s="965"/>
      <c r="B34" s="137"/>
      <c r="C34" s="53">
        <f t="shared" si="12"/>
        <v>1</v>
      </c>
      <c r="D34" s="963"/>
      <c r="E34" s="53">
        <f t="shared" si="13"/>
        <v>0.1</v>
      </c>
      <c r="F34" s="963"/>
      <c r="G34" s="53">
        <f t="shared" si="14"/>
        <v>0.03</v>
      </c>
      <c r="H34" s="963"/>
      <c r="I34" s="53">
        <f t="shared" si="15"/>
        <v>0.03</v>
      </c>
      <c r="J34" s="963"/>
      <c r="K34" s="53">
        <f t="shared" si="16"/>
        <v>0</v>
      </c>
      <c r="L34" s="963"/>
      <c r="M34" s="53">
        <f t="shared" si="17"/>
        <v>2</v>
      </c>
      <c r="N34" s="963"/>
      <c r="O34" s="53">
        <f t="shared" si="18"/>
        <v>0.05</v>
      </c>
      <c r="P34" s="963"/>
      <c r="Q34" s="53">
        <f t="shared" si="19"/>
        <v>1</v>
      </c>
      <c r="R34" s="490">
        <f t="shared" si="20"/>
        <v>0</v>
      </c>
      <c r="S34" s="799">
        <f t="shared" si="11"/>
        <v>0</v>
      </c>
    </row>
    <row r="35" spans="1:19">
      <c r="A35" s="965"/>
      <c r="B35" s="137"/>
      <c r="C35" s="53">
        <f t="shared" si="12"/>
        <v>1</v>
      </c>
      <c r="D35" s="963"/>
      <c r="E35" s="53">
        <f t="shared" si="13"/>
        <v>0.1</v>
      </c>
      <c r="F35" s="963"/>
      <c r="G35" s="53">
        <f t="shared" si="14"/>
        <v>0.03</v>
      </c>
      <c r="H35" s="963"/>
      <c r="I35" s="53">
        <f t="shared" si="15"/>
        <v>0.03</v>
      </c>
      <c r="J35" s="963"/>
      <c r="K35" s="53">
        <f t="shared" si="16"/>
        <v>0</v>
      </c>
      <c r="L35" s="963"/>
      <c r="M35" s="53">
        <f t="shared" si="17"/>
        <v>2</v>
      </c>
      <c r="N35" s="963"/>
      <c r="O35" s="53">
        <f t="shared" si="18"/>
        <v>0.05</v>
      </c>
      <c r="P35" s="963"/>
      <c r="Q35" s="53">
        <f t="shared" si="19"/>
        <v>1</v>
      </c>
      <c r="R35" s="490">
        <f t="shared" si="20"/>
        <v>0</v>
      </c>
      <c r="S35" s="799">
        <f t="shared" si="11"/>
        <v>0</v>
      </c>
    </row>
    <row r="36" spans="1:19">
      <c r="A36" s="965"/>
      <c r="B36" s="137"/>
      <c r="C36" s="53">
        <f t="shared" si="12"/>
        <v>1</v>
      </c>
      <c r="D36" s="963"/>
      <c r="E36" s="53">
        <f t="shared" si="13"/>
        <v>0.1</v>
      </c>
      <c r="F36" s="963"/>
      <c r="G36" s="53">
        <f t="shared" si="14"/>
        <v>0.03</v>
      </c>
      <c r="H36" s="963"/>
      <c r="I36" s="53">
        <f t="shared" si="15"/>
        <v>0.03</v>
      </c>
      <c r="J36" s="963"/>
      <c r="K36" s="53">
        <f t="shared" si="16"/>
        <v>0</v>
      </c>
      <c r="L36" s="963"/>
      <c r="M36" s="53">
        <f t="shared" si="17"/>
        <v>2</v>
      </c>
      <c r="N36" s="963"/>
      <c r="O36" s="53">
        <f t="shared" si="18"/>
        <v>0.05</v>
      </c>
      <c r="P36" s="963"/>
      <c r="Q36" s="53">
        <f t="shared" si="19"/>
        <v>1</v>
      </c>
      <c r="R36" s="490">
        <f t="shared" si="20"/>
        <v>0</v>
      </c>
      <c r="S36" s="799">
        <f t="shared" si="11"/>
        <v>0</v>
      </c>
    </row>
    <row r="37" spans="1:19">
      <c r="A37" s="965"/>
      <c r="B37" s="137"/>
      <c r="C37" s="53">
        <f t="shared" si="12"/>
        <v>1</v>
      </c>
      <c r="D37" s="963"/>
      <c r="E37" s="53">
        <f t="shared" si="13"/>
        <v>0.1</v>
      </c>
      <c r="F37" s="963"/>
      <c r="G37" s="53">
        <f t="shared" si="14"/>
        <v>0.03</v>
      </c>
      <c r="H37" s="963"/>
      <c r="I37" s="53">
        <f t="shared" si="15"/>
        <v>0.03</v>
      </c>
      <c r="J37" s="963"/>
      <c r="K37" s="53">
        <f t="shared" si="16"/>
        <v>0</v>
      </c>
      <c r="L37" s="963"/>
      <c r="M37" s="53">
        <f t="shared" si="17"/>
        <v>2</v>
      </c>
      <c r="N37" s="963"/>
      <c r="O37" s="53">
        <f t="shared" si="18"/>
        <v>0.05</v>
      </c>
      <c r="P37" s="963"/>
      <c r="Q37" s="53">
        <f t="shared" si="19"/>
        <v>1</v>
      </c>
      <c r="R37" s="490">
        <f t="shared" si="20"/>
        <v>0</v>
      </c>
      <c r="S37" s="799">
        <f t="shared" si="11"/>
        <v>0</v>
      </c>
    </row>
    <row r="38" spans="1:19">
      <c r="A38" s="965"/>
      <c r="B38" s="137"/>
      <c r="C38" s="53">
        <f t="shared" si="12"/>
        <v>1</v>
      </c>
      <c r="D38" s="963"/>
      <c r="E38" s="53">
        <f t="shared" si="13"/>
        <v>0.1</v>
      </c>
      <c r="F38" s="963"/>
      <c r="G38" s="53">
        <f t="shared" si="14"/>
        <v>0.03</v>
      </c>
      <c r="H38" s="963"/>
      <c r="I38" s="53">
        <f t="shared" si="15"/>
        <v>0.03</v>
      </c>
      <c r="J38" s="963"/>
      <c r="K38" s="53">
        <f t="shared" si="16"/>
        <v>0</v>
      </c>
      <c r="L38" s="963"/>
      <c r="M38" s="53">
        <f t="shared" si="17"/>
        <v>2</v>
      </c>
      <c r="N38" s="963"/>
      <c r="O38" s="53">
        <f t="shared" si="18"/>
        <v>0.05</v>
      </c>
      <c r="P38" s="963"/>
      <c r="Q38" s="53">
        <f t="shared" si="19"/>
        <v>1</v>
      </c>
      <c r="R38" s="490">
        <f t="shared" si="20"/>
        <v>0</v>
      </c>
      <c r="S38" s="799">
        <f t="shared" si="11"/>
        <v>0</v>
      </c>
    </row>
    <row r="39" spans="1:19">
      <c r="A39" s="965"/>
      <c r="B39" s="137"/>
      <c r="C39" s="53">
        <f t="shared" si="12"/>
        <v>1</v>
      </c>
      <c r="D39" s="963"/>
      <c r="E39" s="53">
        <f t="shared" si="13"/>
        <v>0.1</v>
      </c>
      <c r="F39" s="963"/>
      <c r="G39" s="53">
        <f t="shared" si="14"/>
        <v>0.03</v>
      </c>
      <c r="H39" s="963"/>
      <c r="I39" s="53">
        <f t="shared" si="15"/>
        <v>0.03</v>
      </c>
      <c r="J39" s="963"/>
      <c r="K39" s="53">
        <f t="shared" si="16"/>
        <v>0</v>
      </c>
      <c r="L39" s="963"/>
      <c r="M39" s="53">
        <f t="shared" si="17"/>
        <v>2</v>
      </c>
      <c r="N39" s="963"/>
      <c r="O39" s="53">
        <f t="shared" si="18"/>
        <v>0.05</v>
      </c>
      <c r="P39" s="963"/>
      <c r="Q39" s="53">
        <f t="shared" si="19"/>
        <v>1</v>
      </c>
      <c r="R39" s="490">
        <f t="shared" si="20"/>
        <v>0</v>
      </c>
      <c r="S39" s="799">
        <f t="shared" si="11"/>
        <v>0</v>
      </c>
    </row>
    <row r="40" spans="1:19">
      <c r="A40" s="965"/>
      <c r="B40" s="137"/>
      <c r="C40" s="53">
        <f t="shared" si="12"/>
        <v>1</v>
      </c>
      <c r="D40" s="963"/>
      <c r="E40" s="53">
        <f t="shared" si="13"/>
        <v>0.1</v>
      </c>
      <c r="F40" s="963"/>
      <c r="G40" s="53">
        <f t="shared" si="14"/>
        <v>0.03</v>
      </c>
      <c r="H40" s="963"/>
      <c r="I40" s="53">
        <f t="shared" si="15"/>
        <v>0.03</v>
      </c>
      <c r="J40" s="963"/>
      <c r="K40" s="53">
        <f t="shared" si="16"/>
        <v>0</v>
      </c>
      <c r="L40" s="963"/>
      <c r="M40" s="53">
        <f t="shared" si="17"/>
        <v>2</v>
      </c>
      <c r="N40" s="963"/>
      <c r="O40" s="53">
        <f t="shared" si="18"/>
        <v>0.05</v>
      </c>
      <c r="P40" s="963"/>
      <c r="Q40" s="53">
        <f t="shared" si="19"/>
        <v>1</v>
      </c>
      <c r="R40" s="490">
        <f t="shared" si="20"/>
        <v>0</v>
      </c>
      <c r="S40" s="799">
        <f t="shared" si="11"/>
        <v>0</v>
      </c>
    </row>
    <row r="41" spans="1:19">
      <c r="A41" s="965"/>
      <c r="B41" s="137"/>
      <c r="C41" s="53">
        <f t="shared" si="12"/>
        <v>1</v>
      </c>
      <c r="D41" s="963"/>
      <c r="E41" s="53">
        <f t="shared" si="13"/>
        <v>0.1</v>
      </c>
      <c r="F41" s="963"/>
      <c r="G41" s="53">
        <f t="shared" si="14"/>
        <v>0.03</v>
      </c>
      <c r="H41" s="963"/>
      <c r="I41" s="53">
        <f t="shared" si="15"/>
        <v>0.03</v>
      </c>
      <c r="J41" s="963"/>
      <c r="K41" s="53">
        <f t="shared" si="16"/>
        <v>0</v>
      </c>
      <c r="L41" s="963"/>
      <c r="M41" s="53">
        <f t="shared" si="17"/>
        <v>2</v>
      </c>
      <c r="N41" s="963"/>
      <c r="O41" s="53">
        <f t="shared" si="18"/>
        <v>0.05</v>
      </c>
      <c r="P41" s="963"/>
      <c r="Q41" s="53">
        <f t="shared" si="19"/>
        <v>1</v>
      </c>
      <c r="R41" s="490">
        <f t="shared" si="20"/>
        <v>0</v>
      </c>
      <c r="S41" s="799">
        <f t="shared" si="11"/>
        <v>0</v>
      </c>
    </row>
    <row r="42" spans="1:19">
      <c r="A42" s="965"/>
      <c r="B42" s="137"/>
      <c r="C42" s="53">
        <f t="shared" si="12"/>
        <v>1</v>
      </c>
      <c r="D42" s="963"/>
      <c r="E42" s="53">
        <f t="shared" si="13"/>
        <v>0.1</v>
      </c>
      <c r="F42" s="963"/>
      <c r="G42" s="53">
        <f t="shared" si="14"/>
        <v>0.03</v>
      </c>
      <c r="H42" s="963"/>
      <c r="I42" s="53">
        <f t="shared" si="15"/>
        <v>0.03</v>
      </c>
      <c r="J42" s="963"/>
      <c r="K42" s="53">
        <f t="shared" si="16"/>
        <v>0</v>
      </c>
      <c r="L42" s="963"/>
      <c r="M42" s="53">
        <f t="shared" si="17"/>
        <v>2</v>
      </c>
      <c r="N42" s="963"/>
      <c r="O42" s="53">
        <f t="shared" si="18"/>
        <v>0.05</v>
      </c>
      <c r="P42" s="963"/>
      <c r="Q42" s="53">
        <f t="shared" si="19"/>
        <v>1</v>
      </c>
      <c r="R42" s="490">
        <f t="shared" si="20"/>
        <v>0</v>
      </c>
      <c r="S42" s="799">
        <f t="shared" si="11"/>
        <v>0</v>
      </c>
    </row>
    <row r="43" spans="1:19">
      <c r="A43" s="965"/>
      <c r="B43" s="137"/>
      <c r="C43" s="53">
        <f t="shared" si="12"/>
        <v>1</v>
      </c>
      <c r="D43" s="963"/>
      <c r="E43" s="53">
        <f t="shared" si="13"/>
        <v>0.1</v>
      </c>
      <c r="F43" s="963"/>
      <c r="G43" s="53">
        <f t="shared" si="14"/>
        <v>0.03</v>
      </c>
      <c r="H43" s="963"/>
      <c r="I43" s="53">
        <f t="shared" si="15"/>
        <v>0.03</v>
      </c>
      <c r="J43" s="963"/>
      <c r="K43" s="53">
        <f t="shared" si="16"/>
        <v>0</v>
      </c>
      <c r="L43" s="963"/>
      <c r="M43" s="53">
        <f t="shared" si="17"/>
        <v>2</v>
      </c>
      <c r="N43" s="963"/>
      <c r="O43" s="53">
        <f t="shared" si="18"/>
        <v>0.05</v>
      </c>
      <c r="P43" s="963"/>
      <c r="Q43" s="53">
        <f t="shared" si="19"/>
        <v>1</v>
      </c>
      <c r="R43" s="490">
        <f t="shared" si="20"/>
        <v>0</v>
      </c>
      <c r="S43" s="799">
        <f t="shared" si="11"/>
        <v>0</v>
      </c>
    </row>
    <row r="44" spans="1:19">
      <c r="A44" s="965"/>
      <c r="B44" s="137"/>
      <c r="C44" s="53">
        <f t="shared" si="12"/>
        <v>1</v>
      </c>
      <c r="D44" s="963"/>
      <c r="E44" s="53">
        <f t="shared" si="13"/>
        <v>0.1</v>
      </c>
      <c r="F44" s="963"/>
      <c r="G44" s="53">
        <f t="shared" si="14"/>
        <v>0.03</v>
      </c>
      <c r="H44" s="963"/>
      <c r="I44" s="53">
        <f t="shared" si="15"/>
        <v>0.03</v>
      </c>
      <c r="J44" s="963"/>
      <c r="K44" s="53">
        <f t="shared" si="16"/>
        <v>0</v>
      </c>
      <c r="L44" s="963"/>
      <c r="M44" s="53">
        <f t="shared" si="17"/>
        <v>2</v>
      </c>
      <c r="N44" s="963"/>
      <c r="O44" s="53">
        <f t="shared" si="18"/>
        <v>0.05</v>
      </c>
      <c r="P44" s="963"/>
      <c r="Q44" s="53">
        <f t="shared" si="19"/>
        <v>1</v>
      </c>
      <c r="R44" s="490">
        <f t="shared" si="20"/>
        <v>0</v>
      </c>
      <c r="S44" s="799">
        <f t="shared" si="11"/>
        <v>0</v>
      </c>
    </row>
    <row r="45" spans="1:19">
      <c r="A45" s="965"/>
      <c r="B45" s="137"/>
      <c r="C45" s="53">
        <f t="shared" si="12"/>
        <v>1</v>
      </c>
      <c r="D45" s="963"/>
      <c r="E45" s="53">
        <f t="shared" si="13"/>
        <v>0.1</v>
      </c>
      <c r="F45" s="963"/>
      <c r="G45" s="53">
        <f t="shared" si="14"/>
        <v>0.03</v>
      </c>
      <c r="H45" s="963"/>
      <c r="I45" s="53">
        <f t="shared" si="15"/>
        <v>0.03</v>
      </c>
      <c r="J45" s="963"/>
      <c r="K45" s="53">
        <f t="shared" si="16"/>
        <v>0</v>
      </c>
      <c r="L45" s="963"/>
      <c r="M45" s="53">
        <f t="shared" si="17"/>
        <v>2</v>
      </c>
      <c r="N45" s="963"/>
      <c r="O45" s="53">
        <f t="shared" si="18"/>
        <v>0.05</v>
      </c>
      <c r="P45" s="963"/>
      <c r="Q45" s="53">
        <f t="shared" si="19"/>
        <v>1</v>
      </c>
      <c r="R45" s="490">
        <f t="shared" si="20"/>
        <v>0</v>
      </c>
      <c r="S45" s="799">
        <f t="shared" si="11"/>
        <v>0</v>
      </c>
    </row>
    <row r="46" spans="1:19">
      <c r="A46" s="965"/>
      <c r="B46" s="137"/>
      <c r="C46" s="53">
        <f t="shared" si="12"/>
        <v>1</v>
      </c>
      <c r="D46" s="963"/>
      <c r="E46" s="53">
        <f t="shared" si="13"/>
        <v>0.1</v>
      </c>
      <c r="F46" s="963"/>
      <c r="G46" s="53">
        <f t="shared" si="14"/>
        <v>0.03</v>
      </c>
      <c r="H46" s="963"/>
      <c r="I46" s="53">
        <f t="shared" si="15"/>
        <v>0.03</v>
      </c>
      <c r="J46" s="963"/>
      <c r="K46" s="53">
        <f t="shared" si="16"/>
        <v>0</v>
      </c>
      <c r="L46" s="963"/>
      <c r="M46" s="53">
        <f t="shared" si="17"/>
        <v>2</v>
      </c>
      <c r="N46" s="963"/>
      <c r="O46" s="53">
        <f t="shared" si="18"/>
        <v>0.05</v>
      </c>
      <c r="P46" s="963"/>
      <c r="Q46" s="53">
        <f t="shared" si="19"/>
        <v>1</v>
      </c>
      <c r="R46" s="490">
        <f t="shared" si="20"/>
        <v>0</v>
      </c>
      <c r="S46" s="799">
        <f t="shared" si="11"/>
        <v>0</v>
      </c>
    </row>
    <row r="47" spans="1:19">
      <c r="A47" s="965"/>
      <c r="B47" s="137"/>
      <c r="C47" s="53">
        <f t="shared" si="12"/>
        <v>1</v>
      </c>
      <c r="D47" s="963"/>
      <c r="E47" s="53">
        <f t="shared" si="13"/>
        <v>0.1</v>
      </c>
      <c r="F47" s="963"/>
      <c r="G47" s="53">
        <f t="shared" si="14"/>
        <v>0.03</v>
      </c>
      <c r="H47" s="963"/>
      <c r="I47" s="53">
        <f t="shared" si="15"/>
        <v>0.03</v>
      </c>
      <c r="J47" s="963"/>
      <c r="K47" s="53">
        <f t="shared" si="16"/>
        <v>0</v>
      </c>
      <c r="L47" s="963"/>
      <c r="M47" s="53">
        <f t="shared" si="17"/>
        <v>2</v>
      </c>
      <c r="N47" s="963"/>
      <c r="O47" s="53">
        <f t="shared" si="18"/>
        <v>0.05</v>
      </c>
      <c r="P47" s="963"/>
      <c r="Q47" s="53">
        <f t="shared" si="19"/>
        <v>1</v>
      </c>
      <c r="R47" s="490">
        <f t="shared" si="20"/>
        <v>0</v>
      </c>
      <c r="S47" s="799">
        <f t="shared" si="11"/>
        <v>0</v>
      </c>
    </row>
    <row r="48" spans="1:19">
      <c r="A48" s="965"/>
      <c r="B48" s="137"/>
      <c r="C48" s="53">
        <f t="shared" si="12"/>
        <v>1</v>
      </c>
      <c r="D48" s="963"/>
      <c r="E48" s="53">
        <f t="shared" si="13"/>
        <v>0.1</v>
      </c>
      <c r="F48" s="963"/>
      <c r="G48" s="53">
        <f t="shared" si="14"/>
        <v>0.03</v>
      </c>
      <c r="H48" s="963"/>
      <c r="I48" s="53">
        <f t="shared" si="15"/>
        <v>0.03</v>
      </c>
      <c r="J48" s="963"/>
      <c r="K48" s="53">
        <f t="shared" si="16"/>
        <v>0</v>
      </c>
      <c r="L48" s="963"/>
      <c r="M48" s="53">
        <f t="shared" si="17"/>
        <v>2</v>
      </c>
      <c r="N48" s="963"/>
      <c r="O48" s="53">
        <f t="shared" si="18"/>
        <v>0.05</v>
      </c>
      <c r="P48" s="963"/>
      <c r="Q48" s="53">
        <f t="shared" si="19"/>
        <v>1</v>
      </c>
      <c r="R48" s="490">
        <f t="shared" si="20"/>
        <v>0</v>
      </c>
      <c r="S48" s="799">
        <f t="shared" si="11"/>
        <v>0</v>
      </c>
    </row>
    <row r="49" spans="1:19">
      <c r="A49" s="965"/>
      <c r="B49" s="137"/>
      <c r="C49" s="53">
        <f t="shared" si="12"/>
        <v>1</v>
      </c>
      <c r="D49" s="963"/>
      <c r="E49" s="53">
        <f t="shared" si="13"/>
        <v>0.1</v>
      </c>
      <c r="F49" s="963"/>
      <c r="G49" s="53">
        <f t="shared" si="14"/>
        <v>0.03</v>
      </c>
      <c r="H49" s="963"/>
      <c r="I49" s="53">
        <f t="shared" si="15"/>
        <v>0.03</v>
      </c>
      <c r="J49" s="963"/>
      <c r="K49" s="53">
        <f t="shared" si="16"/>
        <v>0</v>
      </c>
      <c r="L49" s="963"/>
      <c r="M49" s="53">
        <f t="shared" si="17"/>
        <v>2</v>
      </c>
      <c r="N49" s="963"/>
      <c r="O49" s="53">
        <f t="shared" si="18"/>
        <v>0.05</v>
      </c>
      <c r="P49" s="963"/>
      <c r="Q49" s="53">
        <f t="shared" si="19"/>
        <v>1</v>
      </c>
      <c r="R49" s="490">
        <f t="shared" si="20"/>
        <v>0</v>
      </c>
      <c r="S49" s="799">
        <f t="shared" si="11"/>
        <v>0</v>
      </c>
    </row>
    <row r="50" spans="1:19">
      <c r="A50" s="965"/>
      <c r="B50" s="137"/>
      <c r="C50" s="53">
        <f t="shared" si="12"/>
        <v>1</v>
      </c>
      <c r="D50" s="963"/>
      <c r="E50" s="53">
        <f t="shared" si="13"/>
        <v>0.1</v>
      </c>
      <c r="F50" s="963"/>
      <c r="G50" s="53">
        <f t="shared" si="14"/>
        <v>0.03</v>
      </c>
      <c r="H50" s="963"/>
      <c r="I50" s="53">
        <f t="shared" si="15"/>
        <v>0.03</v>
      </c>
      <c r="J50" s="963"/>
      <c r="K50" s="53">
        <f t="shared" si="16"/>
        <v>0</v>
      </c>
      <c r="L50" s="963"/>
      <c r="M50" s="53">
        <f t="shared" si="17"/>
        <v>2</v>
      </c>
      <c r="N50" s="963"/>
      <c r="O50" s="53">
        <f t="shared" si="18"/>
        <v>0.05</v>
      </c>
      <c r="P50" s="963"/>
      <c r="Q50" s="53">
        <f t="shared" si="19"/>
        <v>1</v>
      </c>
      <c r="R50" s="490">
        <f t="shared" si="20"/>
        <v>0</v>
      </c>
      <c r="S50" s="799">
        <f t="shared" si="11"/>
        <v>0</v>
      </c>
    </row>
    <row r="51" spans="1:19">
      <c r="A51" s="965"/>
      <c r="B51" s="137"/>
      <c r="C51" s="53">
        <f t="shared" si="12"/>
        <v>1</v>
      </c>
      <c r="D51" s="963"/>
      <c r="E51" s="53">
        <f t="shared" si="13"/>
        <v>0.1</v>
      </c>
      <c r="F51" s="963"/>
      <c r="G51" s="53">
        <f t="shared" si="14"/>
        <v>0.03</v>
      </c>
      <c r="H51" s="963"/>
      <c r="I51" s="53">
        <f t="shared" si="15"/>
        <v>0.03</v>
      </c>
      <c r="J51" s="963"/>
      <c r="K51" s="53">
        <f t="shared" si="16"/>
        <v>0</v>
      </c>
      <c r="L51" s="963"/>
      <c r="M51" s="53">
        <f t="shared" si="17"/>
        <v>2</v>
      </c>
      <c r="N51" s="963"/>
      <c r="O51" s="53">
        <f t="shared" si="18"/>
        <v>0.05</v>
      </c>
      <c r="P51" s="963"/>
      <c r="Q51" s="53">
        <f t="shared" si="19"/>
        <v>1</v>
      </c>
      <c r="R51" s="490">
        <f t="shared" si="20"/>
        <v>0</v>
      </c>
      <c r="S51" s="799">
        <f t="shared" si="11"/>
        <v>0</v>
      </c>
    </row>
    <row r="52" spans="1:19">
      <c r="A52" s="965"/>
      <c r="B52" s="137"/>
      <c r="C52" s="53">
        <f t="shared" si="12"/>
        <v>1</v>
      </c>
      <c r="D52" s="963"/>
      <c r="E52" s="53">
        <f t="shared" si="13"/>
        <v>0.1</v>
      </c>
      <c r="F52" s="963"/>
      <c r="G52" s="53">
        <f t="shared" si="14"/>
        <v>0.03</v>
      </c>
      <c r="H52" s="963"/>
      <c r="I52" s="53">
        <f t="shared" si="15"/>
        <v>0.03</v>
      </c>
      <c r="J52" s="963"/>
      <c r="K52" s="53">
        <f t="shared" si="16"/>
        <v>0</v>
      </c>
      <c r="L52" s="963"/>
      <c r="M52" s="53">
        <f t="shared" si="17"/>
        <v>2</v>
      </c>
      <c r="N52" s="963"/>
      <c r="O52" s="53">
        <f t="shared" si="18"/>
        <v>0.05</v>
      </c>
      <c r="P52" s="963"/>
      <c r="Q52" s="53">
        <f t="shared" si="19"/>
        <v>1</v>
      </c>
      <c r="R52" s="490">
        <f t="shared" si="20"/>
        <v>0</v>
      </c>
      <c r="S52" s="799">
        <f t="shared" si="11"/>
        <v>0</v>
      </c>
    </row>
    <row r="53" spans="1:19">
      <c r="A53" s="965"/>
      <c r="B53" s="137"/>
      <c r="C53" s="53">
        <f t="shared" si="12"/>
        <v>1</v>
      </c>
      <c r="D53" s="963"/>
      <c r="E53" s="53">
        <f t="shared" si="13"/>
        <v>0.1</v>
      </c>
      <c r="F53" s="963"/>
      <c r="G53" s="53">
        <f t="shared" si="14"/>
        <v>0.03</v>
      </c>
      <c r="H53" s="963"/>
      <c r="I53" s="53">
        <f t="shared" si="15"/>
        <v>0.03</v>
      </c>
      <c r="J53" s="963"/>
      <c r="K53" s="53">
        <f t="shared" si="16"/>
        <v>0</v>
      </c>
      <c r="L53" s="963"/>
      <c r="M53" s="53">
        <f t="shared" si="17"/>
        <v>2</v>
      </c>
      <c r="N53" s="963"/>
      <c r="O53" s="53">
        <f t="shared" si="18"/>
        <v>0.05</v>
      </c>
      <c r="P53" s="963"/>
      <c r="Q53" s="53">
        <f t="shared" si="19"/>
        <v>1</v>
      </c>
      <c r="R53" s="490">
        <f t="shared" si="20"/>
        <v>0</v>
      </c>
      <c r="S53" s="799">
        <f t="shared" si="11"/>
        <v>0</v>
      </c>
    </row>
    <row r="54" spans="1:19">
      <c r="A54" s="965"/>
      <c r="B54" s="137"/>
      <c r="C54" s="53">
        <f t="shared" si="12"/>
        <v>1</v>
      </c>
      <c r="D54" s="963"/>
      <c r="E54" s="53">
        <f t="shared" si="13"/>
        <v>0.1</v>
      </c>
      <c r="F54" s="963"/>
      <c r="G54" s="53">
        <f t="shared" si="14"/>
        <v>0.03</v>
      </c>
      <c r="H54" s="963"/>
      <c r="I54" s="53">
        <f t="shared" si="15"/>
        <v>0.03</v>
      </c>
      <c r="J54" s="963"/>
      <c r="K54" s="53">
        <f t="shared" si="16"/>
        <v>0</v>
      </c>
      <c r="L54" s="963"/>
      <c r="M54" s="53">
        <f t="shared" si="17"/>
        <v>2</v>
      </c>
      <c r="N54" s="963"/>
      <c r="O54" s="53">
        <f t="shared" si="18"/>
        <v>0.05</v>
      </c>
      <c r="P54" s="963"/>
      <c r="Q54" s="53">
        <f t="shared" si="19"/>
        <v>1</v>
      </c>
      <c r="R54" s="490">
        <f t="shared" si="20"/>
        <v>0</v>
      </c>
      <c r="S54" s="799">
        <f t="shared" si="11"/>
        <v>0</v>
      </c>
    </row>
    <row r="55" spans="1:19">
      <c r="A55" s="965"/>
      <c r="B55" s="137"/>
      <c r="C55" s="53">
        <f t="shared" si="12"/>
        <v>1</v>
      </c>
      <c r="D55" s="963"/>
      <c r="E55" s="53">
        <f t="shared" si="13"/>
        <v>0.1</v>
      </c>
      <c r="F55" s="963"/>
      <c r="G55" s="53">
        <f t="shared" si="14"/>
        <v>0.03</v>
      </c>
      <c r="H55" s="963"/>
      <c r="I55" s="53">
        <f t="shared" si="15"/>
        <v>0.03</v>
      </c>
      <c r="J55" s="963"/>
      <c r="K55" s="53">
        <f t="shared" si="16"/>
        <v>0</v>
      </c>
      <c r="L55" s="963"/>
      <c r="M55" s="53">
        <f t="shared" si="17"/>
        <v>2</v>
      </c>
      <c r="N55" s="963"/>
      <c r="O55" s="53">
        <f t="shared" si="18"/>
        <v>0.05</v>
      </c>
      <c r="P55" s="963"/>
      <c r="Q55" s="53">
        <f t="shared" si="19"/>
        <v>1</v>
      </c>
      <c r="R55" s="490">
        <f t="shared" si="20"/>
        <v>0</v>
      </c>
      <c r="S55" s="799">
        <f t="shared" ref="S55:S77" si="21">ROUND(R55*B55/10000,0)</f>
        <v>0</v>
      </c>
    </row>
    <row r="56" spans="1:19">
      <c r="A56" s="965"/>
      <c r="B56" s="137"/>
      <c r="C56" s="53">
        <f t="shared" si="12"/>
        <v>1</v>
      </c>
      <c r="D56" s="963"/>
      <c r="E56" s="53">
        <f t="shared" si="13"/>
        <v>0.1</v>
      </c>
      <c r="F56" s="963"/>
      <c r="G56" s="53">
        <f t="shared" si="14"/>
        <v>0.03</v>
      </c>
      <c r="H56" s="963"/>
      <c r="I56" s="53">
        <f t="shared" si="15"/>
        <v>0.03</v>
      </c>
      <c r="J56" s="963"/>
      <c r="K56" s="53">
        <f t="shared" si="16"/>
        <v>0</v>
      </c>
      <c r="L56" s="963"/>
      <c r="M56" s="53">
        <f t="shared" si="17"/>
        <v>2</v>
      </c>
      <c r="N56" s="963"/>
      <c r="O56" s="53">
        <f t="shared" si="18"/>
        <v>0.05</v>
      </c>
      <c r="P56" s="963"/>
      <c r="Q56" s="53">
        <f t="shared" si="19"/>
        <v>1</v>
      </c>
      <c r="R56" s="490">
        <f t="shared" si="20"/>
        <v>0</v>
      </c>
      <c r="S56" s="799">
        <f t="shared" si="21"/>
        <v>0</v>
      </c>
    </row>
    <row r="57" spans="1:19">
      <c r="A57" s="965"/>
      <c r="B57" s="137"/>
      <c r="C57" s="53">
        <f t="shared" si="12"/>
        <v>1</v>
      </c>
      <c r="D57" s="963"/>
      <c r="E57" s="53">
        <f t="shared" si="13"/>
        <v>0.1</v>
      </c>
      <c r="F57" s="963"/>
      <c r="G57" s="53">
        <f t="shared" si="14"/>
        <v>0.03</v>
      </c>
      <c r="H57" s="963"/>
      <c r="I57" s="53">
        <f t="shared" si="15"/>
        <v>0.03</v>
      </c>
      <c r="J57" s="963"/>
      <c r="K57" s="53">
        <f t="shared" si="16"/>
        <v>0</v>
      </c>
      <c r="L57" s="963"/>
      <c r="M57" s="53">
        <f t="shared" si="17"/>
        <v>2</v>
      </c>
      <c r="N57" s="963"/>
      <c r="O57" s="53">
        <f t="shared" si="18"/>
        <v>0.05</v>
      </c>
      <c r="P57" s="963"/>
      <c r="Q57" s="53">
        <f t="shared" si="19"/>
        <v>1</v>
      </c>
      <c r="R57" s="490">
        <f t="shared" si="20"/>
        <v>0</v>
      </c>
      <c r="S57" s="799">
        <f t="shared" si="21"/>
        <v>0</v>
      </c>
    </row>
    <row r="58" spans="1:19">
      <c r="A58" s="965"/>
      <c r="B58" s="137"/>
      <c r="C58" s="53">
        <f t="shared" si="12"/>
        <v>1</v>
      </c>
      <c r="D58" s="963"/>
      <c r="E58" s="53">
        <f t="shared" si="13"/>
        <v>0.1</v>
      </c>
      <c r="F58" s="963"/>
      <c r="G58" s="53">
        <f t="shared" si="14"/>
        <v>0.03</v>
      </c>
      <c r="H58" s="963"/>
      <c r="I58" s="53">
        <f t="shared" si="15"/>
        <v>0.03</v>
      </c>
      <c r="J58" s="963"/>
      <c r="K58" s="53">
        <f t="shared" si="16"/>
        <v>0</v>
      </c>
      <c r="L58" s="963"/>
      <c r="M58" s="53">
        <f t="shared" si="17"/>
        <v>2</v>
      </c>
      <c r="N58" s="963"/>
      <c r="O58" s="53">
        <f t="shared" si="18"/>
        <v>0.05</v>
      </c>
      <c r="P58" s="963"/>
      <c r="Q58" s="53">
        <f t="shared" si="19"/>
        <v>1</v>
      </c>
      <c r="R58" s="490">
        <f t="shared" si="20"/>
        <v>0</v>
      </c>
      <c r="S58" s="799">
        <f t="shared" si="21"/>
        <v>0</v>
      </c>
    </row>
    <row r="59" spans="1:19">
      <c r="A59" s="965"/>
      <c r="B59" s="137"/>
      <c r="C59" s="53">
        <f t="shared" si="12"/>
        <v>1</v>
      </c>
      <c r="D59" s="963"/>
      <c r="E59" s="53">
        <f t="shared" si="13"/>
        <v>0.1</v>
      </c>
      <c r="F59" s="963"/>
      <c r="G59" s="53">
        <f t="shared" si="14"/>
        <v>0.03</v>
      </c>
      <c r="H59" s="963"/>
      <c r="I59" s="53">
        <f t="shared" si="15"/>
        <v>0.03</v>
      </c>
      <c r="J59" s="963"/>
      <c r="K59" s="53">
        <f t="shared" si="16"/>
        <v>0</v>
      </c>
      <c r="L59" s="963"/>
      <c r="M59" s="53">
        <f t="shared" si="17"/>
        <v>2</v>
      </c>
      <c r="N59" s="963"/>
      <c r="O59" s="53">
        <f t="shared" si="18"/>
        <v>0.05</v>
      </c>
      <c r="P59" s="963"/>
      <c r="Q59" s="53">
        <f t="shared" si="19"/>
        <v>1</v>
      </c>
      <c r="R59" s="490">
        <f t="shared" si="20"/>
        <v>0</v>
      </c>
      <c r="S59" s="799">
        <f t="shared" si="21"/>
        <v>0</v>
      </c>
    </row>
    <row r="60" spans="1:19">
      <c r="A60" s="965"/>
      <c r="B60" s="137"/>
      <c r="C60" s="53">
        <f t="shared" si="12"/>
        <v>1</v>
      </c>
      <c r="D60" s="963"/>
      <c r="E60" s="53">
        <f t="shared" si="13"/>
        <v>0.1</v>
      </c>
      <c r="F60" s="963"/>
      <c r="G60" s="53">
        <f t="shared" si="14"/>
        <v>0.03</v>
      </c>
      <c r="H60" s="963"/>
      <c r="I60" s="53">
        <f t="shared" si="15"/>
        <v>0.03</v>
      </c>
      <c r="J60" s="963"/>
      <c r="K60" s="53">
        <f t="shared" si="16"/>
        <v>0</v>
      </c>
      <c r="L60" s="963"/>
      <c r="M60" s="53">
        <f t="shared" si="17"/>
        <v>2</v>
      </c>
      <c r="N60" s="963"/>
      <c r="O60" s="53">
        <f t="shared" si="18"/>
        <v>0.05</v>
      </c>
      <c r="P60" s="963"/>
      <c r="Q60" s="53">
        <f t="shared" si="19"/>
        <v>1</v>
      </c>
      <c r="R60" s="490">
        <f t="shared" si="20"/>
        <v>0</v>
      </c>
      <c r="S60" s="799">
        <f t="shared" si="21"/>
        <v>0</v>
      </c>
    </row>
    <row r="61" spans="1:19">
      <c r="A61" s="965"/>
      <c r="B61" s="137"/>
      <c r="C61" s="53">
        <f t="shared" si="12"/>
        <v>1</v>
      </c>
      <c r="D61" s="963"/>
      <c r="E61" s="53">
        <f t="shared" si="13"/>
        <v>0.1</v>
      </c>
      <c r="F61" s="963"/>
      <c r="G61" s="53">
        <f t="shared" si="14"/>
        <v>0.03</v>
      </c>
      <c r="H61" s="963"/>
      <c r="I61" s="53">
        <f t="shared" si="15"/>
        <v>0.03</v>
      </c>
      <c r="J61" s="963"/>
      <c r="K61" s="53">
        <f t="shared" si="16"/>
        <v>0</v>
      </c>
      <c r="L61" s="963"/>
      <c r="M61" s="53">
        <f t="shared" si="17"/>
        <v>2</v>
      </c>
      <c r="N61" s="963"/>
      <c r="O61" s="53">
        <f t="shared" si="18"/>
        <v>0.05</v>
      </c>
      <c r="P61" s="963"/>
      <c r="Q61" s="53">
        <f t="shared" si="19"/>
        <v>1</v>
      </c>
      <c r="R61" s="490">
        <f t="shared" si="20"/>
        <v>0</v>
      </c>
      <c r="S61" s="799">
        <f t="shared" si="21"/>
        <v>0</v>
      </c>
    </row>
    <row r="62" spans="1:19">
      <c r="A62" s="965"/>
      <c r="B62" s="137"/>
      <c r="C62" s="53">
        <f t="shared" si="12"/>
        <v>1</v>
      </c>
      <c r="D62" s="963"/>
      <c r="E62" s="53">
        <f t="shared" si="13"/>
        <v>0.1</v>
      </c>
      <c r="F62" s="963"/>
      <c r="G62" s="53">
        <f t="shared" si="14"/>
        <v>0.03</v>
      </c>
      <c r="H62" s="963"/>
      <c r="I62" s="53">
        <f t="shared" si="15"/>
        <v>0.03</v>
      </c>
      <c r="J62" s="963"/>
      <c r="K62" s="53">
        <f t="shared" si="16"/>
        <v>0</v>
      </c>
      <c r="L62" s="963"/>
      <c r="M62" s="53">
        <f t="shared" si="17"/>
        <v>2</v>
      </c>
      <c r="N62" s="963"/>
      <c r="O62" s="53">
        <f t="shared" si="18"/>
        <v>0.05</v>
      </c>
      <c r="P62" s="963"/>
      <c r="Q62" s="53">
        <f t="shared" si="19"/>
        <v>1</v>
      </c>
      <c r="R62" s="490">
        <f t="shared" si="20"/>
        <v>0</v>
      </c>
      <c r="S62" s="799">
        <f t="shared" si="21"/>
        <v>0</v>
      </c>
    </row>
    <row r="63" spans="1:19">
      <c r="A63" s="965"/>
      <c r="B63" s="137"/>
      <c r="C63" s="53">
        <f t="shared" si="12"/>
        <v>1</v>
      </c>
      <c r="D63" s="963"/>
      <c r="E63" s="53">
        <f t="shared" si="13"/>
        <v>0.1</v>
      </c>
      <c r="F63" s="963"/>
      <c r="G63" s="53">
        <f t="shared" si="14"/>
        <v>0.03</v>
      </c>
      <c r="H63" s="963"/>
      <c r="I63" s="53">
        <f t="shared" si="15"/>
        <v>0.03</v>
      </c>
      <c r="J63" s="963"/>
      <c r="K63" s="53">
        <f t="shared" si="16"/>
        <v>0</v>
      </c>
      <c r="L63" s="963"/>
      <c r="M63" s="53">
        <f t="shared" si="17"/>
        <v>2</v>
      </c>
      <c r="N63" s="963"/>
      <c r="O63" s="53">
        <f t="shared" si="18"/>
        <v>0.05</v>
      </c>
      <c r="P63" s="963"/>
      <c r="Q63" s="53">
        <f t="shared" si="19"/>
        <v>1</v>
      </c>
      <c r="R63" s="490">
        <f t="shared" si="20"/>
        <v>0</v>
      </c>
      <c r="S63" s="799">
        <f t="shared" si="21"/>
        <v>0</v>
      </c>
    </row>
    <row r="64" spans="1:19">
      <c r="A64" s="965"/>
      <c r="B64" s="137"/>
      <c r="C64" s="53">
        <f t="shared" si="12"/>
        <v>1</v>
      </c>
      <c r="D64" s="963"/>
      <c r="E64" s="53">
        <f t="shared" si="13"/>
        <v>0.1</v>
      </c>
      <c r="F64" s="963"/>
      <c r="G64" s="53">
        <f t="shared" si="14"/>
        <v>0.03</v>
      </c>
      <c r="H64" s="963"/>
      <c r="I64" s="53">
        <f t="shared" si="15"/>
        <v>0.03</v>
      </c>
      <c r="J64" s="963"/>
      <c r="K64" s="53">
        <f t="shared" si="16"/>
        <v>0</v>
      </c>
      <c r="L64" s="963"/>
      <c r="M64" s="53">
        <f t="shared" si="17"/>
        <v>2</v>
      </c>
      <c r="N64" s="963"/>
      <c r="O64" s="53">
        <f t="shared" si="18"/>
        <v>0.05</v>
      </c>
      <c r="P64" s="963"/>
      <c r="Q64" s="53">
        <f t="shared" si="19"/>
        <v>1</v>
      </c>
      <c r="R64" s="490">
        <f t="shared" si="20"/>
        <v>0</v>
      </c>
      <c r="S64" s="799">
        <f t="shared" si="21"/>
        <v>0</v>
      </c>
    </row>
    <row r="65" spans="1:19">
      <c r="A65" s="965"/>
      <c r="B65" s="137"/>
      <c r="C65" s="53">
        <f t="shared" si="12"/>
        <v>1</v>
      </c>
      <c r="D65" s="963"/>
      <c r="E65" s="53">
        <f t="shared" si="13"/>
        <v>0.1</v>
      </c>
      <c r="F65" s="963"/>
      <c r="G65" s="53">
        <f t="shared" si="14"/>
        <v>0.03</v>
      </c>
      <c r="H65" s="963"/>
      <c r="I65" s="53">
        <f t="shared" si="15"/>
        <v>0.03</v>
      </c>
      <c r="J65" s="963"/>
      <c r="K65" s="53">
        <f t="shared" si="16"/>
        <v>0</v>
      </c>
      <c r="L65" s="963"/>
      <c r="M65" s="53">
        <f t="shared" si="17"/>
        <v>2</v>
      </c>
      <c r="N65" s="963"/>
      <c r="O65" s="53">
        <f t="shared" si="18"/>
        <v>0.05</v>
      </c>
      <c r="P65" s="963"/>
      <c r="Q65" s="53">
        <f t="shared" si="19"/>
        <v>1</v>
      </c>
      <c r="R65" s="490">
        <f t="shared" si="20"/>
        <v>0</v>
      </c>
      <c r="S65" s="799">
        <f t="shared" si="21"/>
        <v>0</v>
      </c>
    </row>
    <row r="66" spans="1:19">
      <c r="A66" s="965"/>
      <c r="B66" s="137"/>
      <c r="C66" s="53">
        <f t="shared" si="12"/>
        <v>1</v>
      </c>
      <c r="D66" s="963"/>
      <c r="E66" s="53">
        <f t="shared" si="13"/>
        <v>0.1</v>
      </c>
      <c r="F66" s="963"/>
      <c r="G66" s="53">
        <f t="shared" si="14"/>
        <v>0.03</v>
      </c>
      <c r="H66" s="963"/>
      <c r="I66" s="53">
        <f t="shared" si="15"/>
        <v>0.03</v>
      </c>
      <c r="J66" s="963"/>
      <c r="K66" s="53">
        <f t="shared" si="16"/>
        <v>0</v>
      </c>
      <c r="L66" s="963"/>
      <c r="M66" s="53">
        <f t="shared" si="17"/>
        <v>2</v>
      </c>
      <c r="N66" s="963"/>
      <c r="O66" s="53">
        <f t="shared" si="18"/>
        <v>0.05</v>
      </c>
      <c r="P66" s="963"/>
      <c r="Q66" s="53">
        <f t="shared" si="19"/>
        <v>1</v>
      </c>
      <c r="R66" s="490">
        <f t="shared" si="20"/>
        <v>0</v>
      </c>
      <c r="S66" s="799">
        <f t="shared" si="21"/>
        <v>0</v>
      </c>
    </row>
    <row r="67" spans="1:19">
      <c r="A67" s="965"/>
      <c r="B67" s="137"/>
      <c r="C67" s="53">
        <f t="shared" si="12"/>
        <v>1</v>
      </c>
      <c r="D67" s="963"/>
      <c r="E67" s="53">
        <f t="shared" si="13"/>
        <v>0.1</v>
      </c>
      <c r="F67" s="963"/>
      <c r="G67" s="53">
        <f t="shared" si="14"/>
        <v>0.03</v>
      </c>
      <c r="H67" s="963"/>
      <c r="I67" s="53">
        <f t="shared" si="15"/>
        <v>0.03</v>
      </c>
      <c r="J67" s="963"/>
      <c r="K67" s="53">
        <f t="shared" si="16"/>
        <v>0</v>
      </c>
      <c r="L67" s="963"/>
      <c r="M67" s="53">
        <f t="shared" si="17"/>
        <v>2</v>
      </c>
      <c r="N67" s="963"/>
      <c r="O67" s="53">
        <f t="shared" si="18"/>
        <v>0.05</v>
      </c>
      <c r="P67" s="963"/>
      <c r="Q67" s="53">
        <f t="shared" si="19"/>
        <v>1</v>
      </c>
      <c r="R67" s="490">
        <f t="shared" si="20"/>
        <v>0</v>
      </c>
      <c r="S67" s="799">
        <f t="shared" si="21"/>
        <v>0</v>
      </c>
    </row>
    <row r="68" spans="1:19">
      <c r="A68" s="965"/>
      <c r="B68" s="137"/>
      <c r="C68" s="53">
        <f t="shared" si="12"/>
        <v>1</v>
      </c>
      <c r="D68" s="963"/>
      <c r="E68" s="53">
        <f t="shared" si="13"/>
        <v>0.1</v>
      </c>
      <c r="F68" s="963"/>
      <c r="G68" s="53">
        <f t="shared" si="14"/>
        <v>0.03</v>
      </c>
      <c r="H68" s="963"/>
      <c r="I68" s="53">
        <f t="shared" si="15"/>
        <v>0.03</v>
      </c>
      <c r="J68" s="963"/>
      <c r="K68" s="53">
        <f t="shared" si="16"/>
        <v>0</v>
      </c>
      <c r="L68" s="963"/>
      <c r="M68" s="53">
        <f t="shared" si="17"/>
        <v>2</v>
      </c>
      <c r="N68" s="963"/>
      <c r="O68" s="53">
        <f t="shared" si="18"/>
        <v>0.05</v>
      </c>
      <c r="P68" s="963"/>
      <c r="Q68" s="53">
        <f t="shared" si="19"/>
        <v>1</v>
      </c>
      <c r="R68" s="490">
        <f t="shared" si="20"/>
        <v>0</v>
      </c>
      <c r="S68" s="799">
        <f t="shared" si="21"/>
        <v>0</v>
      </c>
    </row>
    <row r="69" spans="1:19">
      <c r="A69" s="965"/>
      <c r="B69" s="137"/>
      <c r="C69" s="53">
        <f t="shared" si="12"/>
        <v>1</v>
      </c>
      <c r="D69" s="963"/>
      <c r="E69" s="53">
        <f t="shared" si="13"/>
        <v>0.1</v>
      </c>
      <c r="F69" s="963"/>
      <c r="G69" s="53">
        <f t="shared" si="14"/>
        <v>0.03</v>
      </c>
      <c r="H69" s="963"/>
      <c r="I69" s="53">
        <f t="shared" si="15"/>
        <v>0.03</v>
      </c>
      <c r="J69" s="963"/>
      <c r="K69" s="53">
        <f t="shared" si="16"/>
        <v>0</v>
      </c>
      <c r="L69" s="963"/>
      <c r="M69" s="53">
        <f t="shared" si="17"/>
        <v>2</v>
      </c>
      <c r="N69" s="963"/>
      <c r="O69" s="53">
        <f t="shared" si="18"/>
        <v>0.05</v>
      </c>
      <c r="P69" s="963"/>
      <c r="Q69" s="53">
        <f t="shared" si="19"/>
        <v>1</v>
      </c>
      <c r="R69" s="490">
        <f t="shared" si="20"/>
        <v>0</v>
      </c>
      <c r="S69" s="799">
        <f t="shared" si="21"/>
        <v>0</v>
      </c>
    </row>
    <row r="70" spans="1:19">
      <c r="A70" s="965"/>
      <c r="B70" s="137"/>
      <c r="C70" s="53">
        <f t="shared" si="12"/>
        <v>1</v>
      </c>
      <c r="D70" s="963"/>
      <c r="E70" s="53">
        <f t="shared" si="13"/>
        <v>0.1</v>
      </c>
      <c r="F70" s="963"/>
      <c r="G70" s="53">
        <f t="shared" si="14"/>
        <v>0.03</v>
      </c>
      <c r="H70" s="963"/>
      <c r="I70" s="53">
        <f t="shared" si="15"/>
        <v>0.03</v>
      </c>
      <c r="J70" s="963"/>
      <c r="K70" s="53">
        <f t="shared" si="16"/>
        <v>0</v>
      </c>
      <c r="L70" s="963"/>
      <c r="M70" s="53">
        <f t="shared" si="17"/>
        <v>2</v>
      </c>
      <c r="N70" s="963"/>
      <c r="O70" s="53">
        <f t="shared" si="18"/>
        <v>0.05</v>
      </c>
      <c r="P70" s="963"/>
      <c r="Q70" s="53">
        <f t="shared" si="19"/>
        <v>1</v>
      </c>
      <c r="R70" s="490">
        <f t="shared" si="20"/>
        <v>0</v>
      </c>
      <c r="S70" s="799">
        <f t="shared" si="21"/>
        <v>0</v>
      </c>
    </row>
    <row r="71" spans="1:19">
      <c r="A71" s="965"/>
      <c r="B71" s="137"/>
      <c r="C71" s="53">
        <f t="shared" si="12"/>
        <v>1</v>
      </c>
      <c r="D71" s="963"/>
      <c r="E71" s="53">
        <f t="shared" si="13"/>
        <v>0.1</v>
      </c>
      <c r="F71" s="963"/>
      <c r="G71" s="53">
        <f t="shared" si="14"/>
        <v>0.03</v>
      </c>
      <c r="H71" s="963"/>
      <c r="I71" s="53">
        <f t="shared" si="15"/>
        <v>0.03</v>
      </c>
      <c r="J71" s="963"/>
      <c r="K71" s="53">
        <f t="shared" si="16"/>
        <v>0</v>
      </c>
      <c r="L71" s="963"/>
      <c r="M71" s="53">
        <f t="shared" si="17"/>
        <v>2</v>
      </c>
      <c r="N71" s="963"/>
      <c r="O71" s="53">
        <f t="shared" si="18"/>
        <v>0.05</v>
      </c>
      <c r="P71" s="963"/>
      <c r="Q71" s="53">
        <f t="shared" si="19"/>
        <v>1</v>
      </c>
      <c r="R71" s="490">
        <f t="shared" si="20"/>
        <v>0</v>
      </c>
      <c r="S71" s="799">
        <f t="shared" si="21"/>
        <v>0</v>
      </c>
    </row>
    <row r="72" spans="1:19">
      <c r="A72" s="965"/>
      <c r="B72" s="137"/>
      <c r="C72" s="53">
        <f t="shared" si="12"/>
        <v>1</v>
      </c>
      <c r="D72" s="963"/>
      <c r="E72" s="53">
        <f t="shared" si="13"/>
        <v>0.1</v>
      </c>
      <c r="F72" s="963"/>
      <c r="G72" s="53">
        <f t="shared" si="14"/>
        <v>0.03</v>
      </c>
      <c r="H72" s="963"/>
      <c r="I72" s="53">
        <f t="shared" si="15"/>
        <v>0.03</v>
      </c>
      <c r="J72" s="963"/>
      <c r="K72" s="53">
        <f t="shared" si="16"/>
        <v>0</v>
      </c>
      <c r="L72" s="963"/>
      <c r="M72" s="53">
        <f t="shared" si="17"/>
        <v>2</v>
      </c>
      <c r="N72" s="963"/>
      <c r="O72" s="53">
        <f t="shared" si="18"/>
        <v>0.05</v>
      </c>
      <c r="P72" s="963"/>
      <c r="Q72" s="53">
        <f t="shared" si="19"/>
        <v>1</v>
      </c>
      <c r="R72" s="490">
        <f t="shared" si="20"/>
        <v>0</v>
      </c>
      <c r="S72" s="799">
        <f t="shared" si="21"/>
        <v>0</v>
      </c>
    </row>
    <row r="73" spans="1:19">
      <c r="A73" s="965"/>
      <c r="B73" s="137"/>
      <c r="C73" s="53">
        <f t="shared" si="12"/>
        <v>1</v>
      </c>
      <c r="D73" s="963"/>
      <c r="E73" s="53">
        <f t="shared" si="13"/>
        <v>0.1</v>
      </c>
      <c r="F73" s="963"/>
      <c r="G73" s="53">
        <f t="shared" si="14"/>
        <v>0.03</v>
      </c>
      <c r="H73" s="963"/>
      <c r="I73" s="53">
        <f t="shared" si="15"/>
        <v>0.03</v>
      </c>
      <c r="J73" s="963"/>
      <c r="K73" s="53">
        <f t="shared" si="16"/>
        <v>0</v>
      </c>
      <c r="L73" s="963"/>
      <c r="M73" s="53">
        <f t="shared" si="17"/>
        <v>2</v>
      </c>
      <c r="N73" s="963"/>
      <c r="O73" s="53">
        <f t="shared" si="18"/>
        <v>0.05</v>
      </c>
      <c r="P73" s="963"/>
      <c r="Q73" s="53">
        <f t="shared" si="19"/>
        <v>1</v>
      </c>
      <c r="R73" s="490">
        <f t="shared" si="20"/>
        <v>0</v>
      </c>
      <c r="S73" s="799">
        <f t="shared" si="21"/>
        <v>0</v>
      </c>
    </row>
    <row r="74" spans="1:19">
      <c r="A74" s="965"/>
      <c r="B74" s="137"/>
      <c r="C74" s="53">
        <f t="shared" si="12"/>
        <v>1</v>
      </c>
      <c r="D74" s="963"/>
      <c r="E74" s="53">
        <f t="shared" si="13"/>
        <v>0.1</v>
      </c>
      <c r="F74" s="963"/>
      <c r="G74" s="53">
        <f t="shared" si="14"/>
        <v>0.03</v>
      </c>
      <c r="H74" s="963"/>
      <c r="I74" s="53">
        <f t="shared" si="15"/>
        <v>0.03</v>
      </c>
      <c r="J74" s="963"/>
      <c r="K74" s="53">
        <f t="shared" si="16"/>
        <v>0</v>
      </c>
      <c r="L74" s="963"/>
      <c r="M74" s="53">
        <f t="shared" si="17"/>
        <v>2</v>
      </c>
      <c r="N74" s="963"/>
      <c r="O74" s="53">
        <f t="shared" si="18"/>
        <v>0.05</v>
      </c>
      <c r="P74" s="963"/>
      <c r="Q74" s="53">
        <f t="shared" si="19"/>
        <v>1</v>
      </c>
      <c r="R74" s="490">
        <f t="shared" si="20"/>
        <v>0</v>
      </c>
      <c r="S74" s="799">
        <f t="shared" si="21"/>
        <v>0</v>
      </c>
    </row>
    <row r="75" spans="1:19">
      <c r="A75" s="965"/>
      <c r="B75" s="137"/>
      <c r="C75" s="53">
        <f t="shared" si="12"/>
        <v>1</v>
      </c>
      <c r="D75" s="963"/>
      <c r="E75" s="53">
        <f t="shared" si="13"/>
        <v>0.1</v>
      </c>
      <c r="F75" s="963"/>
      <c r="G75" s="53">
        <f t="shared" si="14"/>
        <v>0.03</v>
      </c>
      <c r="H75" s="963"/>
      <c r="I75" s="53">
        <f t="shared" si="15"/>
        <v>0.03</v>
      </c>
      <c r="J75" s="963"/>
      <c r="K75" s="53">
        <f t="shared" si="16"/>
        <v>0</v>
      </c>
      <c r="L75" s="963"/>
      <c r="M75" s="53">
        <f t="shared" si="17"/>
        <v>2</v>
      </c>
      <c r="N75" s="963"/>
      <c r="O75" s="53">
        <f t="shared" si="18"/>
        <v>0.05</v>
      </c>
      <c r="P75" s="963"/>
      <c r="Q75" s="53">
        <f t="shared" si="19"/>
        <v>1</v>
      </c>
      <c r="R75" s="490">
        <f t="shared" si="20"/>
        <v>0</v>
      </c>
      <c r="S75" s="799">
        <f t="shared" si="21"/>
        <v>0</v>
      </c>
    </row>
    <row r="76" spans="1:19">
      <c r="A76" s="965"/>
      <c r="B76" s="137"/>
      <c r="C76" s="53">
        <f t="shared" si="12"/>
        <v>1</v>
      </c>
      <c r="D76" s="963"/>
      <c r="E76" s="53">
        <f t="shared" si="13"/>
        <v>0.1</v>
      </c>
      <c r="F76" s="963"/>
      <c r="G76" s="53">
        <f t="shared" si="14"/>
        <v>0.03</v>
      </c>
      <c r="H76" s="963"/>
      <c r="I76" s="53">
        <f t="shared" si="15"/>
        <v>0.03</v>
      </c>
      <c r="J76" s="963"/>
      <c r="K76" s="53">
        <f t="shared" si="16"/>
        <v>0</v>
      </c>
      <c r="L76" s="963"/>
      <c r="M76" s="53">
        <f t="shared" si="17"/>
        <v>2</v>
      </c>
      <c r="N76" s="963"/>
      <c r="O76" s="53">
        <f t="shared" si="18"/>
        <v>0.05</v>
      </c>
      <c r="P76" s="963"/>
      <c r="Q76" s="53">
        <f t="shared" si="19"/>
        <v>1</v>
      </c>
      <c r="R76" s="490">
        <f t="shared" si="20"/>
        <v>0</v>
      </c>
      <c r="S76" s="799">
        <f t="shared" si="21"/>
        <v>0</v>
      </c>
    </row>
    <row r="77" spans="1:19">
      <c r="A77" s="965"/>
      <c r="B77" s="137"/>
      <c r="C77" s="53">
        <f t="shared" si="12"/>
        <v>1</v>
      </c>
      <c r="D77" s="963"/>
      <c r="E77" s="53">
        <f t="shared" si="13"/>
        <v>0.1</v>
      </c>
      <c r="F77" s="963"/>
      <c r="G77" s="53">
        <f t="shared" si="14"/>
        <v>0.03</v>
      </c>
      <c r="H77" s="963"/>
      <c r="I77" s="53">
        <f t="shared" si="15"/>
        <v>0.03</v>
      </c>
      <c r="J77" s="963"/>
      <c r="K77" s="53">
        <f t="shared" si="16"/>
        <v>0</v>
      </c>
      <c r="L77" s="963"/>
      <c r="M77" s="53">
        <f t="shared" si="17"/>
        <v>2</v>
      </c>
      <c r="N77" s="963"/>
      <c r="O77" s="53">
        <f t="shared" si="18"/>
        <v>0.05</v>
      </c>
      <c r="P77" s="963"/>
      <c r="Q77" s="53">
        <f t="shared" si="19"/>
        <v>1</v>
      </c>
      <c r="R77" s="490">
        <f t="shared" si="20"/>
        <v>0</v>
      </c>
      <c r="S77" s="799">
        <f t="shared" si="21"/>
        <v>0</v>
      </c>
    </row>
    <row r="78" spans="1:19">
      <c r="A78" s="965"/>
      <c r="B78" s="137"/>
      <c r="C78" s="53">
        <f t="shared" si="12"/>
        <v>1</v>
      </c>
      <c r="D78" s="963"/>
      <c r="E78" s="53">
        <f t="shared" si="13"/>
        <v>0.1</v>
      </c>
      <c r="F78" s="963"/>
      <c r="G78" s="53">
        <f t="shared" si="14"/>
        <v>0.03</v>
      </c>
      <c r="H78" s="963"/>
      <c r="I78" s="53">
        <f t="shared" si="15"/>
        <v>0.03</v>
      </c>
      <c r="J78" s="963"/>
      <c r="K78" s="53">
        <f t="shared" si="16"/>
        <v>0</v>
      </c>
      <c r="L78" s="963"/>
      <c r="M78" s="53">
        <f t="shared" si="17"/>
        <v>2</v>
      </c>
      <c r="N78" s="963"/>
      <c r="O78" s="53">
        <f t="shared" si="18"/>
        <v>0.05</v>
      </c>
      <c r="P78" s="963"/>
      <c r="Q78" s="53">
        <f t="shared" si="19"/>
        <v>1</v>
      </c>
      <c r="R78" s="490">
        <f t="shared" si="20"/>
        <v>0</v>
      </c>
      <c r="S78" s="799">
        <f t="shared" ref="S78:S122" si="22">ROUND(R78*B78/10000,0)</f>
        <v>0</v>
      </c>
    </row>
    <row r="79" spans="1:19">
      <c r="A79" s="965"/>
      <c r="B79" s="137"/>
      <c r="C79" s="53">
        <f t="shared" si="12"/>
        <v>1</v>
      </c>
      <c r="D79" s="963"/>
      <c r="E79" s="53">
        <f t="shared" si="13"/>
        <v>0.1</v>
      </c>
      <c r="F79" s="963"/>
      <c r="G79" s="53">
        <f t="shared" si="14"/>
        <v>0.03</v>
      </c>
      <c r="H79" s="963"/>
      <c r="I79" s="53">
        <f t="shared" si="15"/>
        <v>0.03</v>
      </c>
      <c r="J79" s="963"/>
      <c r="K79" s="53">
        <f t="shared" si="16"/>
        <v>0</v>
      </c>
      <c r="L79" s="963"/>
      <c r="M79" s="53">
        <f t="shared" si="17"/>
        <v>2</v>
      </c>
      <c r="N79" s="963"/>
      <c r="O79" s="53">
        <f t="shared" si="18"/>
        <v>0.05</v>
      </c>
      <c r="P79" s="963"/>
      <c r="Q79" s="53">
        <f t="shared" si="19"/>
        <v>1</v>
      </c>
      <c r="R79" s="490">
        <f t="shared" si="20"/>
        <v>0</v>
      </c>
      <c r="S79" s="799">
        <f t="shared" si="22"/>
        <v>0</v>
      </c>
    </row>
    <row r="80" spans="1:19">
      <c r="A80" s="965"/>
      <c r="B80" s="137"/>
      <c r="C80" s="53">
        <f t="shared" si="12"/>
        <v>1</v>
      </c>
      <c r="D80" s="963"/>
      <c r="E80" s="53">
        <f t="shared" si="13"/>
        <v>0.1</v>
      </c>
      <c r="F80" s="963"/>
      <c r="G80" s="53">
        <f t="shared" si="14"/>
        <v>0.03</v>
      </c>
      <c r="H80" s="963"/>
      <c r="I80" s="53">
        <f t="shared" si="15"/>
        <v>0.03</v>
      </c>
      <c r="J80" s="963"/>
      <c r="K80" s="53">
        <f t="shared" si="16"/>
        <v>0</v>
      </c>
      <c r="L80" s="963"/>
      <c r="M80" s="53">
        <f t="shared" si="17"/>
        <v>2</v>
      </c>
      <c r="N80" s="963"/>
      <c r="O80" s="53">
        <f t="shared" si="18"/>
        <v>0.05</v>
      </c>
      <c r="P80" s="963"/>
      <c r="Q80" s="53">
        <f t="shared" si="19"/>
        <v>1</v>
      </c>
      <c r="R80" s="490">
        <f t="shared" si="20"/>
        <v>0</v>
      </c>
      <c r="S80" s="799">
        <f t="shared" si="22"/>
        <v>0</v>
      </c>
    </row>
    <row r="81" spans="1:19">
      <c r="A81" s="965"/>
      <c r="B81" s="137"/>
      <c r="C81" s="53">
        <f t="shared" si="12"/>
        <v>1</v>
      </c>
      <c r="D81" s="963"/>
      <c r="E81" s="53">
        <f t="shared" si="13"/>
        <v>0.1</v>
      </c>
      <c r="F81" s="963"/>
      <c r="G81" s="53">
        <f t="shared" si="14"/>
        <v>0.03</v>
      </c>
      <c r="H81" s="963"/>
      <c r="I81" s="53">
        <f t="shared" si="15"/>
        <v>0.03</v>
      </c>
      <c r="J81" s="963"/>
      <c r="K81" s="53">
        <f t="shared" si="16"/>
        <v>0</v>
      </c>
      <c r="L81" s="963"/>
      <c r="M81" s="53">
        <f t="shared" si="17"/>
        <v>2</v>
      </c>
      <c r="N81" s="963"/>
      <c r="O81" s="53">
        <f t="shared" si="18"/>
        <v>0.05</v>
      </c>
      <c r="P81" s="963"/>
      <c r="Q81" s="53">
        <f t="shared" si="19"/>
        <v>1</v>
      </c>
      <c r="R81" s="490">
        <f t="shared" si="20"/>
        <v>0</v>
      </c>
      <c r="S81" s="799">
        <f t="shared" si="22"/>
        <v>0</v>
      </c>
    </row>
    <row r="82" spans="1:19">
      <c r="A82" s="965"/>
      <c r="B82" s="137"/>
      <c r="C82" s="53">
        <f t="shared" si="12"/>
        <v>1</v>
      </c>
      <c r="D82" s="963"/>
      <c r="E82" s="53">
        <f t="shared" si="13"/>
        <v>0.1</v>
      </c>
      <c r="F82" s="963"/>
      <c r="G82" s="53">
        <f t="shared" si="14"/>
        <v>0.03</v>
      </c>
      <c r="H82" s="963"/>
      <c r="I82" s="53">
        <f t="shared" si="15"/>
        <v>0.03</v>
      </c>
      <c r="J82" s="963"/>
      <c r="K82" s="53">
        <f t="shared" si="16"/>
        <v>0</v>
      </c>
      <c r="L82" s="963"/>
      <c r="M82" s="53">
        <f t="shared" si="17"/>
        <v>2</v>
      </c>
      <c r="N82" s="963"/>
      <c r="O82" s="53">
        <f t="shared" si="18"/>
        <v>0.05</v>
      </c>
      <c r="P82" s="963"/>
      <c r="Q82" s="53">
        <f t="shared" si="19"/>
        <v>1</v>
      </c>
      <c r="R82" s="490">
        <f t="shared" si="20"/>
        <v>0</v>
      </c>
      <c r="S82" s="799">
        <f t="shared" si="22"/>
        <v>0</v>
      </c>
    </row>
    <row r="83" spans="1:19">
      <c r="A83" s="965"/>
      <c r="B83" s="137"/>
      <c r="C83" s="53">
        <f t="shared" si="12"/>
        <v>1</v>
      </c>
      <c r="D83" s="963"/>
      <c r="E83" s="53">
        <f t="shared" si="13"/>
        <v>0.1</v>
      </c>
      <c r="F83" s="963"/>
      <c r="G83" s="53">
        <f t="shared" si="14"/>
        <v>0.03</v>
      </c>
      <c r="H83" s="963"/>
      <c r="I83" s="53">
        <f t="shared" si="15"/>
        <v>0.03</v>
      </c>
      <c r="J83" s="963"/>
      <c r="K83" s="53">
        <f t="shared" si="16"/>
        <v>0</v>
      </c>
      <c r="L83" s="963"/>
      <c r="M83" s="53">
        <f t="shared" si="17"/>
        <v>2</v>
      </c>
      <c r="N83" s="963"/>
      <c r="O83" s="53">
        <f t="shared" si="18"/>
        <v>0.05</v>
      </c>
      <c r="P83" s="963"/>
      <c r="Q83" s="53">
        <f t="shared" si="19"/>
        <v>1</v>
      </c>
      <c r="R83" s="490">
        <f t="shared" si="20"/>
        <v>0</v>
      </c>
      <c r="S83" s="799">
        <f t="shared" si="22"/>
        <v>0</v>
      </c>
    </row>
    <row r="84" spans="1:19">
      <c r="A84" s="965"/>
      <c r="B84" s="137"/>
      <c r="C84" s="53">
        <f t="shared" si="12"/>
        <v>1</v>
      </c>
      <c r="D84" s="963"/>
      <c r="E84" s="53">
        <f t="shared" si="13"/>
        <v>0.1</v>
      </c>
      <c r="F84" s="963"/>
      <c r="G84" s="53">
        <f t="shared" si="14"/>
        <v>0.03</v>
      </c>
      <c r="H84" s="963"/>
      <c r="I84" s="53">
        <f t="shared" si="15"/>
        <v>0.03</v>
      </c>
      <c r="J84" s="963"/>
      <c r="K84" s="53">
        <f t="shared" si="16"/>
        <v>0</v>
      </c>
      <c r="L84" s="963"/>
      <c r="M84" s="53">
        <f t="shared" si="17"/>
        <v>2</v>
      </c>
      <c r="N84" s="963"/>
      <c r="O84" s="53">
        <f t="shared" si="18"/>
        <v>0.05</v>
      </c>
      <c r="P84" s="963"/>
      <c r="Q84" s="53">
        <f t="shared" si="19"/>
        <v>1</v>
      </c>
      <c r="R84" s="490">
        <f t="shared" si="20"/>
        <v>0</v>
      </c>
      <c r="S84" s="799">
        <f t="shared" si="22"/>
        <v>0</v>
      </c>
    </row>
    <row r="85" spans="1:19">
      <c r="A85" s="965"/>
      <c r="B85" s="137"/>
      <c r="C85" s="53">
        <f t="shared" si="12"/>
        <v>1</v>
      </c>
      <c r="D85" s="963"/>
      <c r="E85" s="53">
        <f t="shared" si="13"/>
        <v>0.1</v>
      </c>
      <c r="F85" s="963"/>
      <c r="G85" s="53">
        <f t="shared" si="14"/>
        <v>0.03</v>
      </c>
      <c r="H85" s="963"/>
      <c r="I85" s="53">
        <f t="shared" si="15"/>
        <v>0.03</v>
      </c>
      <c r="J85" s="963"/>
      <c r="K85" s="53">
        <f t="shared" si="16"/>
        <v>0</v>
      </c>
      <c r="L85" s="963"/>
      <c r="M85" s="53">
        <f t="shared" si="17"/>
        <v>2</v>
      </c>
      <c r="N85" s="963"/>
      <c r="O85" s="53">
        <f t="shared" si="18"/>
        <v>0.05</v>
      </c>
      <c r="P85" s="963"/>
      <c r="Q85" s="53">
        <f t="shared" si="19"/>
        <v>1</v>
      </c>
      <c r="R85" s="490">
        <f t="shared" si="20"/>
        <v>0</v>
      </c>
      <c r="S85" s="799">
        <f t="shared" si="22"/>
        <v>0</v>
      </c>
    </row>
    <row r="86" spans="1:19">
      <c r="A86" s="965"/>
      <c r="B86" s="137"/>
      <c r="C86" s="53">
        <f t="shared" si="12"/>
        <v>1</v>
      </c>
      <c r="D86" s="963"/>
      <c r="E86" s="53">
        <f t="shared" si="13"/>
        <v>0.1</v>
      </c>
      <c r="F86" s="963"/>
      <c r="G86" s="53">
        <f t="shared" si="14"/>
        <v>0.03</v>
      </c>
      <c r="H86" s="963"/>
      <c r="I86" s="53">
        <f t="shared" si="15"/>
        <v>0.03</v>
      </c>
      <c r="J86" s="963"/>
      <c r="K86" s="53">
        <f t="shared" si="16"/>
        <v>0</v>
      </c>
      <c r="L86" s="963"/>
      <c r="M86" s="53">
        <f t="shared" si="17"/>
        <v>2</v>
      </c>
      <c r="N86" s="963"/>
      <c r="O86" s="53">
        <f t="shared" si="18"/>
        <v>0.05</v>
      </c>
      <c r="P86" s="963"/>
      <c r="Q86" s="53">
        <f t="shared" si="19"/>
        <v>1</v>
      </c>
      <c r="R86" s="490">
        <f t="shared" si="20"/>
        <v>0</v>
      </c>
      <c r="S86" s="799">
        <f t="shared" si="22"/>
        <v>0</v>
      </c>
    </row>
    <row r="87" spans="1:19">
      <c r="A87" s="965"/>
      <c r="B87" s="137"/>
      <c r="C87" s="53">
        <f t="shared" si="12"/>
        <v>1</v>
      </c>
      <c r="D87" s="963"/>
      <c r="E87" s="53">
        <f t="shared" si="13"/>
        <v>0.1</v>
      </c>
      <c r="F87" s="963"/>
      <c r="G87" s="53">
        <f t="shared" si="14"/>
        <v>0.03</v>
      </c>
      <c r="H87" s="963"/>
      <c r="I87" s="53">
        <f t="shared" si="15"/>
        <v>0.03</v>
      </c>
      <c r="J87" s="963"/>
      <c r="K87" s="53">
        <f t="shared" si="16"/>
        <v>0</v>
      </c>
      <c r="L87" s="963"/>
      <c r="M87" s="53">
        <f t="shared" si="17"/>
        <v>2</v>
      </c>
      <c r="N87" s="963"/>
      <c r="O87" s="53">
        <f t="shared" si="18"/>
        <v>0.05</v>
      </c>
      <c r="P87" s="963"/>
      <c r="Q87" s="53">
        <f t="shared" si="19"/>
        <v>1</v>
      </c>
      <c r="R87" s="490">
        <f t="shared" si="20"/>
        <v>0</v>
      </c>
      <c r="S87" s="799">
        <f t="shared" si="22"/>
        <v>0</v>
      </c>
    </row>
    <row r="88" spans="1:19">
      <c r="A88" s="965"/>
      <c r="B88" s="137"/>
      <c r="C88" s="53">
        <f t="shared" si="12"/>
        <v>1</v>
      </c>
      <c r="D88" s="963"/>
      <c r="E88" s="53">
        <f t="shared" si="13"/>
        <v>0.1</v>
      </c>
      <c r="F88" s="963"/>
      <c r="G88" s="53">
        <f t="shared" si="14"/>
        <v>0.03</v>
      </c>
      <c r="H88" s="963"/>
      <c r="I88" s="53">
        <f t="shared" si="15"/>
        <v>0.03</v>
      </c>
      <c r="J88" s="963"/>
      <c r="K88" s="53">
        <f t="shared" si="16"/>
        <v>0</v>
      </c>
      <c r="L88" s="963"/>
      <c r="M88" s="53">
        <f t="shared" si="17"/>
        <v>2</v>
      </c>
      <c r="N88" s="963"/>
      <c r="O88" s="53">
        <f t="shared" si="18"/>
        <v>0.05</v>
      </c>
      <c r="P88" s="963"/>
      <c r="Q88" s="53">
        <f t="shared" si="19"/>
        <v>1</v>
      </c>
      <c r="R88" s="490">
        <f t="shared" si="20"/>
        <v>0</v>
      </c>
      <c r="S88" s="799">
        <f t="shared" si="22"/>
        <v>0</v>
      </c>
    </row>
    <row r="89" spans="1:19">
      <c r="A89" s="965"/>
      <c r="B89" s="137"/>
      <c r="C89" s="53">
        <f t="shared" si="12"/>
        <v>1</v>
      </c>
      <c r="D89" s="963"/>
      <c r="E89" s="53">
        <f t="shared" si="13"/>
        <v>0.1</v>
      </c>
      <c r="F89" s="963"/>
      <c r="G89" s="53">
        <f t="shared" si="14"/>
        <v>0.03</v>
      </c>
      <c r="H89" s="963"/>
      <c r="I89" s="53">
        <f t="shared" si="15"/>
        <v>0.03</v>
      </c>
      <c r="J89" s="963"/>
      <c r="K89" s="53">
        <f t="shared" si="16"/>
        <v>0</v>
      </c>
      <c r="L89" s="963"/>
      <c r="M89" s="53">
        <f t="shared" si="17"/>
        <v>2</v>
      </c>
      <c r="N89" s="963"/>
      <c r="O89" s="53">
        <f t="shared" si="18"/>
        <v>0.05</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0.1</v>
      </c>
      <c r="F90" s="963"/>
      <c r="G90" s="53">
        <f t="shared" ref="G90:G153" si="25">(SUMIF($7:$7,F90,$8:$8)-SUMIF($7:$7,$F$24,$8:$8)+100)/100</f>
        <v>0.03</v>
      </c>
      <c r="H90" s="963"/>
      <c r="I90" s="53">
        <f t="shared" ref="I90:I153" si="26">(SUMIF($9:$9,H90,$10:$10)-SUMIF($9:$9,$H$24,$10:$10)+100)/100</f>
        <v>0.03</v>
      </c>
      <c r="J90" s="963"/>
      <c r="K90" s="53">
        <f t="shared" ref="K90:K153" si="27">(SUMIF($11:$11,J90,$12:$12)-SUMIF($11:$11,$J$24,$12:$12)+100)/100</f>
        <v>0</v>
      </c>
      <c r="L90" s="963"/>
      <c r="M90" s="53">
        <f t="shared" ref="M90:M153" si="28">(SUMIF($13:$13,L90,$14:$14)-SUMIF($13:$13,$L$24,$14:$14)+100)/100</f>
        <v>2</v>
      </c>
      <c r="N90" s="963"/>
      <c r="O90" s="53">
        <f t="shared" ref="O90:O153" si="29">(SUMIF($15:$15,N90,$16:$16)-SUMIF($15:$15,$N$24,$16:$16)+100)/100</f>
        <v>0.05</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0.03</v>
      </c>
      <c r="H91" s="963"/>
      <c r="I91" s="53">
        <f t="shared" si="26"/>
        <v>0.03</v>
      </c>
      <c r="J91" s="963"/>
      <c r="K91" s="53">
        <f t="shared" si="27"/>
        <v>0</v>
      </c>
      <c r="L91" s="963"/>
      <c r="M91" s="53">
        <f t="shared" si="28"/>
        <v>2</v>
      </c>
      <c r="N91" s="963"/>
      <c r="O91" s="53">
        <f t="shared" si="29"/>
        <v>0.05</v>
      </c>
      <c r="P91" s="963"/>
      <c r="Q91" s="53">
        <f t="shared" si="30"/>
        <v>1</v>
      </c>
      <c r="R91" s="490">
        <f t="shared" si="31"/>
        <v>0</v>
      </c>
      <c r="S91" s="799">
        <f t="shared" si="22"/>
        <v>0</v>
      </c>
    </row>
    <row r="92" spans="1:19">
      <c r="A92" s="965"/>
      <c r="B92" s="137"/>
      <c r="C92" s="53">
        <f t="shared" si="23"/>
        <v>1</v>
      </c>
      <c r="D92" s="963"/>
      <c r="E92" s="53">
        <f t="shared" si="24"/>
        <v>0.1</v>
      </c>
      <c r="F92" s="963"/>
      <c r="G92" s="53">
        <f t="shared" si="25"/>
        <v>0.03</v>
      </c>
      <c r="H92" s="963"/>
      <c r="I92" s="53">
        <f t="shared" si="26"/>
        <v>0.03</v>
      </c>
      <c r="J92" s="963"/>
      <c r="K92" s="53">
        <f t="shared" si="27"/>
        <v>0</v>
      </c>
      <c r="L92" s="963"/>
      <c r="M92" s="53">
        <f t="shared" si="28"/>
        <v>2</v>
      </c>
      <c r="N92" s="963"/>
      <c r="O92" s="53">
        <f t="shared" si="29"/>
        <v>0.05</v>
      </c>
      <c r="P92" s="963"/>
      <c r="Q92" s="53">
        <f t="shared" si="30"/>
        <v>1</v>
      </c>
      <c r="R92" s="490">
        <f t="shared" si="31"/>
        <v>0</v>
      </c>
      <c r="S92" s="799">
        <f t="shared" si="22"/>
        <v>0</v>
      </c>
    </row>
    <row r="93" spans="1:19">
      <c r="A93" s="965"/>
      <c r="B93" s="137"/>
      <c r="C93" s="53">
        <f t="shared" si="23"/>
        <v>1</v>
      </c>
      <c r="D93" s="963"/>
      <c r="E93" s="53">
        <f t="shared" si="24"/>
        <v>0.1</v>
      </c>
      <c r="F93" s="963"/>
      <c r="G93" s="53">
        <f t="shared" si="25"/>
        <v>0.03</v>
      </c>
      <c r="H93" s="963"/>
      <c r="I93" s="53">
        <f t="shared" si="26"/>
        <v>0.03</v>
      </c>
      <c r="J93" s="963"/>
      <c r="K93" s="53">
        <f t="shared" si="27"/>
        <v>0</v>
      </c>
      <c r="L93" s="963"/>
      <c r="M93" s="53">
        <f t="shared" si="28"/>
        <v>2</v>
      </c>
      <c r="N93" s="963"/>
      <c r="O93" s="53">
        <f t="shared" si="29"/>
        <v>0.05</v>
      </c>
      <c r="P93" s="963"/>
      <c r="Q93" s="53">
        <f t="shared" si="30"/>
        <v>1</v>
      </c>
      <c r="R93" s="490">
        <f t="shared" si="31"/>
        <v>0</v>
      </c>
      <c r="S93" s="799">
        <f t="shared" si="22"/>
        <v>0</v>
      </c>
    </row>
    <row r="94" spans="1:19">
      <c r="A94" s="965"/>
      <c r="B94" s="137"/>
      <c r="C94" s="53">
        <f t="shared" si="23"/>
        <v>1</v>
      </c>
      <c r="D94" s="963"/>
      <c r="E94" s="53">
        <f t="shared" si="24"/>
        <v>0.1</v>
      </c>
      <c r="F94" s="963"/>
      <c r="G94" s="53">
        <f t="shared" si="25"/>
        <v>0.03</v>
      </c>
      <c r="H94" s="963"/>
      <c r="I94" s="53">
        <f t="shared" si="26"/>
        <v>0.03</v>
      </c>
      <c r="J94" s="963"/>
      <c r="K94" s="53">
        <f t="shared" si="27"/>
        <v>0</v>
      </c>
      <c r="L94" s="963"/>
      <c r="M94" s="53">
        <f t="shared" si="28"/>
        <v>2</v>
      </c>
      <c r="N94" s="963"/>
      <c r="O94" s="53">
        <f t="shared" si="29"/>
        <v>0.05</v>
      </c>
      <c r="P94" s="963"/>
      <c r="Q94" s="53">
        <f t="shared" si="30"/>
        <v>1</v>
      </c>
      <c r="R94" s="490">
        <f t="shared" si="31"/>
        <v>0</v>
      </c>
      <c r="S94" s="799">
        <f t="shared" si="22"/>
        <v>0</v>
      </c>
    </row>
    <row r="95" spans="1:19">
      <c r="A95" s="965"/>
      <c r="B95" s="137"/>
      <c r="C95" s="53">
        <f t="shared" si="23"/>
        <v>1</v>
      </c>
      <c r="D95" s="963"/>
      <c r="E95" s="53">
        <f t="shared" si="24"/>
        <v>0.1</v>
      </c>
      <c r="F95" s="963"/>
      <c r="G95" s="53">
        <f t="shared" si="25"/>
        <v>0.03</v>
      </c>
      <c r="H95" s="963"/>
      <c r="I95" s="53">
        <f t="shared" si="26"/>
        <v>0.03</v>
      </c>
      <c r="J95" s="963"/>
      <c r="K95" s="53">
        <f t="shared" si="27"/>
        <v>0</v>
      </c>
      <c r="L95" s="963"/>
      <c r="M95" s="53">
        <f t="shared" si="28"/>
        <v>2</v>
      </c>
      <c r="N95" s="963"/>
      <c r="O95" s="53">
        <f t="shared" si="29"/>
        <v>0.05</v>
      </c>
      <c r="P95" s="963"/>
      <c r="Q95" s="53">
        <f t="shared" si="30"/>
        <v>1</v>
      </c>
      <c r="R95" s="490">
        <f t="shared" si="31"/>
        <v>0</v>
      </c>
      <c r="S95" s="799">
        <f t="shared" si="22"/>
        <v>0</v>
      </c>
    </row>
    <row r="96" spans="1:19">
      <c r="A96" s="965"/>
      <c r="B96" s="137"/>
      <c r="C96" s="53">
        <f t="shared" si="23"/>
        <v>1</v>
      </c>
      <c r="D96" s="963"/>
      <c r="E96" s="53">
        <f t="shared" si="24"/>
        <v>0.1</v>
      </c>
      <c r="F96" s="963"/>
      <c r="G96" s="53">
        <f t="shared" si="25"/>
        <v>0.03</v>
      </c>
      <c r="H96" s="963"/>
      <c r="I96" s="53">
        <f t="shared" si="26"/>
        <v>0.03</v>
      </c>
      <c r="J96" s="963"/>
      <c r="K96" s="53">
        <f t="shared" si="27"/>
        <v>0</v>
      </c>
      <c r="L96" s="963"/>
      <c r="M96" s="53">
        <f t="shared" si="28"/>
        <v>2</v>
      </c>
      <c r="N96" s="963"/>
      <c r="O96" s="53">
        <f t="shared" si="29"/>
        <v>0.05</v>
      </c>
      <c r="P96" s="963"/>
      <c r="Q96" s="53">
        <f t="shared" si="30"/>
        <v>1</v>
      </c>
      <c r="R96" s="490">
        <f t="shared" si="31"/>
        <v>0</v>
      </c>
      <c r="S96" s="799">
        <f t="shared" si="22"/>
        <v>0</v>
      </c>
    </row>
    <row r="97" spans="1:19">
      <c r="A97" s="965"/>
      <c r="B97" s="137"/>
      <c r="C97" s="53">
        <f t="shared" si="23"/>
        <v>1</v>
      </c>
      <c r="D97" s="963"/>
      <c r="E97" s="53">
        <f t="shared" si="24"/>
        <v>0.1</v>
      </c>
      <c r="F97" s="963"/>
      <c r="G97" s="53">
        <f t="shared" si="25"/>
        <v>0.03</v>
      </c>
      <c r="H97" s="963"/>
      <c r="I97" s="53">
        <f t="shared" si="26"/>
        <v>0.03</v>
      </c>
      <c r="J97" s="963"/>
      <c r="K97" s="53">
        <f t="shared" si="27"/>
        <v>0</v>
      </c>
      <c r="L97" s="963"/>
      <c r="M97" s="53">
        <f t="shared" si="28"/>
        <v>2</v>
      </c>
      <c r="N97" s="963"/>
      <c r="O97" s="53">
        <f t="shared" si="29"/>
        <v>0.05</v>
      </c>
      <c r="P97" s="963"/>
      <c r="Q97" s="53">
        <f t="shared" si="30"/>
        <v>1</v>
      </c>
      <c r="R97" s="490">
        <f t="shared" si="31"/>
        <v>0</v>
      </c>
      <c r="S97" s="799">
        <f t="shared" si="22"/>
        <v>0</v>
      </c>
    </row>
    <row r="98" spans="1:19">
      <c r="A98" s="965"/>
      <c r="B98" s="137"/>
      <c r="C98" s="53">
        <f t="shared" si="23"/>
        <v>1</v>
      </c>
      <c r="D98" s="963"/>
      <c r="E98" s="53">
        <f t="shared" si="24"/>
        <v>0.1</v>
      </c>
      <c r="F98" s="963"/>
      <c r="G98" s="53">
        <f t="shared" si="25"/>
        <v>0.03</v>
      </c>
      <c r="H98" s="963"/>
      <c r="I98" s="53">
        <f t="shared" si="26"/>
        <v>0.03</v>
      </c>
      <c r="J98" s="963"/>
      <c r="K98" s="53">
        <f t="shared" si="27"/>
        <v>0</v>
      </c>
      <c r="L98" s="963"/>
      <c r="M98" s="53">
        <f t="shared" si="28"/>
        <v>2</v>
      </c>
      <c r="N98" s="963"/>
      <c r="O98" s="53">
        <f t="shared" si="29"/>
        <v>0.05</v>
      </c>
      <c r="P98" s="963"/>
      <c r="Q98" s="53">
        <f t="shared" si="30"/>
        <v>1</v>
      </c>
      <c r="R98" s="490">
        <f t="shared" si="31"/>
        <v>0</v>
      </c>
      <c r="S98" s="799">
        <f t="shared" si="22"/>
        <v>0</v>
      </c>
    </row>
    <row r="99" spans="1:19">
      <c r="A99" s="965"/>
      <c r="B99" s="137"/>
      <c r="C99" s="53">
        <f t="shared" si="23"/>
        <v>1</v>
      </c>
      <c r="D99" s="963"/>
      <c r="E99" s="53">
        <f t="shared" si="24"/>
        <v>0.1</v>
      </c>
      <c r="F99" s="963"/>
      <c r="G99" s="53">
        <f t="shared" si="25"/>
        <v>0.03</v>
      </c>
      <c r="H99" s="963"/>
      <c r="I99" s="53">
        <f t="shared" si="26"/>
        <v>0.03</v>
      </c>
      <c r="J99" s="963"/>
      <c r="K99" s="53">
        <f t="shared" si="27"/>
        <v>0</v>
      </c>
      <c r="L99" s="963"/>
      <c r="M99" s="53">
        <f t="shared" si="28"/>
        <v>2</v>
      </c>
      <c r="N99" s="963"/>
      <c r="O99" s="53">
        <f t="shared" si="29"/>
        <v>0.05</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0.03</v>
      </c>
      <c r="H100" s="963"/>
      <c r="I100" s="53">
        <f t="shared" si="26"/>
        <v>0.03</v>
      </c>
      <c r="J100" s="963"/>
      <c r="K100" s="53">
        <f t="shared" si="27"/>
        <v>0</v>
      </c>
      <c r="L100" s="963"/>
      <c r="M100" s="53">
        <f t="shared" si="28"/>
        <v>2</v>
      </c>
      <c r="N100" s="963"/>
      <c r="O100" s="53">
        <f t="shared" si="29"/>
        <v>0.05</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0.03</v>
      </c>
      <c r="H101" s="963"/>
      <c r="I101" s="53">
        <f t="shared" si="26"/>
        <v>0.03</v>
      </c>
      <c r="J101" s="963"/>
      <c r="K101" s="53">
        <f t="shared" si="27"/>
        <v>0</v>
      </c>
      <c r="L101" s="963"/>
      <c r="M101" s="53">
        <f t="shared" si="28"/>
        <v>2</v>
      </c>
      <c r="N101" s="963"/>
      <c r="O101" s="53">
        <f t="shared" si="29"/>
        <v>0.05</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0.03</v>
      </c>
      <c r="H102" s="963"/>
      <c r="I102" s="53">
        <f t="shared" si="26"/>
        <v>0.03</v>
      </c>
      <c r="J102" s="963"/>
      <c r="K102" s="53">
        <f t="shared" si="27"/>
        <v>0</v>
      </c>
      <c r="L102" s="963"/>
      <c r="M102" s="53">
        <f t="shared" si="28"/>
        <v>2</v>
      </c>
      <c r="N102" s="963"/>
      <c r="O102" s="53">
        <f t="shared" si="29"/>
        <v>0.05</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0.03</v>
      </c>
      <c r="H103" s="963"/>
      <c r="I103" s="53">
        <f t="shared" si="26"/>
        <v>0.03</v>
      </c>
      <c r="J103" s="963"/>
      <c r="K103" s="53">
        <f t="shared" si="27"/>
        <v>0</v>
      </c>
      <c r="L103" s="963"/>
      <c r="M103" s="53">
        <f t="shared" si="28"/>
        <v>2</v>
      </c>
      <c r="N103" s="963"/>
      <c r="O103" s="53">
        <f t="shared" si="29"/>
        <v>0.05</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0.03</v>
      </c>
      <c r="H104" s="963"/>
      <c r="I104" s="53">
        <f t="shared" si="26"/>
        <v>0.03</v>
      </c>
      <c r="J104" s="963"/>
      <c r="K104" s="53">
        <f t="shared" si="27"/>
        <v>0</v>
      </c>
      <c r="L104" s="963"/>
      <c r="M104" s="53">
        <f t="shared" si="28"/>
        <v>2</v>
      </c>
      <c r="N104" s="963"/>
      <c r="O104" s="53">
        <f t="shared" si="29"/>
        <v>0.05</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0.03</v>
      </c>
      <c r="H105" s="963"/>
      <c r="I105" s="53">
        <f t="shared" si="26"/>
        <v>0.03</v>
      </c>
      <c r="J105" s="963"/>
      <c r="K105" s="53">
        <f t="shared" si="27"/>
        <v>0</v>
      </c>
      <c r="L105" s="963"/>
      <c r="M105" s="53">
        <f t="shared" si="28"/>
        <v>2</v>
      </c>
      <c r="N105" s="963"/>
      <c r="O105" s="53">
        <f t="shared" si="29"/>
        <v>0.05</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0.03</v>
      </c>
      <c r="H106" s="963"/>
      <c r="I106" s="53">
        <f t="shared" si="26"/>
        <v>0.03</v>
      </c>
      <c r="J106" s="963"/>
      <c r="K106" s="53">
        <f t="shared" si="27"/>
        <v>0</v>
      </c>
      <c r="L106" s="963"/>
      <c r="M106" s="53">
        <f t="shared" si="28"/>
        <v>2</v>
      </c>
      <c r="N106" s="963"/>
      <c r="O106" s="53">
        <f t="shared" si="29"/>
        <v>0.05</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0.03</v>
      </c>
      <c r="H107" s="963"/>
      <c r="I107" s="53">
        <f t="shared" si="26"/>
        <v>0.03</v>
      </c>
      <c r="J107" s="963"/>
      <c r="K107" s="53">
        <f t="shared" si="27"/>
        <v>0</v>
      </c>
      <c r="L107" s="963"/>
      <c r="M107" s="53">
        <f t="shared" si="28"/>
        <v>2</v>
      </c>
      <c r="N107" s="963"/>
      <c r="O107" s="53">
        <f t="shared" si="29"/>
        <v>0.05</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0.03</v>
      </c>
      <c r="H108" s="963"/>
      <c r="I108" s="53">
        <f t="shared" si="26"/>
        <v>0.03</v>
      </c>
      <c r="J108" s="963"/>
      <c r="K108" s="53">
        <f t="shared" si="27"/>
        <v>0</v>
      </c>
      <c r="L108" s="963"/>
      <c r="M108" s="53">
        <f t="shared" si="28"/>
        <v>2</v>
      </c>
      <c r="N108" s="963"/>
      <c r="O108" s="53">
        <f t="shared" si="29"/>
        <v>0.05</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0.03</v>
      </c>
      <c r="H109" s="963"/>
      <c r="I109" s="53">
        <f t="shared" si="26"/>
        <v>0.03</v>
      </c>
      <c r="J109" s="963"/>
      <c r="K109" s="53">
        <f t="shared" si="27"/>
        <v>0</v>
      </c>
      <c r="L109" s="963"/>
      <c r="M109" s="53">
        <f t="shared" si="28"/>
        <v>2</v>
      </c>
      <c r="N109" s="963"/>
      <c r="O109" s="53">
        <f t="shared" si="29"/>
        <v>0.05</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0.03</v>
      </c>
      <c r="H110" s="963"/>
      <c r="I110" s="53">
        <f t="shared" si="26"/>
        <v>0.03</v>
      </c>
      <c r="J110" s="963"/>
      <c r="K110" s="53">
        <f t="shared" si="27"/>
        <v>0</v>
      </c>
      <c r="L110" s="963"/>
      <c r="M110" s="53">
        <f t="shared" si="28"/>
        <v>2</v>
      </c>
      <c r="N110" s="963"/>
      <c r="O110" s="53">
        <f t="shared" si="29"/>
        <v>0.05</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0.03</v>
      </c>
      <c r="H111" s="963"/>
      <c r="I111" s="53">
        <f t="shared" si="26"/>
        <v>0.03</v>
      </c>
      <c r="J111" s="963"/>
      <c r="K111" s="53">
        <f t="shared" si="27"/>
        <v>0</v>
      </c>
      <c r="L111" s="963"/>
      <c r="M111" s="53">
        <f t="shared" si="28"/>
        <v>2</v>
      </c>
      <c r="N111" s="963"/>
      <c r="O111" s="53">
        <f t="shared" si="29"/>
        <v>0.05</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0.03</v>
      </c>
      <c r="H112" s="963"/>
      <c r="I112" s="53">
        <f t="shared" si="26"/>
        <v>0.03</v>
      </c>
      <c r="J112" s="963"/>
      <c r="K112" s="53">
        <f t="shared" si="27"/>
        <v>0</v>
      </c>
      <c r="L112" s="963"/>
      <c r="M112" s="53">
        <f t="shared" si="28"/>
        <v>2</v>
      </c>
      <c r="N112" s="963"/>
      <c r="O112" s="53">
        <f t="shared" si="29"/>
        <v>0.05</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0.03</v>
      </c>
      <c r="H113" s="963"/>
      <c r="I113" s="53">
        <f t="shared" si="26"/>
        <v>0.03</v>
      </c>
      <c r="J113" s="963"/>
      <c r="K113" s="53">
        <f t="shared" si="27"/>
        <v>0</v>
      </c>
      <c r="L113" s="963"/>
      <c r="M113" s="53">
        <f t="shared" si="28"/>
        <v>2</v>
      </c>
      <c r="N113" s="963"/>
      <c r="O113" s="53">
        <f t="shared" si="29"/>
        <v>0.05</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0.03</v>
      </c>
      <c r="H114" s="963"/>
      <c r="I114" s="53">
        <f t="shared" si="26"/>
        <v>0.03</v>
      </c>
      <c r="J114" s="963"/>
      <c r="K114" s="53">
        <f t="shared" si="27"/>
        <v>0</v>
      </c>
      <c r="L114" s="963"/>
      <c r="M114" s="53">
        <f t="shared" si="28"/>
        <v>2</v>
      </c>
      <c r="N114" s="963"/>
      <c r="O114" s="53">
        <f t="shared" si="29"/>
        <v>0.05</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0.03</v>
      </c>
      <c r="H115" s="963"/>
      <c r="I115" s="53">
        <f t="shared" si="26"/>
        <v>0.03</v>
      </c>
      <c r="J115" s="963"/>
      <c r="K115" s="53">
        <f t="shared" si="27"/>
        <v>0</v>
      </c>
      <c r="L115" s="963"/>
      <c r="M115" s="53">
        <f t="shared" si="28"/>
        <v>2</v>
      </c>
      <c r="N115" s="963"/>
      <c r="O115" s="53">
        <f t="shared" si="29"/>
        <v>0.05</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0.03</v>
      </c>
      <c r="H116" s="963"/>
      <c r="I116" s="53">
        <f t="shared" si="26"/>
        <v>0.03</v>
      </c>
      <c r="J116" s="963"/>
      <c r="K116" s="53">
        <f t="shared" si="27"/>
        <v>0</v>
      </c>
      <c r="L116" s="963"/>
      <c r="M116" s="53">
        <f t="shared" si="28"/>
        <v>2</v>
      </c>
      <c r="N116" s="963"/>
      <c r="O116" s="53">
        <f t="shared" si="29"/>
        <v>0.05</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0.03</v>
      </c>
      <c r="H117" s="963"/>
      <c r="I117" s="53">
        <f t="shared" si="26"/>
        <v>0.03</v>
      </c>
      <c r="J117" s="963"/>
      <c r="K117" s="53">
        <f t="shared" si="27"/>
        <v>0</v>
      </c>
      <c r="L117" s="963"/>
      <c r="M117" s="53">
        <f t="shared" si="28"/>
        <v>2</v>
      </c>
      <c r="N117" s="963"/>
      <c r="O117" s="53">
        <f t="shared" si="29"/>
        <v>0.05</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0.03</v>
      </c>
      <c r="H118" s="963"/>
      <c r="I118" s="53">
        <f t="shared" si="26"/>
        <v>0.03</v>
      </c>
      <c r="J118" s="963"/>
      <c r="K118" s="53">
        <f t="shared" si="27"/>
        <v>0</v>
      </c>
      <c r="L118" s="963"/>
      <c r="M118" s="53">
        <f t="shared" si="28"/>
        <v>2</v>
      </c>
      <c r="N118" s="963"/>
      <c r="O118" s="53">
        <f t="shared" si="29"/>
        <v>0.05</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0.03</v>
      </c>
      <c r="H119" s="963"/>
      <c r="I119" s="53">
        <f t="shared" si="26"/>
        <v>0.03</v>
      </c>
      <c r="J119" s="963"/>
      <c r="K119" s="53">
        <f t="shared" si="27"/>
        <v>0</v>
      </c>
      <c r="L119" s="963"/>
      <c r="M119" s="53">
        <f t="shared" si="28"/>
        <v>2</v>
      </c>
      <c r="N119" s="963"/>
      <c r="O119" s="53">
        <f t="shared" si="29"/>
        <v>0.05</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0.03</v>
      </c>
      <c r="H120" s="963"/>
      <c r="I120" s="53">
        <f t="shared" si="26"/>
        <v>0.03</v>
      </c>
      <c r="J120" s="963"/>
      <c r="K120" s="53">
        <f t="shared" si="27"/>
        <v>0</v>
      </c>
      <c r="L120" s="963"/>
      <c r="M120" s="53">
        <f t="shared" si="28"/>
        <v>2</v>
      </c>
      <c r="N120" s="963"/>
      <c r="O120" s="53">
        <f t="shared" si="29"/>
        <v>0.05</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0.03</v>
      </c>
      <c r="H121" s="963"/>
      <c r="I121" s="53">
        <f t="shared" si="26"/>
        <v>0.03</v>
      </c>
      <c r="J121" s="963"/>
      <c r="K121" s="53">
        <f t="shared" si="27"/>
        <v>0</v>
      </c>
      <c r="L121" s="963"/>
      <c r="M121" s="53">
        <f t="shared" si="28"/>
        <v>2</v>
      </c>
      <c r="N121" s="963"/>
      <c r="O121" s="53">
        <f t="shared" si="29"/>
        <v>0.05</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0.03</v>
      </c>
      <c r="H122" s="963"/>
      <c r="I122" s="53">
        <f t="shared" si="26"/>
        <v>0.03</v>
      </c>
      <c r="J122" s="963"/>
      <c r="K122" s="53">
        <f t="shared" si="27"/>
        <v>0</v>
      </c>
      <c r="L122" s="963"/>
      <c r="M122" s="53">
        <f t="shared" si="28"/>
        <v>2</v>
      </c>
      <c r="N122" s="963"/>
      <c r="O122" s="53">
        <f t="shared" si="29"/>
        <v>0.05</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0.03</v>
      </c>
      <c r="H123" s="963"/>
      <c r="I123" s="53">
        <f t="shared" si="26"/>
        <v>0.03</v>
      </c>
      <c r="J123" s="963"/>
      <c r="K123" s="53">
        <f t="shared" si="27"/>
        <v>0</v>
      </c>
      <c r="L123" s="963"/>
      <c r="M123" s="53">
        <f t="shared" si="28"/>
        <v>2</v>
      </c>
      <c r="N123" s="963"/>
      <c r="O123" s="53">
        <f t="shared" si="29"/>
        <v>0.05</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0.03</v>
      </c>
      <c r="H124" s="963"/>
      <c r="I124" s="53">
        <f t="shared" si="26"/>
        <v>0.03</v>
      </c>
      <c r="J124" s="963"/>
      <c r="K124" s="53">
        <f t="shared" si="27"/>
        <v>0</v>
      </c>
      <c r="L124" s="963"/>
      <c r="M124" s="53">
        <f t="shared" si="28"/>
        <v>2</v>
      </c>
      <c r="N124" s="963"/>
      <c r="O124" s="53">
        <f t="shared" si="29"/>
        <v>0.05</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0.03</v>
      </c>
      <c r="H125" s="963"/>
      <c r="I125" s="53">
        <f t="shared" si="26"/>
        <v>0.03</v>
      </c>
      <c r="J125" s="963"/>
      <c r="K125" s="53">
        <f t="shared" si="27"/>
        <v>0</v>
      </c>
      <c r="L125" s="963"/>
      <c r="M125" s="53">
        <f t="shared" si="28"/>
        <v>2</v>
      </c>
      <c r="N125" s="963"/>
      <c r="O125" s="53">
        <f t="shared" si="29"/>
        <v>0.05</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0.03</v>
      </c>
      <c r="H126" s="963"/>
      <c r="I126" s="53">
        <f t="shared" si="26"/>
        <v>0.03</v>
      </c>
      <c r="J126" s="963"/>
      <c r="K126" s="53">
        <f t="shared" si="27"/>
        <v>0</v>
      </c>
      <c r="L126" s="963"/>
      <c r="M126" s="53">
        <f t="shared" si="28"/>
        <v>2</v>
      </c>
      <c r="N126" s="963"/>
      <c r="O126" s="53">
        <f t="shared" si="29"/>
        <v>0.05</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0.03</v>
      </c>
      <c r="H127" s="963"/>
      <c r="I127" s="53">
        <f t="shared" si="26"/>
        <v>0.03</v>
      </c>
      <c r="J127" s="963"/>
      <c r="K127" s="53">
        <f t="shared" si="27"/>
        <v>0</v>
      </c>
      <c r="L127" s="963"/>
      <c r="M127" s="53">
        <f t="shared" si="28"/>
        <v>2</v>
      </c>
      <c r="N127" s="963"/>
      <c r="O127" s="53">
        <f t="shared" si="29"/>
        <v>0.05</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0.03</v>
      </c>
      <c r="H128" s="963"/>
      <c r="I128" s="53">
        <f t="shared" si="26"/>
        <v>0.03</v>
      </c>
      <c r="J128" s="963"/>
      <c r="K128" s="53">
        <f t="shared" si="27"/>
        <v>0</v>
      </c>
      <c r="L128" s="963"/>
      <c r="M128" s="53">
        <f t="shared" si="28"/>
        <v>2</v>
      </c>
      <c r="N128" s="963"/>
      <c r="O128" s="53">
        <f t="shared" si="29"/>
        <v>0.05</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0.03</v>
      </c>
      <c r="H129" s="963"/>
      <c r="I129" s="53">
        <f t="shared" si="26"/>
        <v>0.03</v>
      </c>
      <c r="J129" s="963"/>
      <c r="K129" s="53">
        <f t="shared" si="27"/>
        <v>0</v>
      </c>
      <c r="L129" s="963"/>
      <c r="M129" s="53">
        <f t="shared" si="28"/>
        <v>2</v>
      </c>
      <c r="N129" s="963"/>
      <c r="O129" s="53">
        <f t="shared" si="29"/>
        <v>0.05</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0.03</v>
      </c>
      <c r="H130" s="963"/>
      <c r="I130" s="53">
        <f t="shared" si="26"/>
        <v>0.03</v>
      </c>
      <c r="J130" s="963"/>
      <c r="K130" s="53">
        <f t="shared" si="27"/>
        <v>0</v>
      </c>
      <c r="L130" s="963"/>
      <c r="M130" s="53">
        <f t="shared" si="28"/>
        <v>2</v>
      </c>
      <c r="N130" s="963"/>
      <c r="O130" s="53">
        <f t="shared" si="29"/>
        <v>0.05</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0.03</v>
      </c>
      <c r="H131" s="963"/>
      <c r="I131" s="53">
        <f t="shared" si="26"/>
        <v>0.03</v>
      </c>
      <c r="J131" s="963"/>
      <c r="K131" s="53">
        <f t="shared" si="27"/>
        <v>0</v>
      </c>
      <c r="L131" s="963"/>
      <c r="M131" s="53">
        <f t="shared" si="28"/>
        <v>2</v>
      </c>
      <c r="N131" s="963"/>
      <c r="O131" s="53">
        <f t="shared" si="29"/>
        <v>0.05</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0.03</v>
      </c>
      <c r="H132" s="963"/>
      <c r="I132" s="53">
        <f t="shared" si="26"/>
        <v>0.03</v>
      </c>
      <c r="J132" s="963"/>
      <c r="K132" s="53">
        <f t="shared" si="27"/>
        <v>0</v>
      </c>
      <c r="L132" s="963"/>
      <c r="M132" s="53">
        <f t="shared" si="28"/>
        <v>2</v>
      </c>
      <c r="N132" s="963"/>
      <c r="O132" s="53">
        <f t="shared" si="29"/>
        <v>0.05</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0.03</v>
      </c>
      <c r="H133" s="963"/>
      <c r="I133" s="53">
        <f t="shared" si="26"/>
        <v>0.03</v>
      </c>
      <c r="J133" s="963"/>
      <c r="K133" s="53">
        <f t="shared" si="27"/>
        <v>0</v>
      </c>
      <c r="L133" s="963"/>
      <c r="M133" s="53">
        <f t="shared" si="28"/>
        <v>2</v>
      </c>
      <c r="N133" s="963"/>
      <c r="O133" s="53">
        <f t="shared" si="29"/>
        <v>0.05</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0.03</v>
      </c>
      <c r="H134" s="963"/>
      <c r="I134" s="53">
        <f t="shared" si="26"/>
        <v>0.03</v>
      </c>
      <c r="J134" s="963"/>
      <c r="K134" s="53">
        <f t="shared" si="27"/>
        <v>0</v>
      </c>
      <c r="L134" s="963"/>
      <c r="M134" s="53">
        <f t="shared" si="28"/>
        <v>2</v>
      </c>
      <c r="N134" s="963"/>
      <c r="O134" s="53">
        <f t="shared" si="29"/>
        <v>0.05</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0.03</v>
      </c>
      <c r="H135" s="963"/>
      <c r="I135" s="53">
        <f t="shared" si="26"/>
        <v>0.03</v>
      </c>
      <c r="J135" s="963"/>
      <c r="K135" s="53">
        <f t="shared" si="27"/>
        <v>0</v>
      </c>
      <c r="L135" s="963"/>
      <c r="M135" s="53">
        <f t="shared" si="28"/>
        <v>2</v>
      </c>
      <c r="N135" s="963"/>
      <c r="O135" s="53">
        <f t="shared" si="29"/>
        <v>0.05</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0.03</v>
      </c>
      <c r="H136" s="963"/>
      <c r="I136" s="53">
        <f t="shared" si="26"/>
        <v>0.03</v>
      </c>
      <c r="J136" s="963"/>
      <c r="K136" s="53">
        <f t="shared" si="27"/>
        <v>0</v>
      </c>
      <c r="L136" s="963"/>
      <c r="M136" s="53">
        <f t="shared" si="28"/>
        <v>2</v>
      </c>
      <c r="N136" s="963"/>
      <c r="O136" s="53">
        <f t="shared" si="29"/>
        <v>0.05</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0.03</v>
      </c>
      <c r="H137" s="963"/>
      <c r="I137" s="53">
        <f t="shared" si="26"/>
        <v>0.03</v>
      </c>
      <c r="J137" s="963"/>
      <c r="K137" s="53">
        <f t="shared" si="27"/>
        <v>0</v>
      </c>
      <c r="L137" s="963"/>
      <c r="M137" s="53">
        <f t="shared" si="28"/>
        <v>2</v>
      </c>
      <c r="N137" s="963"/>
      <c r="O137" s="53">
        <f t="shared" si="29"/>
        <v>0.05</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0.03</v>
      </c>
      <c r="H138" s="963"/>
      <c r="I138" s="53">
        <f t="shared" si="26"/>
        <v>0.03</v>
      </c>
      <c r="J138" s="963"/>
      <c r="K138" s="53">
        <f t="shared" si="27"/>
        <v>0</v>
      </c>
      <c r="L138" s="963"/>
      <c r="M138" s="53">
        <f t="shared" si="28"/>
        <v>2</v>
      </c>
      <c r="N138" s="963"/>
      <c r="O138" s="53">
        <f t="shared" si="29"/>
        <v>0.05</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0.03</v>
      </c>
      <c r="H139" s="963"/>
      <c r="I139" s="53">
        <f t="shared" si="26"/>
        <v>0.03</v>
      </c>
      <c r="J139" s="963"/>
      <c r="K139" s="53">
        <f t="shared" si="27"/>
        <v>0</v>
      </c>
      <c r="L139" s="963"/>
      <c r="M139" s="53">
        <f t="shared" si="28"/>
        <v>2</v>
      </c>
      <c r="N139" s="963"/>
      <c r="O139" s="53">
        <f t="shared" si="29"/>
        <v>0.05</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0.03</v>
      </c>
      <c r="H140" s="963"/>
      <c r="I140" s="53">
        <f t="shared" si="26"/>
        <v>0.03</v>
      </c>
      <c r="J140" s="963"/>
      <c r="K140" s="53">
        <f t="shared" si="27"/>
        <v>0</v>
      </c>
      <c r="L140" s="963"/>
      <c r="M140" s="53">
        <f t="shared" si="28"/>
        <v>2</v>
      </c>
      <c r="N140" s="963"/>
      <c r="O140" s="53">
        <f t="shared" si="29"/>
        <v>0.05</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0.03</v>
      </c>
      <c r="H141" s="963"/>
      <c r="I141" s="53">
        <f t="shared" si="26"/>
        <v>0.03</v>
      </c>
      <c r="J141" s="963"/>
      <c r="K141" s="53">
        <f t="shared" si="27"/>
        <v>0</v>
      </c>
      <c r="L141" s="963"/>
      <c r="M141" s="53">
        <f t="shared" si="28"/>
        <v>2</v>
      </c>
      <c r="N141" s="963"/>
      <c r="O141" s="53">
        <f t="shared" si="29"/>
        <v>0.05</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0.03</v>
      </c>
      <c r="H142" s="963"/>
      <c r="I142" s="53">
        <f t="shared" si="26"/>
        <v>0.03</v>
      </c>
      <c r="J142" s="963"/>
      <c r="K142" s="53">
        <f t="shared" si="27"/>
        <v>0</v>
      </c>
      <c r="L142" s="963"/>
      <c r="M142" s="53">
        <f t="shared" si="28"/>
        <v>2</v>
      </c>
      <c r="N142" s="963"/>
      <c r="O142" s="53">
        <f t="shared" si="29"/>
        <v>0.05</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0.03</v>
      </c>
      <c r="H143" s="963"/>
      <c r="I143" s="53">
        <f t="shared" si="26"/>
        <v>0.03</v>
      </c>
      <c r="J143" s="963"/>
      <c r="K143" s="53">
        <f t="shared" si="27"/>
        <v>0</v>
      </c>
      <c r="L143" s="963"/>
      <c r="M143" s="53">
        <f t="shared" si="28"/>
        <v>2</v>
      </c>
      <c r="N143" s="963"/>
      <c r="O143" s="53">
        <f t="shared" si="29"/>
        <v>0.05</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0.03</v>
      </c>
      <c r="H144" s="963"/>
      <c r="I144" s="53">
        <f t="shared" si="26"/>
        <v>0.03</v>
      </c>
      <c r="J144" s="963"/>
      <c r="K144" s="53">
        <f t="shared" si="27"/>
        <v>0</v>
      </c>
      <c r="L144" s="963"/>
      <c r="M144" s="53">
        <f t="shared" si="28"/>
        <v>2</v>
      </c>
      <c r="N144" s="963"/>
      <c r="O144" s="53">
        <f t="shared" si="29"/>
        <v>0.05</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0.03</v>
      </c>
      <c r="H145" s="963"/>
      <c r="I145" s="53">
        <f t="shared" si="26"/>
        <v>0.03</v>
      </c>
      <c r="J145" s="963"/>
      <c r="K145" s="53">
        <f t="shared" si="27"/>
        <v>0</v>
      </c>
      <c r="L145" s="963"/>
      <c r="M145" s="53">
        <f t="shared" si="28"/>
        <v>2</v>
      </c>
      <c r="N145" s="963"/>
      <c r="O145" s="53">
        <f t="shared" si="29"/>
        <v>0.05</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0.03</v>
      </c>
      <c r="H146" s="963"/>
      <c r="I146" s="53">
        <f t="shared" si="26"/>
        <v>0.03</v>
      </c>
      <c r="J146" s="963"/>
      <c r="K146" s="53">
        <f t="shared" si="27"/>
        <v>0</v>
      </c>
      <c r="L146" s="963"/>
      <c r="M146" s="53">
        <f t="shared" si="28"/>
        <v>2</v>
      </c>
      <c r="N146" s="963"/>
      <c r="O146" s="53">
        <f t="shared" si="29"/>
        <v>0.05</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0.03</v>
      </c>
      <c r="H147" s="963"/>
      <c r="I147" s="53">
        <f t="shared" si="26"/>
        <v>0.03</v>
      </c>
      <c r="J147" s="963"/>
      <c r="K147" s="53">
        <f t="shared" si="27"/>
        <v>0</v>
      </c>
      <c r="L147" s="963"/>
      <c r="M147" s="53">
        <f t="shared" si="28"/>
        <v>2</v>
      </c>
      <c r="N147" s="963"/>
      <c r="O147" s="53">
        <f t="shared" si="29"/>
        <v>0.05</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0.03</v>
      </c>
      <c r="H148" s="963"/>
      <c r="I148" s="53">
        <f t="shared" si="26"/>
        <v>0.03</v>
      </c>
      <c r="J148" s="963"/>
      <c r="K148" s="53">
        <f t="shared" si="27"/>
        <v>0</v>
      </c>
      <c r="L148" s="963"/>
      <c r="M148" s="53">
        <f t="shared" si="28"/>
        <v>2</v>
      </c>
      <c r="N148" s="963"/>
      <c r="O148" s="53">
        <f t="shared" si="29"/>
        <v>0.05</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0.03</v>
      </c>
      <c r="H149" s="963"/>
      <c r="I149" s="53">
        <f t="shared" si="26"/>
        <v>0.03</v>
      </c>
      <c r="J149" s="963"/>
      <c r="K149" s="53">
        <f t="shared" si="27"/>
        <v>0</v>
      </c>
      <c r="L149" s="963"/>
      <c r="M149" s="53">
        <f t="shared" si="28"/>
        <v>2</v>
      </c>
      <c r="N149" s="963"/>
      <c r="O149" s="53">
        <f t="shared" si="29"/>
        <v>0.05</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0.03</v>
      </c>
      <c r="H150" s="963"/>
      <c r="I150" s="53">
        <f t="shared" si="26"/>
        <v>0.03</v>
      </c>
      <c r="J150" s="963"/>
      <c r="K150" s="53">
        <f t="shared" si="27"/>
        <v>0</v>
      </c>
      <c r="L150" s="963"/>
      <c r="M150" s="53">
        <f t="shared" si="28"/>
        <v>2</v>
      </c>
      <c r="N150" s="963"/>
      <c r="O150" s="53">
        <f t="shared" si="29"/>
        <v>0.05</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0.03</v>
      </c>
      <c r="H151" s="963"/>
      <c r="I151" s="53">
        <f t="shared" si="26"/>
        <v>0.03</v>
      </c>
      <c r="J151" s="963"/>
      <c r="K151" s="53">
        <f t="shared" si="27"/>
        <v>0</v>
      </c>
      <c r="L151" s="963"/>
      <c r="M151" s="53">
        <f t="shared" si="28"/>
        <v>2</v>
      </c>
      <c r="N151" s="963"/>
      <c r="O151" s="53">
        <f t="shared" si="29"/>
        <v>0.05</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0.03</v>
      </c>
      <c r="H152" s="963"/>
      <c r="I152" s="53">
        <f t="shared" si="26"/>
        <v>0.03</v>
      </c>
      <c r="J152" s="963"/>
      <c r="K152" s="53">
        <f t="shared" si="27"/>
        <v>0</v>
      </c>
      <c r="L152" s="963"/>
      <c r="M152" s="53">
        <f t="shared" si="28"/>
        <v>2</v>
      </c>
      <c r="N152" s="963"/>
      <c r="O152" s="53">
        <f t="shared" si="29"/>
        <v>0.05</v>
      </c>
      <c r="P152" s="963"/>
      <c r="Q152" s="53">
        <f t="shared" si="30"/>
        <v>1</v>
      </c>
      <c r="R152" s="490">
        <f t="shared" si="31"/>
        <v>0</v>
      </c>
      <c r="S152" s="799">
        <f t="shared" si="32"/>
        <v>0</v>
      </c>
    </row>
    <row r="153" spans="1:19">
      <c r="A153" s="965"/>
      <c r="B153" s="137"/>
      <c r="C153" s="53">
        <f t="shared" si="23"/>
        <v>1</v>
      </c>
      <c r="D153" s="963"/>
      <c r="E153" s="53">
        <f t="shared" si="24"/>
        <v>0.1</v>
      </c>
      <c r="F153" s="963"/>
      <c r="G153" s="53">
        <f t="shared" si="25"/>
        <v>0.03</v>
      </c>
      <c r="H153" s="963"/>
      <c r="I153" s="53">
        <f t="shared" si="26"/>
        <v>0.03</v>
      </c>
      <c r="J153" s="963"/>
      <c r="K153" s="53">
        <f t="shared" si="27"/>
        <v>0</v>
      </c>
      <c r="L153" s="963"/>
      <c r="M153" s="53">
        <f t="shared" si="28"/>
        <v>2</v>
      </c>
      <c r="N153" s="963"/>
      <c r="O153" s="53">
        <f t="shared" si="29"/>
        <v>0.05</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0.1</v>
      </c>
      <c r="F154" s="963"/>
      <c r="G154" s="53">
        <f t="shared" ref="G154:G217" si="35">(SUMIF($7:$7,F154,$8:$8)-SUMIF($7:$7,$F$24,$8:$8)+100)/100</f>
        <v>0.03</v>
      </c>
      <c r="H154" s="963"/>
      <c r="I154" s="53">
        <f t="shared" ref="I154:I217" si="36">(SUMIF($9:$9,H154,$10:$10)-SUMIF($9:$9,$H$24,$10:$10)+100)/100</f>
        <v>0.03</v>
      </c>
      <c r="J154" s="963"/>
      <c r="K154" s="53">
        <f t="shared" ref="K154:K217" si="37">(SUMIF($11:$11,J154,$12:$12)-SUMIF($11:$11,$J$24,$12:$12)+100)/100</f>
        <v>0</v>
      </c>
      <c r="L154" s="963"/>
      <c r="M154" s="53">
        <f t="shared" ref="M154:M217" si="38">(SUMIF($13:$13,L154,$14:$14)-SUMIF($13:$13,$L$24,$14:$14)+100)/100</f>
        <v>2</v>
      </c>
      <c r="N154" s="963"/>
      <c r="O154" s="53">
        <f t="shared" ref="O154:O217" si="39">(SUMIF($15:$15,N154,$16:$16)-SUMIF($15:$15,$N$24,$16:$16)+100)/100</f>
        <v>0.05</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0.03</v>
      </c>
      <c r="H155" s="963"/>
      <c r="I155" s="53">
        <f t="shared" si="36"/>
        <v>0.03</v>
      </c>
      <c r="J155" s="963"/>
      <c r="K155" s="53">
        <f t="shared" si="37"/>
        <v>0</v>
      </c>
      <c r="L155" s="963"/>
      <c r="M155" s="53">
        <f t="shared" si="38"/>
        <v>2</v>
      </c>
      <c r="N155" s="963"/>
      <c r="O155" s="53">
        <f t="shared" si="39"/>
        <v>0.05</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0.03</v>
      </c>
      <c r="H156" s="963"/>
      <c r="I156" s="53">
        <f t="shared" si="36"/>
        <v>0.03</v>
      </c>
      <c r="J156" s="963"/>
      <c r="K156" s="53">
        <f t="shared" si="37"/>
        <v>0</v>
      </c>
      <c r="L156" s="963"/>
      <c r="M156" s="53">
        <f t="shared" si="38"/>
        <v>2</v>
      </c>
      <c r="N156" s="963"/>
      <c r="O156" s="53">
        <f t="shared" si="39"/>
        <v>0.05</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0.03</v>
      </c>
      <c r="H157" s="963"/>
      <c r="I157" s="53">
        <f t="shared" si="36"/>
        <v>0.03</v>
      </c>
      <c r="J157" s="963"/>
      <c r="K157" s="53">
        <f t="shared" si="37"/>
        <v>0</v>
      </c>
      <c r="L157" s="963"/>
      <c r="M157" s="53">
        <f t="shared" si="38"/>
        <v>2</v>
      </c>
      <c r="N157" s="963"/>
      <c r="O157" s="53">
        <f t="shared" si="39"/>
        <v>0.05</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0.03</v>
      </c>
      <c r="H158" s="963"/>
      <c r="I158" s="53">
        <f t="shared" si="36"/>
        <v>0.03</v>
      </c>
      <c r="J158" s="963"/>
      <c r="K158" s="53">
        <f t="shared" si="37"/>
        <v>0</v>
      </c>
      <c r="L158" s="963"/>
      <c r="M158" s="53">
        <f t="shared" si="38"/>
        <v>2</v>
      </c>
      <c r="N158" s="963"/>
      <c r="O158" s="53">
        <f t="shared" si="39"/>
        <v>0.05</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0.03</v>
      </c>
      <c r="H159" s="963"/>
      <c r="I159" s="53">
        <f t="shared" si="36"/>
        <v>0.03</v>
      </c>
      <c r="J159" s="963"/>
      <c r="K159" s="53">
        <f t="shared" si="37"/>
        <v>0</v>
      </c>
      <c r="L159" s="963"/>
      <c r="M159" s="53">
        <f t="shared" si="38"/>
        <v>2</v>
      </c>
      <c r="N159" s="963"/>
      <c r="O159" s="53">
        <f t="shared" si="39"/>
        <v>0.05</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0.03</v>
      </c>
      <c r="H160" s="963"/>
      <c r="I160" s="53">
        <f t="shared" si="36"/>
        <v>0.03</v>
      </c>
      <c r="J160" s="963"/>
      <c r="K160" s="53">
        <f t="shared" si="37"/>
        <v>0</v>
      </c>
      <c r="L160" s="963"/>
      <c r="M160" s="53">
        <f t="shared" si="38"/>
        <v>2</v>
      </c>
      <c r="N160" s="963"/>
      <c r="O160" s="53">
        <f t="shared" si="39"/>
        <v>0.05</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0.03</v>
      </c>
      <c r="H161" s="963"/>
      <c r="I161" s="53">
        <f t="shared" si="36"/>
        <v>0.03</v>
      </c>
      <c r="J161" s="963"/>
      <c r="K161" s="53">
        <f t="shared" si="37"/>
        <v>0</v>
      </c>
      <c r="L161" s="963"/>
      <c r="M161" s="53">
        <f t="shared" si="38"/>
        <v>2</v>
      </c>
      <c r="N161" s="963"/>
      <c r="O161" s="53">
        <f t="shared" si="39"/>
        <v>0.05</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0.03</v>
      </c>
      <c r="H162" s="963"/>
      <c r="I162" s="53">
        <f t="shared" si="36"/>
        <v>0.03</v>
      </c>
      <c r="J162" s="963"/>
      <c r="K162" s="53">
        <f t="shared" si="37"/>
        <v>0</v>
      </c>
      <c r="L162" s="963"/>
      <c r="M162" s="53">
        <f t="shared" si="38"/>
        <v>2</v>
      </c>
      <c r="N162" s="963"/>
      <c r="O162" s="53">
        <f t="shared" si="39"/>
        <v>0.05</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0.03</v>
      </c>
      <c r="H163" s="963"/>
      <c r="I163" s="53">
        <f t="shared" si="36"/>
        <v>0.03</v>
      </c>
      <c r="J163" s="963"/>
      <c r="K163" s="53">
        <f t="shared" si="37"/>
        <v>0</v>
      </c>
      <c r="L163" s="963"/>
      <c r="M163" s="53">
        <f t="shared" si="38"/>
        <v>2</v>
      </c>
      <c r="N163" s="963"/>
      <c r="O163" s="53">
        <f t="shared" si="39"/>
        <v>0.05</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0.03</v>
      </c>
      <c r="H164" s="963"/>
      <c r="I164" s="53">
        <f t="shared" si="36"/>
        <v>0.03</v>
      </c>
      <c r="J164" s="963"/>
      <c r="K164" s="53">
        <f t="shared" si="37"/>
        <v>0</v>
      </c>
      <c r="L164" s="963"/>
      <c r="M164" s="53">
        <f t="shared" si="38"/>
        <v>2</v>
      </c>
      <c r="N164" s="963"/>
      <c r="O164" s="53">
        <f t="shared" si="39"/>
        <v>0.05</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0.03</v>
      </c>
      <c r="H165" s="963"/>
      <c r="I165" s="53">
        <f t="shared" si="36"/>
        <v>0.03</v>
      </c>
      <c r="J165" s="963"/>
      <c r="K165" s="53">
        <f t="shared" si="37"/>
        <v>0</v>
      </c>
      <c r="L165" s="963"/>
      <c r="M165" s="53">
        <f t="shared" si="38"/>
        <v>2</v>
      </c>
      <c r="N165" s="963"/>
      <c r="O165" s="53">
        <f t="shared" si="39"/>
        <v>0.05</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0.03</v>
      </c>
      <c r="H166" s="963"/>
      <c r="I166" s="53">
        <f t="shared" si="36"/>
        <v>0.03</v>
      </c>
      <c r="J166" s="963"/>
      <c r="K166" s="53">
        <f t="shared" si="37"/>
        <v>0</v>
      </c>
      <c r="L166" s="963"/>
      <c r="M166" s="53">
        <f t="shared" si="38"/>
        <v>2</v>
      </c>
      <c r="N166" s="963"/>
      <c r="O166" s="53">
        <f t="shared" si="39"/>
        <v>0.05</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0.03</v>
      </c>
      <c r="H167" s="963"/>
      <c r="I167" s="53">
        <f t="shared" si="36"/>
        <v>0.03</v>
      </c>
      <c r="J167" s="963"/>
      <c r="K167" s="53">
        <f t="shared" si="37"/>
        <v>0</v>
      </c>
      <c r="L167" s="963"/>
      <c r="M167" s="53">
        <f t="shared" si="38"/>
        <v>2</v>
      </c>
      <c r="N167" s="963"/>
      <c r="O167" s="53">
        <f t="shared" si="39"/>
        <v>0.05</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0.03</v>
      </c>
      <c r="H168" s="963"/>
      <c r="I168" s="53">
        <f t="shared" si="36"/>
        <v>0.03</v>
      </c>
      <c r="J168" s="963"/>
      <c r="K168" s="53">
        <f t="shared" si="37"/>
        <v>0</v>
      </c>
      <c r="L168" s="963"/>
      <c r="M168" s="53">
        <f t="shared" si="38"/>
        <v>2</v>
      </c>
      <c r="N168" s="963"/>
      <c r="O168" s="53">
        <f t="shared" si="39"/>
        <v>0.05</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0.03</v>
      </c>
      <c r="H169" s="963"/>
      <c r="I169" s="53">
        <f t="shared" si="36"/>
        <v>0.03</v>
      </c>
      <c r="J169" s="963"/>
      <c r="K169" s="53">
        <f t="shared" si="37"/>
        <v>0</v>
      </c>
      <c r="L169" s="963"/>
      <c r="M169" s="53">
        <f t="shared" si="38"/>
        <v>2</v>
      </c>
      <c r="N169" s="963"/>
      <c r="O169" s="53">
        <f t="shared" si="39"/>
        <v>0.05</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0.03</v>
      </c>
      <c r="H170" s="963"/>
      <c r="I170" s="53">
        <f t="shared" si="36"/>
        <v>0.03</v>
      </c>
      <c r="J170" s="963"/>
      <c r="K170" s="53">
        <f t="shared" si="37"/>
        <v>0</v>
      </c>
      <c r="L170" s="963"/>
      <c r="M170" s="53">
        <f t="shared" si="38"/>
        <v>2</v>
      </c>
      <c r="N170" s="963"/>
      <c r="O170" s="53">
        <f t="shared" si="39"/>
        <v>0.05</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0.03</v>
      </c>
      <c r="H171" s="963"/>
      <c r="I171" s="53">
        <f t="shared" si="36"/>
        <v>0.03</v>
      </c>
      <c r="J171" s="963"/>
      <c r="K171" s="53">
        <f t="shared" si="37"/>
        <v>0</v>
      </c>
      <c r="L171" s="963"/>
      <c r="M171" s="53">
        <f t="shared" si="38"/>
        <v>2</v>
      </c>
      <c r="N171" s="963"/>
      <c r="O171" s="53">
        <f t="shared" si="39"/>
        <v>0.05</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0.03</v>
      </c>
      <c r="H172" s="963"/>
      <c r="I172" s="53">
        <f t="shared" si="36"/>
        <v>0.03</v>
      </c>
      <c r="J172" s="963"/>
      <c r="K172" s="53">
        <f t="shared" si="37"/>
        <v>0</v>
      </c>
      <c r="L172" s="963"/>
      <c r="M172" s="53">
        <f t="shared" si="38"/>
        <v>2</v>
      </c>
      <c r="N172" s="963"/>
      <c r="O172" s="53">
        <f t="shared" si="39"/>
        <v>0.05</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0.03</v>
      </c>
      <c r="H173" s="963"/>
      <c r="I173" s="53">
        <f t="shared" si="36"/>
        <v>0.03</v>
      </c>
      <c r="J173" s="963"/>
      <c r="K173" s="53">
        <f t="shared" si="37"/>
        <v>0</v>
      </c>
      <c r="L173" s="963"/>
      <c r="M173" s="53">
        <f t="shared" si="38"/>
        <v>2</v>
      </c>
      <c r="N173" s="963"/>
      <c r="O173" s="53">
        <f t="shared" si="39"/>
        <v>0.05</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0.03</v>
      </c>
      <c r="H174" s="963"/>
      <c r="I174" s="53">
        <f t="shared" si="36"/>
        <v>0.03</v>
      </c>
      <c r="J174" s="963"/>
      <c r="K174" s="53">
        <f t="shared" si="37"/>
        <v>0</v>
      </c>
      <c r="L174" s="963"/>
      <c r="M174" s="53">
        <f t="shared" si="38"/>
        <v>2</v>
      </c>
      <c r="N174" s="963"/>
      <c r="O174" s="53">
        <f t="shared" si="39"/>
        <v>0.05</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0.03</v>
      </c>
      <c r="H175" s="963"/>
      <c r="I175" s="53">
        <f t="shared" si="36"/>
        <v>0.03</v>
      </c>
      <c r="J175" s="963"/>
      <c r="K175" s="53">
        <f t="shared" si="37"/>
        <v>0</v>
      </c>
      <c r="L175" s="963"/>
      <c r="M175" s="53">
        <f t="shared" si="38"/>
        <v>2</v>
      </c>
      <c r="N175" s="963"/>
      <c r="O175" s="53">
        <f t="shared" si="39"/>
        <v>0.05</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0.03</v>
      </c>
      <c r="H176" s="963"/>
      <c r="I176" s="53">
        <f t="shared" si="36"/>
        <v>0.03</v>
      </c>
      <c r="J176" s="963"/>
      <c r="K176" s="53">
        <f t="shared" si="37"/>
        <v>0</v>
      </c>
      <c r="L176" s="963"/>
      <c r="M176" s="53">
        <f t="shared" si="38"/>
        <v>2</v>
      </c>
      <c r="N176" s="963"/>
      <c r="O176" s="53">
        <f t="shared" si="39"/>
        <v>0.05</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0.03</v>
      </c>
      <c r="H177" s="963"/>
      <c r="I177" s="53">
        <f t="shared" si="36"/>
        <v>0.03</v>
      </c>
      <c r="J177" s="963"/>
      <c r="K177" s="53">
        <f t="shared" si="37"/>
        <v>0</v>
      </c>
      <c r="L177" s="963"/>
      <c r="M177" s="53">
        <f t="shared" si="38"/>
        <v>2</v>
      </c>
      <c r="N177" s="963"/>
      <c r="O177" s="53">
        <f t="shared" si="39"/>
        <v>0.05</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0.03</v>
      </c>
      <c r="H178" s="963"/>
      <c r="I178" s="53">
        <f t="shared" si="36"/>
        <v>0.03</v>
      </c>
      <c r="J178" s="963"/>
      <c r="K178" s="53">
        <f t="shared" si="37"/>
        <v>0</v>
      </c>
      <c r="L178" s="963"/>
      <c r="M178" s="53">
        <f t="shared" si="38"/>
        <v>2</v>
      </c>
      <c r="N178" s="963"/>
      <c r="O178" s="53">
        <f t="shared" si="39"/>
        <v>0.05</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0.03</v>
      </c>
      <c r="H179" s="963"/>
      <c r="I179" s="53">
        <f t="shared" si="36"/>
        <v>0.03</v>
      </c>
      <c r="J179" s="963"/>
      <c r="K179" s="53">
        <f t="shared" si="37"/>
        <v>0</v>
      </c>
      <c r="L179" s="963"/>
      <c r="M179" s="53">
        <f t="shared" si="38"/>
        <v>2</v>
      </c>
      <c r="N179" s="963"/>
      <c r="O179" s="53">
        <f t="shared" si="39"/>
        <v>0.05</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0.03</v>
      </c>
      <c r="H180" s="963"/>
      <c r="I180" s="53">
        <f t="shared" si="36"/>
        <v>0.03</v>
      </c>
      <c r="J180" s="963"/>
      <c r="K180" s="53">
        <f t="shared" si="37"/>
        <v>0</v>
      </c>
      <c r="L180" s="963"/>
      <c r="M180" s="53">
        <f t="shared" si="38"/>
        <v>2</v>
      </c>
      <c r="N180" s="963"/>
      <c r="O180" s="53">
        <f t="shared" si="39"/>
        <v>0.05</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0.03</v>
      </c>
      <c r="H181" s="963"/>
      <c r="I181" s="53">
        <f t="shared" si="36"/>
        <v>0.03</v>
      </c>
      <c r="J181" s="963"/>
      <c r="K181" s="53">
        <f t="shared" si="37"/>
        <v>0</v>
      </c>
      <c r="L181" s="963"/>
      <c r="M181" s="53">
        <f t="shared" si="38"/>
        <v>2</v>
      </c>
      <c r="N181" s="963"/>
      <c r="O181" s="53">
        <f t="shared" si="39"/>
        <v>0.05</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0.03</v>
      </c>
      <c r="H182" s="963"/>
      <c r="I182" s="53">
        <f t="shared" si="36"/>
        <v>0.03</v>
      </c>
      <c r="J182" s="963"/>
      <c r="K182" s="53">
        <f t="shared" si="37"/>
        <v>0</v>
      </c>
      <c r="L182" s="963"/>
      <c r="M182" s="53">
        <f t="shared" si="38"/>
        <v>2</v>
      </c>
      <c r="N182" s="963"/>
      <c r="O182" s="53">
        <f t="shared" si="39"/>
        <v>0.05</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0.03</v>
      </c>
      <c r="H183" s="963"/>
      <c r="I183" s="53">
        <f t="shared" si="36"/>
        <v>0.03</v>
      </c>
      <c r="J183" s="963"/>
      <c r="K183" s="53">
        <f t="shared" si="37"/>
        <v>0</v>
      </c>
      <c r="L183" s="963"/>
      <c r="M183" s="53">
        <f t="shared" si="38"/>
        <v>2</v>
      </c>
      <c r="N183" s="963"/>
      <c r="O183" s="53">
        <f t="shared" si="39"/>
        <v>0.05</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0.03</v>
      </c>
      <c r="H184" s="963"/>
      <c r="I184" s="53">
        <f t="shared" si="36"/>
        <v>0.03</v>
      </c>
      <c r="J184" s="963"/>
      <c r="K184" s="53">
        <f t="shared" si="37"/>
        <v>0</v>
      </c>
      <c r="L184" s="963"/>
      <c r="M184" s="53">
        <f t="shared" si="38"/>
        <v>2</v>
      </c>
      <c r="N184" s="963"/>
      <c r="O184" s="53">
        <f t="shared" si="39"/>
        <v>0.05</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0.03</v>
      </c>
      <c r="H185" s="963"/>
      <c r="I185" s="53">
        <f t="shared" si="36"/>
        <v>0.03</v>
      </c>
      <c r="J185" s="963"/>
      <c r="K185" s="53">
        <f t="shared" si="37"/>
        <v>0</v>
      </c>
      <c r="L185" s="963"/>
      <c r="M185" s="53">
        <f t="shared" si="38"/>
        <v>2</v>
      </c>
      <c r="N185" s="963"/>
      <c r="O185" s="53">
        <f t="shared" si="39"/>
        <v>0.05</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0.03</v>
      </c>
      <c r="H186" s="963"/>
      <c r="I186" s="53">
        <f t="shared" si="36"/>
        <v>0.03</v>
      </c>
      <c r="J186" s="963"/>
      <c r="K186" s="53">
        <f t="shared" si="37"/>
        <v>0</v>
      </c>
      <c r="L186" s="963"/>
      <c r="M186" s="53">
        <f t="shared" si="38"/>
        <v>2</v>
      </c>
      <c r="N186" s="963"/>
      <c r="O186" s="53">
        <f t="shared" si="39"/>
        <v>0.05</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0.03</v>
      </c>
      <c r="H187" s="963"/>
      <c r="I187" s="53">
        <f t="shared" si="36"/>
        <v>0.03</v>
      </c>
      <c r="J187" s="963"/>
      <c r="K187" s="53">
        <f t="shared" si="37"/>
        <v>0</v>
      </c>
      <c r="L187" s="963"/>
      <c r="M187" s="53">
        <f t="shared" si="38"/>
        <v>2</v>
      </c>
      <c r="N187" s="963"/>
      <c r="O187" s="53">
        <f t="shared" si="39"/>
        <v>0.05</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0.03</v>
      </c>
      <c r="H188" s="963"/>
      <c r="I188" s="53">
        <f t="shared" si="36"/>
        <v>0.03</v>
      </c>
      <c r="J188" s="963"/>
      <c r="K188" s="53">
        <f t="shared" si="37"/>
        <v>0</v>
      </c>
      <c r="L188" s="963"/>
      <c r="M188" s="53">
        <f t="shared" si="38"/>
        <v>2</v>
      </c>
      <c r="N188" s="963"/>
      <c r="O188" s="53">
        <f t="shared" si="39"/>
        <v>0.05</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0.03</v>
      </c>
      <c r="H189" s="963"/>
      <c r="I189" s="53">
        <f t="shared" si="36"/>
        <v>0.03</v>
      </c>
      <c r="J189" s="963"/>
      <c r="K189" s="53">
        <f t="shared" si="37"/>
        <v>0</v>
      </c>
      <c r="L189" s="963"/>
      <c r="M189" s="53">
        <f t="shared" si="38"/>
        <v>2</v>
      </c>
      <c r="N189" s="963"/>
      <c r="O189" s="53">
        <f t="shared" si="39"/>
        <v>0.05</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0.03</v>
      </c>
      <c r="H190" s="963"/>
      <c r="I190" s="53">
        <f t="shared" si="36"/>
        <v>0.03</v>
      </c>
      <c r="J190" s="963"/>
      <c r="K190" s="53">
        <f t="shared" si="37"/>
        <v>0</v>
      </c>
      <c r="L190" s="963"/>
      <c r="M190" s="53">
        <f t="shared" si="38"/>
        <v>2</v>
      </c>
      <c r="N190" s="963"/>
      <c r="O190" s="53">
        <f t="shared" si="39"/>
        <v>0.05</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0.03</v>
      </c>
      <c r="H191" s="963"/>
      <c r="I191" s="53">
        <f t="shared" si="36"/>
        <v>0.03</v>
      </c>
      <c r="J191" s="963"/>
      <c r="K191" s="53">
        <f t="shared" si="37"/>
        <v>0</v>
      </c>
      <c r="L191" s="963"/>
      <c r="M191" s="53">
        <f t="shared" si="38"/>
        <v>2</v>
      </c>
      <c r="N191" s="963"/>
      <c r="O191" s="53">
        <f t="shared" si="39"/>
        <v>0.05</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0.03</v>
      </c>
      <c r="H192" s="963"/>
      <c r="I192" s="53">
        <f t="shared" si="36"/>
        <v>0.03</v>
      </c>
      <c r="J192" s="963"/>
      <c r="K192" s="53">
        <f t="shared" si="37"/>
        <v>0</v>
      </c>
      <c r="L192" s="963"/>
      <c r="M192" s="53">
        <f t="shared" si="38"/>
        <v>2</v>
      </c>
      <c r="N192" s="963"/>
      <c r="O192" s="53">
        <f t="shared" si="39"/>
        <v>0.05</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0.03</v>
      </c>
      <c r="H193" s="963"/>
      <c r="I193" s="53">
        <f t="shared" si="36"/>
        <v>0.03</v>
      </c>
      <c r="J193" s="963"/>
      <c r="K193" s="53">
        <f t="shared" si="37"/>
        <v>0</v>
      </c>
      <c r="L193" s="963"/>
      <c r="M193" s="53">
        <f t="shared" si="38"/>
        <v>2</v>
      </c>
      <c r="N193" s="963"/>
      <c r="O193" s="53">
        <f t="shared" si="39"/>
        <v>0.05</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0.03</v>
      </c>
      <c r="H194" s="963"/>
      <c r="I194" s="53">
        <f t="shared" si="36"/>
        <v>0.03</v>
      </c>
      <c r="J194" s="963"/>
      <c r="K194" s="53">
        <f t="shared" si="37"/>
        <v>0</v>
      </c>
      <c r="L194" s="963"/>
      <c r="M194" s="53">
        <f t="shared" si="38"/>
        <v>2</v>
      </c>
      <c r="N194" s="963"/>
      <c r="O194" s="53">
        <f t="shared" si="39"/>
        <v>0.05</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0.03</v>
      </c>
      <c r="H195" s="963"/>
      <c r="I195" s="53">
        <f t="shared" si="36"/>
        <v>0.03</v>
      </c>
      <c r="J195" s="963"/>
      <c r="K195" s="53">
        <f t="shared" si="37"/>
        <v>0</v>
      </c>
      <c r="L195" s="963"/>
      <c r="M195" s="53">
        <f t="shared" si="38"/>
        <v>2</v>
      </c>
      <c r="N195" s="963"/>
      <c r="O195" s="53">
        <f t="shared" si="39"/>
        <v>0.05</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0.03</v>
      </c>
      <c r="H196" s="963"/>
      <c r="I196" s="53">
        <f t="shared" si="36"/>
        <v>0.03</v>
      </c>
      <c r="J196" s="963"/>
      <c r="K196" s="53">
        <f t="shared" si="37"/>
        <v>0</v>
      </c>
      <c r="L196" s="963"/>
      <c r="M196" s="53">
        <f t="shared" si="38"/>
        <v>2</v>
      </c>
      <c r="N196" s="963"/>
      <c r="O196" s="53">
        <f t="shared" si="39"/>
        <v>0.05</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0.03</v>
      </c>
      <c r="H197" s="963"/>
      <c r="I197" s="53">
        <f t="shared" si="36"/>
        <v>0.03</v>
      </c>
      <c r="J197" s="963"/>
      <c r="K197" s="53">
        <f t="shared" si="37"/>
        <v>0</v>
      </c>
      <c r="L197" s="963"/>
      <c r="M197" s="53">
        <f t="shared" si="38"/>
        <v>2</v>
      </c>
      <c r="N197" s="963"/>
      <c r="O197" s="53">
        <f t="shared" si="39"/>
        <v>0.05</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0.03</v>
      </c>
      <c r="H198" s="963"/>
      <c r="I198" s="53">
        <f t="shared" si="36"/>
        <v>0.03</v>
      </c>
      <c r="J198" s="963"/>
      <c r="K198" s="53">
        <f t="shared" si="37"/>
        <v>0</v>
      </c>
      <c r="L198" s="963"/>
      <c r="M198" s="53">
        <f t="shared" si="38"/>
        <v>2</v>
      </c>
      <c r="N198" s="963"/>
      <c r="O198" s="53">
        <f t="shared" si="39"/>
        <v>0.05</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0.03</v>
      </c>
      <c r="H199" s="963"/>
      <c r="I199" s="53">
        <f t="shared" si="36"/>
        <v>0.03</v>
      </c>
      <c r="J199" s="963"/>
      <c r="K199" s="53">
        <f t="shared" si="37"/>
        <v>0</v>
      </c>
      <c r="L199" s="963"/>
      <c r="M199" s="53">
        <f t="shared" si="38"/>
        <v>2</v>
      </c>
      <c r="N199" s="963"/>
      <c r="O199" s="53">
        <f t="shared" si="39"/>
        <v>0.05</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0.03</v>
      </c>
      <c r="H200" s="963"/>
      <c r="I200" s="53">
        <f t="shared" si="36"/>
        <v>0.03</v>
      </c>
      <c r="J200" s="963"/>
      <c r="K200" s="53">
        <f t="shared" si="37"/>
        <v>0</v>
      </c>
      <c r="L200" s="963"/>
      <c r="M200" s="53">
        <f t="shared" si="38"/>
        <v>2</v>
      </c>
      <c r="N200" s="963"/>
      <c r="O200" s="53">
        <f t="shared" si="39"/>
        <v>0.05</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0.03</v>
      </c>
      <c r="H201" s="963"/>
      <c r="I201" s="53">
        <f t="shared" si="36"/>
        <v>0.03</v>
      </c>
      <c r="J201" s="963"/>
      <c r="K201" s="53">
        <f t="shared" si="37"/>
        <v>0</v>
      </c>
      <c r="L201" s="963"/>
      <c r="M201" s="53">
        <f t="shared" si="38"/>
        <v>2</v>
      </c>
      <c r="N201" s="963"/>
      <c r="O201" s="53">
        <f t="shared" si="39"/>
        <v>0.05</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0.03</v>
      </c>
      <c r="H202" s="963"/>
      <c r="I202" s="53">
        <f t="shared" si="36"/>
        <v>0.03</v>
      </c>
      <c r="J202" s="963"/>
      <c r="K202" s="53">
        <f t="shared" si="37"/>
        <v>0</v>
      </c>
      <c r="L202" s="963"/>
      <c r="M202" s="53">
        <f t="shared" si="38"/>
        <v>2</v>
      </c>
      <c r="N202" s="963"/>
      <c r="O202" s="53">
        <f t="shared" si="39"/>
        <v>0.05</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0.03</v>
      </c>
      <c r="H203" s="963"/>
      <c r="I203" s="53">
        <f t="shared" si="36"/>
        <v>0.03</v>
      </c>
      <c r="J203" s="963"/>
      <c r="K203" s="53">
        <f t="shared" si="37"/>
        <v>0</v>
      </c>
      <c r="L203" s="963"/>
      <c r="M203" s="53">
        <f t="shared" si="38"/>
        <v>2</v>
      </c>
      <c r="N203" s="963"/>
      <c r="O203" s="53">
        <f t="shared" si="39"/>
        <v>0.05</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0.03</v>
      </c>
      <c r="H204" s="963"/>
      <c r="I204" s="53">
        <f t="shared" si="36"/>
        <v>0.03</v>
      </c>
      <c r="J204" s="963"/>
      <c r="K204" s="53">
        <f t="shared" si="37"/>
        <v>0</v>
      </c>
      <c r="L204" s="963"/>
      <c r="M204" s="53">
        <f t="shared" si="38"/>
        <v>2</v>
      </c>
      <c r="N204" s="963"/>
      <c r="O204" s="53">
        <f t="shared" si="39"/>
        <v>0.05</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0.03</v>
      </c>
      <c r="H205" s="963"/>
      <c r="I205" s="53">
        <f t="shared" si="36"/>
        <v>0.03</v>
      </c>
      <c r="J205" s="963"/>
      <c r="K205" s="53">
        <f t="shared" si="37"/>
        <v>0</v>
      </c>
      <c r="L205" s="963"/>
      <c r="M205" s="53">
        <f t="shared" si="38"/>
        <v>2</v>
      </c>
      <c r="N205" s="963"/>
      <c r="O205" s="53">
        <f t="shared" si="39"/>
        <v>0.05</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0.03</v>
      </c>
      <c r="H206" s="963"/>
      <c r="I206" s="53">
        <f t="shared" si="36"/>
        <v>0.03</v>
      </c>
      <c r="J206" s="963"/>
      <c r="K206" s="53">
        <f t="shared" si="37"/>
        <v>0</v>
      </c>
      <c r="L206" s="963"/>
      <c r="M206" s="53">
        <f t="shared" si="38"/>
        <v>2</v>
      </c>
      <c r="N206" s="963"/>
      <c r="O206" s="53">
        <f t="shared" si="39"/>
        <v>0.05</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0.03</v>
      </c>
      <c r="H207" s="963"/>
      <c r="I207" s="53">
        <f t="shared" si="36"/>
        <v>0.03</v>
      </c>
      <c r="J207" s="963"/>
      <c r="K207" s="53">
        <f t="shared" si="37"/>
        <v>0</v>
      </c>
      <c r="L207" s="963"/>
      <c r="M207" s="53">
        <f t="shared" si="38"/>
        <v>2</v>
      </c>
      <c r="N207" s="963"/>
      <c r="O207" s="53">
        <f t="shared" si="39"/>
        <v>0.05</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0.03</v>
      </c>
      <c r="H208" s="963"/>
      <c r="I208" s="53">
        <f t="shared" si="36"/>
        <v>0.03</v>
      </c>
      <c r="J208" s="963"/>
      <c r="K208" s="53">
        <f t="shared" si="37"/>
        <v>0</v>
      </c>
      <c r="L208" s="963"/>
      <c r="M208" s="53">
        <f t="shared" si="38"/>
        <v>2</v>
      </c>
      <c r="N208" s="963"/>
      <c r="O208" s="53">
        <f t="shared" si="39"/>
        <v>0.05</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0.03</v>
      </c>
      <c r="H209" s="963"/>
      <c r="I209" s="53">
        <f t="shared" si="36"/>
        <v>0.03</v>
      </c>
      <c r="J209" s="963"/>
      <c r="K209" s="53">
        <f t="shared" si="37"/>
        <v>0</v>
      </c>
      <c r="L209" s="963"/>
      <c r="M209" s="53">
        <f t="shared" si="38"/>
        <v>2</v>
      </c>
      <c r="N209" s="963"/>
      <c r="O209" s="53">
        <f t="shared" si="39"/>
        <v>0.05</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0.03</v>
      </c>
      <c r="H210" s="963"/>
      <c r="I210" s="53">
        <f t="shared" si="36"/>
        <v>0.03</v>
      </c>
      <c r="J210" s="963"/>
      <c r="K210" s="53">
        <f t="shared" si="37"/>
        <v>0</v>
      </c>
      <c r="L210" s="963"/>
      <c r="M210" s="53">
        <f t="shared" si="38"/>
        <v>2</v>
      </c>
      <c r="N210" s="963"/>
      <c r="O210" s="53">
        <f t="shared" si="39"/>
        <v>0.05</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0.03</v>
      </c>
      <c r="H211" s="963"/>
      <c r="I211" s="53">
        <f t="shared" si="36"/>
        <v>0.03</v>
      </c>
      <c r="J211" s="963"/>
      <c r="K211" s="53">
        <f t="shared" si="37"/>
        <v>0</v>
      </c>
      <c r="L211" s="963"/>
      <c r="M211" s="53">
        <f t="shared" si="38"/>
        <v>2</v>
      </c>
      <c r="N211" s="963"/>
      <c r="O211" s="53">
        <f t="shared" si="39"/>
        <v>0.05</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0.03</v>
      </c>
      <c r="H212" s="963"/>
      <c r="I212" s="53">
        <f t="shared" si="36"/>
        <v>0.03</v>
      </c>
      <c r="J212" s="963"/>
      <c r="K212" s="53">
        <f t="shared" si="37"/>
        <v>0</v>
      </c>
      <c r="L212" s="963"/>
      <c r="M212" s="53">
        <f t="shared" si="38"/>
        <v>2</v>
      </c>
      <c r="N212" s="963"/>
      <c r="O212" s="53">
        <f t="shared" si="39"/>
        <v>0.05</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0.03</v>
      </c>
      <c r="H213" s="963"/>
      <c r="I213" s="53">
        <f t="shared" si="36"/>
        <v>0.03</v>
      </c>
      <c r="J213" s="963"/>
      <c r="K213" s="53">
        <f t="shared" si="37"/>
        <v>0</v>
      </c>
      <c r="L213" s="963"/>
      <c r="M213" s="53">
        <f t="shared" si="38"/>
        <v>2</v>
      </c>
      <c r="N213" s="963"/>
      <c r="O213" s="53">
        <f t="shared" si="39"/>
        <v>0.05</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0.03</v>
      </c>
      <c r="H214" s="963"/>
      <c r="I214" s="53">
        <f t="shared" si="36"/>
        <v>0.03</v>
      </c>
      <c r="J214" s="963"/>
      <c r="K214" s="53">
        <f t="shared" si="37"/>
        <v>0</v>
      </c>
      <c r="L214" s="963"/>
      <c r="M214" s="53">
        <f t="shared" si="38"/>
        <v>2</v>
      </c>
      <c r="N214" s="963"/>
      <c r="O214" s="53">
        <f t="shared" si="39"/>
        <v>0.05</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0.03</v>
      </c>
      <c r="H215" s="963"/>
      <c r="I215" s="53">
        <f t="shared" si="36"/>
        <v>0.03</v>
      </c>
      <c r="J215" s="963"/>
      <c r="K215" s="53">
        <f t="shared" si="37"/>
        <v>0</v>
      </c>
      <c r="L215" s="963"/>
      <c r="M215" s="53">
        <f t="shared" si="38"/>
        <v>2</v>
      </c>
      <c r="N215" s="963"/>
      <c r="O215" s="53">
        <f t="shared" si="39"/>
        <v>0.05</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0.03</v>
      </c>
      <c r="H216" s="963"/>
      <c r="I216" s="53">
        <f t="shared" si="36"/>
        <v>0.03</v>
      </c>
      <c r="J216" s="963"/>
      <c r="K216" s="53">
        <f t="shared" si="37"/>
        <v>0</v>
      </c>
      <c r="L216" s="963"/>
      <c r="M216" s="53">
        <f t="shared" si="38"/>
        <v>2</v>
      </c>
      <c r="N216" s="963"/>
      <c r="O216" s="53">
        <f t="shared" si="39"/>
        <v>0.05</v>
      </c>
      <c r="P216" s="963"/>
      <c r="Q216" s="53">
        <f t="shared" si="40"/>
        <v>1</v>
      </c>
      <c r="R216" s="490">
        <f t="shared" si="41"/>
        <v>0</v>
      </c>
      <c r="S216" s="799">
        <f t="shared" si="42"/>
        <v>0</v>
      </c>
    </row>
    <row r="217" spans="1:19">
      <c r="A217" s="965"/>
      <c r="B217" s="137"/>
      <c r="C217" s="53">
        <f t="shared" si="33"/>
        <v>1</v>
      </c>
      <c r="D217" s="963"/>
      <c r="E217" s="53">
        <f t="shared" si="34"/>
        <v>0.1</v>
      </c>
      <c r="F217" s="963"/>
      <c r="G217" s="53">
        <f t="shared" si="35"/>
        <v>0.03</v>
      </c>
      <c r="H217" s="963"/>
      <c r="I217" s="53">
        <f t="shared" si="36"/>
        <v>0.03</v>
      </c>
      <c r="J217" s="963"/>
      <c r="K217" s="53">
        <f t="shared" si="37"/>
        <v>0</v>
      </c>
      <c r="L217" s="963"/>
      <c r="M217" s="53">
        <f t="shared" si="38"/>
        <v>2</v>
      </c>
      <c r="N217" s="963"/>
      <c r="O217" s="53">
        <f t="shared" si="39"/>
        <v>0.05</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0.1</v>
      </c>
      <c r="F218" s="963"/>
      <c r="G218" s="53">
        <f t="shared" ref="G218:G281" si="45">(SUMIF($7:$7,F218,$8:$8)-SUMIF($7:$7,$F$24,$8:$8)+100)/100</f>
        <v>0.03</v>
      </c>
      <c r="H218" s="963"/>
      <c r="I218" s="53">
        <f t="shared" ref="I218:I281" si="46">(SUMIF($9:$9,H218,$10:$10)-SUMIF($9:$9,$H$24,$10:$10)+100)/100</f>
        <v>0.03</v>
      </c>
      <c r="J218" s="963"/>
      <c r="K218" s="53">
        <f t="shared" ref="K218:K281" si="47">(SUMIF($11:$11,J218,$12:$12)-SUMIF($11:$11,$J$24,$12:$12)+100)/100</f>
        <v>0</v>
      </c>
      <c r="L218" s="963"/>
      <c r="M218" s="53">
        <f t="shared" ref="M218:M281" si="48">(SUMIF($13:$13,L218,$14:$14)-SUMIF($13:$13,$L$24,$14:$14)+100)/100</f>
        <v>2</v>
      </c>
      <c r="N218" s="963"/>
      <c r="O218" s="53">
        <f t="shared" ref="O218:O281" si="49">(SUMIF($15:$15,N218,$16:$16)-SUMIF($15:$15,$N$24,$16:$16)+100)/100</f>
        <v>0.05</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0.03</v>
      </c>
      <c r="H219" s="963"/>
      <c r="I219" s="53">
        <f t="shared" si="46"/>
        <v>0.03</v>
      </c>
      <c r="J219" s="963"/>
      <c r="K219" s="53">
        <f t="shared" si="47"/>
        <v>0</v>
      </c>
      <c r="L219" s="963"/>
      <c r="M219" s="53">
        <f t="shared" si="48"/>
        <v>2</v>
      </c>
      <c r="N219" s="963"/>
      <c r="O219" s="53">
        <f t="shared" si="49"/>
        <v>0.05</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0.03</v>
      </c>
      <c r="H220" s="963"/>
      <c r="I220" s="53">
        <f t="shared" si="46"/>
        <v>0.03</v>
      </c>
      <c r="J220" s="963"/>
      <c r="K220" s="53">
        <f t="shared" si="47"/>
        <v>0</v>
      </c>
      <c r="L220" s="963"/>
      <c r="M220" s="53">
        <f t="shared" si="48"/>
        <v>2</v>
      </c>
      <c r="N220" s="963"/>
      <c r="O220" s="53">
        <f t="shared" si="49"/>
        <v>0.05</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0.03</v>
      </c>
      <c r="H221" s="963"/>
      <c r="I221" s="53">
        <f t="shared" si="46"/>
        <v>0.03</v>
      </c>
      <c r="J221" s="963"/>
      <c r="K221" s="53">
        <f t="shared" si="47"/>
        <v>0</v>
      </c>
      <c r="L221" s="963"/>
      <c r="M221" s="53">
        <f t="shared" si="48"/>
        <v>2</v>
      </c>
      <c r="N221" s="963"/>
      <c r="O221" s="53">
        <f t="shared" si="49"/>
        <v>0.05</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0.03</v>
      </c>
      <c r="H222" s="963"/>
      <c r="I222" s="53">
        <f t="shared" si="46"/>
        <v>0.03</v>
      </c>
      <c r="J222" s="963"/>
      <c r="K222" s="53">
        <f t="shared" si="47"/>
        <v>0</v>
      </c>
      <c r="L222" s="963"/>
      <c r="M222" s="53">
        <f t="shared" si="48"/>
        <v>2</v>
      </c>
      <c r="N222" s="963"/>
      <c r="O222" s="53">
        <f t="shared" si="49"/>
        <v>0.05</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0.03</v>
      </c>
      <c r="H223" s="963"/>
      <c r="I223" s="53">
        <f t="shared" si="46"/>
        <v>0.03</v>
      </c>
      <c r="J223" s="963"/>
      <c r="K223" s="53">
        <f t="shared" si="47"/>
        <v>0</v>
      </c>
      <c r="L223" s="963"/>
      <c r="M223" s="53">
        <f t="shared" si="48"/>
        <v>2</v>
      </c>
      <c r="N223" s="963"/>
      <c r="O223" s="53">
        <f t="shared" si="49"/>
        <v>0.05</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0.03</v>
      </c>
      <c r="H224" s="963"/>
      <c r="I224" s="53">
        <f t="shared" si="46"/>
        <v>0.03</v>
      </c>
      <c r="J224" s="963"/>
      <c r="K224" s="53">
        <f t="shared" si="47"/>
        <v>0</v>
      </c>
      <c r="L224" s="963"/>
      <c r="M224" s="53">
        <f t="shared" si="48"/>
        <v>2</v>
      </c>
      <c r="N224" s="963"/>
      <c r="O224" s="53">
        <f t="shared" si="49"/>
        <v>0.05</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0.03</v>
      </c>
      <c r="H225" s="963"/>
      <c r="I225" s="53">
        <f t="shared" si="46"/>
        <v>0.03</v>
      </c>
      <c r="J225" s="963"/>
      <c r="K225" s="53">
        <f t="shared" si="47"/>
        <v>0</v>
      </c>
      <c r="L225" s="963"/>
      <c r="M225" s="53">
        <f t="shared" si="48"/>
        <v>2</v>
      </c>
      <c r="N225" s="963"/>
      <c r="O225" s="53">
        <f t="shared" si="49"/>
        <v>0.05</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0.03</v>
      </c>
      <c r="H226" s="963"/>
      <c r="I226" s="53">
        <f t="shared" si="46"/>
        <v>0.03</v>
      </c>
      <c r="J226" s="963"/>
      <c r="K226" s="53">
        <f t="shared" si="47"/>
        <v>0</v>
      </c>
      <c r="L226" s="963"/>
      <c r="M226" s="53">
        <f t="shared" si="48"/>
        <v>2</v>
      </c>
      <c r="N226" s="963"/>
      <c r="O226" s="53">
        <f t="shared" si="49"/>
        <v>0.05</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0.03</v>
      </c>
      <c r="H227" s="963"/>
      <c r="I227" s="53">
        <f t="shared" si="46"/>
        <v>0.03</v>
      </c>
      <c r="J227" s="963"/>
      <c r="K227" s="53">
        <f t="shared" si="47"/>
        <v>0</v>
      </c>
      <c r="L227" s="963"/>
      <c r="M227" s="53">
        <f t="shared" si="48"/>
        <v>2</v>
      </c>
      <c r="N227" s="963"/>
      <c r="O227" s="53">
        <f t="shared" si="49"/>
        <v>0.05</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0.03</v>
      </c>
      <c r="H228" s="963"/>
      <c r="I228" s="53">
        <f t="shared" si="46"/>
        <v>0.03</v>
      </c>
      <c r="J228" s="963"/>
      <c r="K228" s="53">
        <f t="shared" si="47"/>
        <v>0</v>
      </c>
      <c r="L228" s="963"/>
      <c r="M228" s="53">
        <f t="shared" si="48"/>
        <v>2</v>
      </c>
      <c r="N228" s="963"/>
      <c r="O228" s="53">
        <f t="shared" si="49"/>
        <v>0.05</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0.03</v>
      </c>
      <c r="H229" s="963"/>
      <c r="I229" s="53">
        <f t="shared" si="46"/>
        <v>0.03</v>
      </c>
      <c r="J229" s="963"/>
      <c r="K229" s="53">
        <f t="shared" si="47"/>
        <v>0</v>
      </c>
      <c r="L229" s="963"/>
      <c r="M229" s="53">
        <f t="shared" si="48"/>
        <v>2</v>
      </c>
      <c r="N229" s="963"/>
      <c r="O229" s="53">
        <f t="shared" si="49"/>
        <v>0.05</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0.03</v>
      </c>
      <c r="H230" s="963"/>
      <c r="I230" s="53">
        <f t="shared" si="46"/>
        <v>0.03</v>
      </c>
      <c r="J230" s="963"/>
      <c r="K230" s="53">
        <f t="shared" si="47"/>
        <v>0</v>
      </c>
      <c r="L230" s="963"/>
      <c r="M230" s="53">
        <f t="shared" si="48"/>
        <v>2</v>
      </c>
      <c r="N230" s="963"/>
      <c r="O230" s="53">
        <f t="shared" si="49"/>
        <v>0.05</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0.03</v>
      </c>
      <c r="H231" s="963"/>
      <c r="I231" s="53">
        <f t="shared" si="46"/>
        <v>0.03</v>
      </c>
      <c r="J231" s="963"/>
      <c r="K231" s="53">
        <f t="shared" si="47"/>
        <v>0</v>
      </c>
      <c r="L231" s="963"/>
      <c r="M231" s="53">
        <f t="shared" si="48"/>
        <v>2</v>
      </c>
      <c r="N231" s="963"/>
      <c r="O231" s="53">
        <f t="shared" si="49"/>
        <v>0.05</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0.03</v>
      </c>
      <c r="H232" s="963"/>
      <c r="I232" s="53">
        <f t="shared" si="46"/>
        <v>0.03</v>
      </c>
      <c r="J232" s="963"/>
      <c r="K232" s="53">
        <f t="shared" si="47"/>
        <v>0</v>
      </c>
      <c r="L232" s="963"/>
      <c r="M232" s="53">
        <f t="shared" si="48"/>
        <v>2</v>
      </c>
      <c r="N232" s="963"/>
      <c r="O232" s="53">
        <f t="shared" si="49"/>
        <v>0.05</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0.03</v>
      </c>
      <c r="H233" s="963"/>
      <c r="I233" s="53">
        <f t="shared" si="46"/>
        <v>0.03</v>
      </c>
      <c r="J233" s="963"/>
      <c r="K233" s="53">
        <f t="shared" si="47"/>
        <v>0</v>
      </c>
      <c r="L233" s="963"/>
      <c r="M233" s="53">
        <f t="shared" si="48"/>
        <v>2</v>
      </c>
      <c r="N233" s="963"/>
      <c r="O233" s="53">
        <f t="shared" si="49"/>
        <v>0.05</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0.03</v>
      </c>
      <c r="H234" s="963"/>
      <c r="I234" s="53">
        <f t="shared" si="46"/>
        <v>0.03</v>
      </c>
      <c r="J234" s="963"/>
      <c r="K234" s="53">
        <f t="shared" si="47"/>
        <v>0</v>
      </c>
      <c r="L234" s="963"/>
      <c r="M234" s="53">
        <f t="shared" si="48"/>
        <v>2</v>
      </c>
      <c r="N234" s="963"/>
      <c r="O234" s="53">
        <f t="shared" si="49"/>
        <v>0.05</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0.03</v>
      </c>
      <c r="H235" s="963"/>
      <c r="I235" s="53">
        <f t="shared" si="46"/>
        <v>0.03</v>
      </c>
      <c r="J235" s="963"/>
      <c r="K235" s="53">
        <f t="shared" si="47"/>
        <v>0</v>
      </c>
      <c r="L235" s="963"/>
      <c r="M235" s="53">
        <f t="shared" si="48"/>
        <v>2</v>
      </c>
      <c r="N235" s="963"/>
      <c r="O235" s="53">
        <f t="shared" si="49"/>
        <v>0.05</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0.03</v>
      </c>
      <c r="H236" s="963"/>
      <c r="I236" s="53">
        <f t="shared" si="46"/>
        <v>0.03</v>
      </c>
      <c r="J236" s="963"/>
      <c r="K236" s="53">
        <f t="shared" si="47"/>
        <v>0</v>
      </c>
      <c r="L236" s="963"/>
      <c r="M236" s="53">
        <f t="shared" si="48"/>
        <v>2</v>
      </c>
      <c r="N236" s="963"/>
      <c r="O236" s="53">
        <f t="shared" si="49"/>
        <v>0.05</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0.03</v>
      </c>
      <c r="H237" s="963"/>
      <c r="I237" s="53">
        <f t="shared" si="46"/>
        <v>0.03</v>
      </c>
      <c r="J237" s="963"/>
      <c r="K237" s="53">
        <f t="shared" si="47"/>
        <v>0</v>
      </c>
      <c r="L237" s="963"/>
      <c r="M237" s="53">
        <f t="shared" si="48"/>
        <v>2</v>
      </c>
      <c r="N237" s="963"/>
      <c r="O237" s="53">
        <f t="shared" si="49"/>
        <v>0.05</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0.03</v>
      </c>
      <c r="H238" s="963"/>
      <c r="I238" s="53">
        <f t="shared" si="46"/>
        <v>0.03</v>
      </c>
      <c r="J238" s="963"/>
      <c r="K238" s="53">
        <f t="shared" si="47"/>
        <v>0</v>
      </c>
      <c r="L238" s="963"/>
      <c r="M238" s="53">
        <f t="shared" si="48"/>
        <v>2</v>
      </c>
      <c r="N238" s="963"/>
      <c r="O238" s="53">
        <f t="shared" si="49"/>
        <v>0.05</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0.03</v>
      </c>
      <c r="H239" s="963"/>
      <c r="I239" s="53">
        <f t="shared" si="46"/>
        <v>0.03</v>
      </c>
      <c r="J239" s="963"/>
      <c r="K239" s="53">
        <f t="shared" si="47"/>
        <v>0</v>
      </c>
      <c r="L239" s="963"/>
      <c r="M239" s="53">
        <f t="shared" si="48"/>
        <v>2</v>
      </c>
      <c r="N239" s="963"/>
      <c r="O239" s="53">
        <f t="shared" si="49"/>
        <v>0.05</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0.03</v>
      </c>
      <c r="H240" s="963"/>
      <c r="I240" s="53">
        <f t="shared" si="46"/>
        <v>0.03</v>
      </c>
      <c r="J240" s="963"/>
      <c r="K240" s="53">
        <f t="shared" si="47"/>
        <v>0</v>
      </c>
      <c r="L240" s="963"/>
      <c r="M240" s="53">
        <f t="shared" si="48"/>
        <v>2</v>
      </c>
      <c r="N240" s="963"/>
      <c r="O240" s="53">
        <f t="shared" si="49"/>
        <v>0.05</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0.03</v>
      </c>
      <c r="H241" s="963"/>
      <c r="I241" s="53">
        <f t="shared" si="46"/>
        <v>0.03</v>
      </c>
      <c r="J241" s="963"/>
      <c r="K241" s="53">
        <f t="shared" si="47"/>
        <v>0</v>
      </c>
      <c r="L241" s="963"/>
      <c r="M241" s="53">
        <f t="shared" si="48"/>
        <v>2</v>
      </c>
      <c r="N241" s="963"/>
      <c r="O241" s="53">
        <f t="shared" si="49"/>
        <v>0.05</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0.03</v>
      </c>
      <c r="H242" s="963"/>
      <c r="I242" s="53">
        <f t="shared" si="46"/>
        <v>0.03</v>
      </c>
      <c r="J242" s="963"/>
      <c r="K242" s="53">
        <f t="shared" si="47"/>
        <v>0</v>
      </c>
      <c r="L242" s="963"/>
      <c r="M242" s="53">
        <f t="shared" si="48"/>
        <v>2</v>
      </c>
      <c r="N242" s="963"/>
      <c r="O242" s="53">
        <f t="shared" si="49"/>
        <v>0.05</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0.03</v>
      </c>
      <c r="H243" s="963"/>
      <c r="I243" s="53">
        <f t="shared" si="46"/>
        <v>0.03</v>
      </c>
      <c r="J243" s="963"/>
      <c r="K243" s="53">
        <f t="shared" si="47"/>
        <v>0</v>
      </c>
      <c r="L243" s="963"/>
      <c r="M243" s="53">
        <f t="shared" si="48"/>
        <v>2</v>
      </c>
      <c r="N243" s="963"/>
      <c r="O243" s="53">
        <f t="shared" si="49"/>
        <v>0.05</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0.03</v>
      </c>
      <c r="H244" s="963"/>
      <c r="I244" s="53">
        <f t="shared" si="46"/>
        <v>0.03</v>
      </c>
      <c r="J244" s="963"/>
      <c r="K244" s="53">
        <f t="shared" si="47"/>
        <v>0</v>
      </c>
      <c r="L244" s="963"/>
      <c r="M244" s="53">
        <f t="shared" si="48"/>
        <v>2</v>
      </c>
      <c r="N244" s="963"/>
      <c r="O244" s="53">
        <f t="shared" si="49"/>
        <v>0.05</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0.03</v>
      </c>
      <c r="H245" s="963"/>
      <c r="I245" s="53">
        <f t="shared" si="46"/>
        <v>0.03</v>
      </c>
      <c r="J245" s="963"/>
      <c r="K245" s="53">
        <f t="shared" si="47"/>
        <v>0</v>
      </c>
      <c r="L245" s="963"/>
      <c r="M245" s="53">
        <f t="shared" si="48"/>
        <v>2</v>
      </c>
      <c r="N245" s="963"/>
      <c r="O245" s="53">
        <f t="shared" si="49"/>
        <v>0.05</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0.03</v>
      </c>
      <c r="H246" s="963"/>
      <c r="I246" s="53">
        <f t="shared" si="46"/>
        <v>0.03</v>
      </c>
      <c r="J246" s="963"/>
      <c r="K246" s="53">
        <f t="shared" si="47"/>
        <v>0</v>
      </c>
      <c r="L246" s="963"/>
      <c r="M246" s="53">
        <f t="shared" si="48"/>
        <v>2</v>
      </c>
      <c r="N246" s="963"/>
      <c r="O246" s="53">
        <f t="shared" si="49"/>
        <v>0.05</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0.03</v>
      </c>
      <c r="H247" s="963"/>
      <c r="I247" s="53">
        <f t="shared" si="46"/>
        <v>0.03</v>
      </c>
      <c r="J247" s="963"/>
      <c r="K247" s="53">
        <f t="shared" si="47"/>
        <v>0</v>
      </c>
      <c r="L247" s="963"/>
      <c r="M247" s="53">
        <f t="shared" si="48"/>
        <v>2</v>
      </c>
      <c r="N247" s="963"/>
      <c r="O247" s="53">
        <f t="shared" si="49"/>
        <v>0.05</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0.03</v>
      </c>
      <c r="H248" s="963"/>
      <c r="I248" s="53">
        <f t="shared" si="46"/>
        <v>0.03</v>
      </c>
      <c r="J248" s="963"/>
      <c r="K248" s="53">
        <f t="shared" si="47"/>
        <v>0</v>
      </c>
      <c r="L248" s="963"/>
      <c r="M248" s="53">
        <f t="shared" si="48"/>
        <v>2</v>
      </c>
      <c r="N248" s="963"/>
      <c r="O248" s="53">
        <f t="shared" si="49"/>
        <v>0.05</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0.03</v>
      </c>
      <c r="H249" s="963"/>
      <c r="I249" s="53">
        <f t="shared" si="46"/>
        <v>0.03</v>
      </c>
      <c r="J249" s="963"/>
      <c r="K249" s="53">
        <f t="shared" si="47"/>
        <v>0</v>
      </c>
      <c r="L249" s="963"/>
      <c r="M249" s="53">
        <f t="shared" si="48"/>
        <v>2</v>
      </c>
      <c r="N249" s="963"/>
      <c r="O249" s="53">
        <f t="shared" si="49"/>
        <v>0.05</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0.03</v>
      </c>
      <c r="H250" s="963"/>
      <c r="I250" s="53">
        <f t="shared" si="46"/>
        <v>0.03</v>
      </c>
      <c r="J250" s="963"/>
      <c r="K250" s="53">
        <f t="shared" si="47"/>
        <v>0</v>
      </c>
      <c r="L250" s="963"/>
      <c r="M250" s="53">
        <f t="shared" si="48"/>
        <v>2</v>
      </c>
      <c r="N250" s="963"/>
      <c r="O250" s="53">
        <f t="shared" si="49"/>
        <v>0.05</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0.03</v>
      </c>
      <c r="H251" s="963"/>
      <c r="I251" s="53">
        <f t="shared" si="46"/>
        <v>0.03</v>
      </c>
      <c r="J251" s="963"/>
      <c r="K251" s="53">
        <f t="shared" si="47"/>
        <v>0</v>
      </c>
      <c r="L251" s="963"/>
      <c r="M251" s="53">
        <f t="shared" si="48"/>
        <v>2</v>
      </c>
      <c r="N251" s="963"/>
      <c r="O251" s="53">
        <f t="shared" si="49"/>
        <v>0.05</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0.03</v>
      </c>
      <c r="H252" s="963"/>
      <c r="I252" s="53">
        <f t="shared" si="46"/>
        <v>0.03</v>
      </c>
      <c r="J252" s="963"/>
      <c r="K252" s="53">
        <f t="shared" si="47"/>
        <v>0</v>
      </c>
      <c r="L252" s="963"/>
      <c r="M252" s="53">
        <f t="shared" si="48"/>
        <v>2</v>
      </c>
      <c r="N252" s="963"/>
      <c r="O252" s="53">
        <f t="shared" si="49"/>
        <v>0.05</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0.03</v>
      </c>
      <c r="H253" s="963"/>
      <c r="I253" s="53">
        <f t="shared" si="46"/>
        <v>0.03</v>
      </c>
      <c r="J253" s="963"/>
      <c r="K253" s="53">
        <f t="shared" si="47"/>
        <v>0</v>
      </c>
      <c r="L253" s="963"/>
      <c r="M253" s="53">
        <f t="shared" si="48"/>
        <v>2</v>
      </c>
      <c r="N253" s="963"/>
      <c r="O253" s="53">
        <f t="shared" si="49"/>
        <v>0.05</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0.03</v>
      </c>
      <c r="H254" s="963"/>
      <c r="I254" s="53">
        <f t="shared" si="46"/>
        <v>0.03</v>
      </c>
      <c r="J254" s="963"/>
      <c r="K254" s="53">
        <f t="shared" si="47"/>
        <v>0</v>
      </c>
      <c r="L254" s="963"/>
      <c r="M254" s="53">
        <f t="shared" si="48"/>
        <v>2</v>
      </c>
      <c r="N254" s="963"/>
      <c r="O254" s="53">
        <f t="shared" si="49"/>
        <v>0.05</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0.03</v>
      </c>
      <c r="H255" s="963"/>
      <c r="I255" s="53">
        <f t="shared" si="46"/>
        <v>0.03</v>
      </c>
      <c r="J255" s="963"/>
      <c r="K255" s="53">
        <f t="shared" si="47"/>
        <v>0</v>
      </c>
      <c r="L255" s="963"/>
      <c r="M255" s="53">
        <f t="shared" si="48"/>
        <v>2</v>
      </c>
      <c r="N255" s="963"/>
      <c r="O255" s="53">
        <f t="shared" si="49"/>
        <v>0.05</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0.03</v>
      </c>
      <c r="H256" s="963"/>
      <c r="I256" s="53">
        <f t="shared" si="46"/>
        <v>0.03</v>
      </c>
      <c r="J256" s="963"/>
      <c r="K256" s="53">
        <f t="shared" si="47"/>
        <v>0</v>
      </c>
      <c r="L256" s="963"/>
      <c r="M256" s="53">
        <f t="shared" si="48"/>
        <v>2</v>
      </c>
      <c r="N256" s="963"/>
      <c r="O256" s="53">
        <f t="shared" si="49"/>
        <v>0.05</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0.03</v>
      </c>
      <c r="H257" s="963"/>
      <c r="I257" s="53">
        <f t="shared" si="46"/>
        <v>0.03</v>
      </c>
      <c r="J257" s="963"/>
      <c r="K257" s="53">
        <f t="shared" si="47"/>
        <v>0</v>
      </c>
      <c r="L257" s="963"/>
      <c r="M257" s="53">
        <f t="shared" si="48"/>
        <v>2</v>
      </c>
      <c r="N257" s="963"/>
      <c r="O257" s="53">
        <f t="shared" si="49"/>
        <v>0.05</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0.03</v>
      </c>
      <c r="H258" s="963"/>
      <c r="I258" s="53">
        <f t="shared" si="46"/>
        <v>0.03</v>
      </c>
      <c r="J258" s="963"/>
      <c r="K258" s="53">
        <f t="shared" si="47"/>
        <v>0</v>
      </c>
      <c r="L258" s="963"/>
      <c r="M258" s="53">
        <f t="shared" si="48"/>
        <v>2</v>
      </c>
      <c r="N258" s="963"/>
      <c r="O258" s="53">
        <f t="shared" si="49"/>
        <v>0.05</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0.03</v>
      </c>
      <c r="H259" s="963"/>
      <c r="I259" s="53">
        <f t="shared" si="46"/>
        <v>0.03</v>
      </c>
      <c r="J259" s="963"/>
      <c r="K259" s="53">
        <f t="shared" si="47"/>
        <v>0</v>
      </c>
      <c r="L259" s="963"/>
      <c r="M259" s="53">
        <f t="shared" si="48"/>
        <v>2</v>
      </c>
      <c r="N259" s="963"/>
      <c r="O259" s="53">
        <f t="shared" si="49"/>
        <v>0.05</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0.03</v>
      </c>
      <c r="H260" s="963"/>
      <c r="I260" s="53">
        <f t="shared" si="46"/>
        <v>0.03</v>
      </c>
      <c r="J260" s="963"/>
      <c r="K260" s="53">
        <f t="shared" si="47"/>
        <v>0</v>
      </c>
      <c r="L260" s="963"/>
      <c r="M260" s="53">
        <f t="shared" si="48"/>
        <v>2</v>
      </c>
      <c r="N260" s="963"/>
      <c r="O260" s="53">
        <f t="shared" si="49"/>
        <v>0.05</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0.03</v>
      </c>
      <c r="H261" s="963"/>
      <c r="I261" s="53">
        <f t="shared" si="46"/>
        <v>0.03</v>
      </c>
      <c r="J261" s="963"/>
      <c r="K261" s="53">
        <f t="shared" si="47"/>
        <v>0</v>
      </c>
      <c r="L261" s="963"/>
      <c r="M261" s="53">
        <f t="shared" si="48"/>
        <v>2</v>
      </c>
      <c r="N261" s="963"/>
      <c r="O261" s="53">
        <f t="shared" si="49"/>
        <v>0.05</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0.03</v>
      </c>
      <c r="H262" s="963"/>
      <c r="I262" s="53">
        <f t="shared" si="46"/>
        <v>0.03</v>
      </c>
      <c r="J262" s="963"/>
      <c r="K262" s="53">
        <f t="shared" si="47"/>
        <v>0</v>
      </c>
      <c r="L262" s="963"/>
      <c r="M262" s="53">
        <f t="shared" si="48"/>
        <v>2</v>
      </c>
      <c r="N262" s="963"/>
      <c r="O262" s="53">
        <f t="shared" si="49"/>
        <v>0.05</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0.03</v>
      </c>
      <c r="H263" s="963"/>
      <c r="I263" s="53">
        <f t="shared" si="46"/>
        <v>0.03</v>
      </c>
      <c r="J263" s="963"/>
      <c r="K263" s="53">
        <f t="shared" si="47"/>
        <v>0</v>
      </c>
      <c r="L263" s="963"/>
      <c r="M263" s="53">
        <f t="shared" si="48"/>
        <v>2</v>
      </c>
      <c r="N263" s="963"/>
      <c r="O263" s="53">
        <f t="shared" si="49"/>
        <v>0.05</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0.03</v>
      </c>
      <c r="H264" s="963"/>
      <c r="I264" s="53">
        <f t="shared" si="46"/>
        <v>0.03</v>
      </c>
      <c r="J264" s="963"/>
      <c r="K264" s="53">
        <f t="shared" si="47"/>
        <v>0</v>
      </c>
      <c r="L264" s="963"/>
      <c r="M264" s="53">
        <f t="shared" si="48"/>
        <v>2</v>
      </c>
      <c r="N264" s="963"/>
      <c r="O264" s="53">
        <f t="shared" si="49"/>
        <v>0.05</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0.03</v>
      </c>
      <c r="H265" s="963"/>
      <c r="I265" s="53">
        <f t="shared" si="46"/>
        <v>0.03</v>
      </c>
      <c r="J265" s="963"/>
      <c r="K265" s="53">
        <f t="shared" si="47"/>
        <v>0</v>
      </c>
      <c r="L265" s="963"/>
      <c r="M265" s="53">
        <f t="shared" si="48"/>
        <v>2</v>
      </c>
      <c r="N265" s="963"/>
      <c r="O265" s="53">
        <f t="shared" si="49"/>
        <v>0.05</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0.03</v>
      </c>
      <c r="H266" s="963"/>
      <c r="I266" s="53">
        <f t="shared" si="46"/>
        <v>0.03</v>
      </c>
      <c r="J266" s="963"/>
      <c r="K266" s="53">
        <f t="shared" si="47"/>
        <v>0</v>
      </c>
      <c r="L266" s="963"/>
      <c r="M266" s="53">
        <f t="shared" si="48"/>
        <v>2</v>
      </c>
      <c r="N266" s="963"/>
      <c r="O266" s="53">
        <f t="shared" si="49"/>
        <v>0.05</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0.03</v>
      </c>
      <c r="H267" s="963"/>
      <c r="I267" s="53">
        <f t="shared" si="46"/>
        <v>0.03</v>
      </c>
      <c r="J267" s="963"/>
      <c r="K267" s="53">
        <f t="shared" si="47"/>
        <v>0</v>
      </c>
      <c r="L267" s="963"/>
      <c r="M267" s="53">
        <f t="shared" si="48"/>
        <v>2</v>
      </c>
      <c r="N267" s="963"/>
      <c r="O267" s="53">
        <f t="shared" si="49"/>
        <v>0.05</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0.03</v>
      </c>
      <c r="H268" s="963"/>
      <c r="I268" s="53">
        <f t="shared" si="46"/>
        <v>0.03</v>
      </c>
      <c r="J268" s="963"/>
      <c r="K268" s="53">
        <f t="shared" si="47"/>
        <v>0</v>
      </c>
      <c r="L268" s="963"/>
      <c r="M268" s="53">
        <f t="shared" si="48"/>
        <v>2</v>
      </c>
      <c r="N268" s="963"/>
      <c r="O268" s="53">
        <f t="shared" si="49"/>
        <v>0.05</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0.03</v>
      </c>
      <c r="H269" s="963"/>
      <c r="I269" s="53">
        <f t="shared" si="46"/>
        <v>0.03</v>
      </c>
      <c r="J269" s="963"/>
      <c r="K269" s="53">
        <f t="shared" si="47"/>
        <v>0</v>
      </c>
      <c r="L269" s="963"/>
      <c r="M269" s="53">
        <f t="shared" si="48"/>
        <v>2</v>
      </c>
      <c r="N269" s="963"/>
      <c r="O269" s="53">
        <f t="shared" si="49"/>
        <v>0.05</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0.03</v>
      </c>
      <c r="H270" s="963"/>
      <c r="I270" s="53">
        <f t="shared" si="46"/>
        <v>0.03</v>
      </c>
      <c r="J270" s="963"/>
      <c r="K270" s="53">
        <f t="shared" si="47"/>
        <v>0</v>
      </c>
      <c r="L270" s="963"/>
      <c r="M270" s="53">
        <f t="shared" si="48"/>
        <v>2</v>
      </c>
      <c r="N270" s="963"/>
      <c r="O270" s="53">
        <f t="shared" si="49"/>
        <v>0.05</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0.03</v>
      </c>
      <c r="H271" s="963"/>
      <c r="I271" s="53">
        <f t="shared" si="46"/>
        <v>0.03</v>
      </c>
      <c r="J271" s="963"/>
      <c r="K271" s="53">
        <f t="shared" si="47"/>
        <v>0</v>
      </c>
      <c r="L271" s="963"/>
      <c r="M271" s="53">
        <f t="shared" si="48"/>
        <v>2</v>
      </c>
      <c r="N271" s="963"/>
      <c r="O271" s="53">
        <f t="shared" si="49"/>
        <v>0.05</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0.03</v>
      </c>
      <c r="H272" s="963"/>
      <c r="I272" s="53">
        <f t="shared" si="46"/>
        <v>0.03</v>
      </c>
      <c r="J272" s="963"/>
      <c r="K272" s="53">
        <f t="shared" si="47"/>
        <v>0</v>
      </c>
      <c r="L272" s="963"/>
      <c r="M272" s="53">
        <f t="shared" si="48"/>
        <v>2</v>
      </c>
      <c r="N272" s="963"/>
      <c r="O272" s="53">
        <f t="shared" si="49"/>
        <v>0.05</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0.03</v>
      </c>
      <c r="H273" s="963"/>
      <c r="I273" s="53">
        <f t="shared" si="46"/>
        <v>0.03</v>
      </c>
      <c r="J273" s="963"/>
      <c r="K273" s="53">
        <f t="shared" si="47"/>
        <v>0</v>
      </c>
      <c r="L273" s="963"/>
      <c r="M273" s="53">
        <f t="shared" si="48"/>
        <v>2</v>
      </c>
      <c r="N273" s="963"/>
      <c r="O273" s="53">
        <f t="shared" si="49"/>
        <v>0.05</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0.03</v>
      </c>
      <c r="H274" s="963"/>
      <c r="I274" s="53">
        <f t="shared" si="46"/>
        <v>0.03</v>
      </c>
      <c r="J274" s="963"/>
      <c r="K274" s="53">
        <f t="shared" si="47"/>
        <v>0</v>
      </c>
      <c r="L274" s="963"/>
      <c r="M274" s="53">
        <f t="shared" si="48"/>
        <v>2</v>
      </c>
      <c r="N274" s="963"/>
      <c r="O274" s="53">
        <f t="shared" si="49"/>
        <v>0.05</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0.03</v>
      </c>
      <c r="H275" s="963"/>
      <c r="I275" s="53">
        <f t="shared" si="46"/>
        <v>0.03</v>
      </c>
      <c r="J275" s="963"/>
      <c r="K275" s="53">
        <f t="shared" si="47"/>
        <v>0</v>
      </c>
      <c r="L275" s="963"/>
      <c r="M275" s="53">
        <f t="shared" si="48"/>
        <v>2</v>
      </c>
      <c r="N275" s="963"/>
      <c r="O275" s="53">
        <f t="shared" si="49"/>
        <v>0.05</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0.03</v>
      </c>
      <c r="H276" s="963"/>
      <c r="I276" s="53">
        <f t="shared" si="46"/>
        <v>0.03</v>
      </c>
      <c r="J276" s="963"/>
      <c r="K276" s="53">
        <f t="shared" si="47"/>
        <v>0</v>
      </c>
      <c r="L276" s="963"/>
      <c r="M276" s="53">
        <f t="shared" si="48"/>
        <v>2</v>
      </c>
      <c r="N276" s="963"/>
      <c r="O276" s="53">
        <f t="shared" si="49"/>
        <v>0.05</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0.03</v>
      </c>
      <c r="H277" s="963"/>
      <c r="I277" s="53">
        <f t="shared" si="46"/>
        <v>0.03</v>
      </c>
      <c r="J277" s="963"/>
      <c r="K277" s="53">
        <f t="shared" si="47"/>
        <v>0</v>
      </c>
      <c r="L277" s="963"/>
      <c r="M277" s="53">
        <f t="shared" si="48"/>
        <v>2</v>
      </c>
      <c r="N277" s="963"/>
      <c r="O277" s="53">
        <f t="shared" si="49"/>
        <v>0.05</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0.03</v>
      </c>
      <c r="H278" s="963"/>
      <c r="I278" s="53">
        <f t="shared" si="46"/>
        <v>0.03</v>
      </c>
      <c r="J278" s="963"/>
      <c r="K278" s="53">
        <f t="shared" si="47"/>
        <v>0</v>
      </c>
      <c r="L278" s="963"/>
      <c r="M278" s="53">
        <f t="shared" si="48"/>
        <v>2</v>
      </c>
      <c r="N278" s="963"/>
      <c r="O278" s="53">
        <f t="shared" si="49"/>
        <v>0.05</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0.03</v>
      </c>
      <c r="H279" s="963"/>
      <c r="I279" s="53">
        <f t="shared" si="46"/>
        <v>0.03</v>
      </c>
      <c r="J279" s="963"/>
      <c r="K279" s="53">
        <f t="shared" si="47"/>
        <v>0</v>
      </c>
      <c r="L279" s="963"/>
      <c r="M279" s="53">
        <f t="shared" si="48"/>
        <v>2</v>
      </c>
      <c r="N279" s="963"/>
      <c r="O279" s="53">
        <f t="shared" si="49"/>
        <v>0.05</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0.03</v>
      </c>
      <c r="H280" s="963"/>
      <c r="I280" s="53">
        <f t="shared" si="46"/>
        <v>0.03</v>
      </c>
      <c r="J280" s="963"/>
      <c r="K280" s="53">
        <f t="shared" si="47"/>
        <v>0</v>
      </c>
      <c r="L280" s="963"/>
      <c r="M280" s="53">
        <f t="shared" si="48"/>
        <v>2</v>
      </c>
      <c r="N280" s="963"/>
      <c r="O280" s="53">
        <f t="shared" si="49"/>
        <v>0.05</v>
      </c>
      <c r="P280" s="963"/>
      <c r="Q280" s="53">
        <f t="shared" si="50"/>
        <v>1</v>
      </c>
      <c r="R280" s="490">
        <f t="shared" si="51"/>
        <v>0</v>
      </c>
      <c r="S280" s="799">
        <f t="shared" si="52"/>
        <v>0</v>
      </c>
    </row>
    <row r="281" spans="1:19">
      <c r="A281" s="965"/>
      <c r="B281" s="137"/>
      <c r="C281" s="53">
        <f t="shared" si="43"/>
        <v>1</v>
      </c>
      <c r="D281" s="963"/>
      <c r="E281" s="53">
        <f t="shared" si="44"/>
        <v>0.1</v>
      </c>
      <c r="F281" s="963"/>
      <c r="G281" s="53">
        <f t="shared" si="45"/>
        <v>0.03</v>
      </c>
      <c r="H281" s="963"/>
      <c r="I281" s="53">
        <f t="shared" si="46"/>
        <v>0.03</v>
      </c>
      <c r="J281" s="963"/>
      <c r="K281" s="53">
        <f t="shared" si="47"/>
        <v>0</v>
      </c>
      <c r="L281" s="963"/>
      <c r="M281" s="53">
        <f t="shared" si="48"/>
        <v>2</v>
      </c>
      <c r="N281" s="963"/>
      <c r="O281" s="53">
        <f t="shared" si="49"/>
        <v>0.05</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0.1</v>
      </c>
      <c r="F282" s="963"/>
      <c r="G282" s="53">
        <f t="shared" ref="G282:G345" si="55">(SUMIF($7:$7,F282,$8:$8)-SUMIF($7:$7,$F$24,$8:$8)+100)/100</f>
        <v>0.03</v>
      </c>
      <c r="H282" s="963"/>
      <c r="I282" s="53">
        <f t="shared" ref="I282:I345" si="56">(SUMIF($9:$9,H282,$10:$10)-SUMIF($9:$9,$H$24,$10:$10)+100)/100</f>
        <v>0.03</v>
      </c>
      <c r="J282" s="963"/>
      <c r="K282" s="53">
        <f t="shared" ref="K282:K345" si="57">(SUMIF($11:$11,J282,$12:$12)-SUMIF($11:$11,$J$24,$12:$12)+100)/100</f>
        <v>0</v>
      </c>
      <c r="L282" s="963"/>
      <c r="M282" s="53">
        <f t="shared" ref="M282:M345" si="58">(SUMIF($13:$13,L282,$14:$14)-SUMIF($13:$13,$L$24,$14:$14)+100)/100</f>
        <v>2</v>
      </c>
      <c r="N282" s="963"/>
      <c r="O282" s="53">
        <f t="shared" ref="O282:O345" si="59">(SUMIF($15:$15,N282,$16:$16)-SUMIF($15:$15,$N$24,$16:$16)+100)/100</f>
        <v>0.05</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0.03</v>
      </c>
      <c r="H283" s="963"/>
      <c r="I283" s="53">
        <f t="shared" si="56"/>
        <v>0.03</v>
      </c>
      <c r="J283" s="963"/>
      <c r="K283" s="53">
        <f t="shared" si="57"/>
        <v>0</v>
      </c>
      <c r="L283" s="963"/>
      <c r="M283" s="53">
        <f t="shared" si="58"/>
        <v>2</v>
      </c>
      <c r="N283" s="963"/>
      <c r="O283" s="53">
        <f t="shared" si="59"/>
        <v>0.05</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0.03</v>
      </c>
      <c r="H284" s="963"/>
      <c r="I284" s="53">
        <f t="shared" si="56"/>
        <v>0.03</v>
      </c>
      <c r="J284" s="963"/>
      <c r="K284" s="53">
        <f t="shared" si="57"/>
        <v>0</v>
      </c>
      <c r="L284" s="963"/>
      <c r="M284" s="53">
        <f t="shared" si="58"/>
        <v>2</v>
      </c>
      <c r="N284" s="963"/>
      <c r="O284" s="53">
        <f t="shared" si="59"/>
        <v>0.05</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0.03</v>
      </c>
      <c r="H285" s="963"/>
      <c r="I285" s="53">
        <f t="shared" si="56"/>
        <v>0.03</v>
      </c>
      <c r="J285" s="963"/>
      <c r="K285" s="53">
        <f t="shared" si="57"/>
        <v>0</v>
      </c>
      <c r="L285" s="963"/>
      <c r="M285" s="53">
        <f t="shared" si="58"/>
        <v>2</v>
      </c>
      <c r="N285" s="963"/>
      <c r="O285" s="53">
        <f t="shared" si="59"/>
        <v>0.05</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0.03</v>
      </c>
      <c r="H286" s="963"/>
      <c r="I286" s="53">
        <f t="shared" si="56"/>
        <v>0.03</v>
      </c>
      <c r="J286" s="963"/>
      <c r="K286" s="53">
        <f t="shared" si="57"/>
        <v>0</v>
      </c>
      <c r="L286" s="963"/>
      <c r="M286" s="53">
        <f t="shared" si="58"/>
        <v>2</v>
      </c>
      <c r="N286" s="963"/>
      <c r="O286" s="53">
        <f t="shared" si="59"/>
        <v>0.05</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0.03</v>
      </c>
      <c r="H287" s="963"/>
      <c r="I287" s="53">
        <f t="shared" si="56"/>
        <v>0.03</v>
      </c>
      <c r="J287" s="963"/>
      <c r="K287" s="53">
        <f t="shared" si="57"/>
        <v>0</v>
      </c>
      <c r="L287" s="963"/>
      <c r="M287" s="53">
        <f t="shared" si="58"/>
        <v>2</v>
      </c>
      <c r="N287" s="963"/>
      <c r="O287" s="53">
        <f t="shared" si="59"/>
        <v>0.05</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0.03</v>
      </c>
      <c r="H288" s="963"/>
      <c r="I288" s="53">
        <f t="shared" si="56"/>
        <v>0.03</v>
      </c>
      <c r="J288" s="963"/>
      <c r="K288" s="53">
        <f t="shared" si="57"/>
        <v>0</v>
      </c>
      <c r="L288" s="963"/>
      <c r="M288" s="53">
        <f t="shared" si="58"/>
        <v>2</v>
      </c>
      <c r="N288" s="963"/>
      <c r="O288" s="53">
        <f t="shared" si="59"/>
        <v>0.05</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0.03</v>
      </c>
      <c r="H289" s="963"/>
      <c r="I289" s="53">
        <f t="shared" si="56"/>
        <v>0.03</v>
      </c>
      <c r="J289" s="963"/>
      <c r="K289" s="53">
        <f t="shared" si="57"/>
        <v>0</v>
      </c>
      <c r="L289" s="963"/>
      <c r="M289" s="53">
        <f t="shared" si="58"/>
        <v>2</v>
      </c>
      <c r="N289" s="963"/>
      <c r="O289" s="53">
        <f t="shared" si="59"/>
        <v>0.05</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0.03</v>
      </c>
      <c r="H290" s="963"/>
      <c r="I290" s="53">
        <f t="shared" si="56"/>
        <v>0.03</v>
      </c>
      <c r="J290" s="963"/>
      <c r="K290" s="53">
        <f t="shared" si="57"/>
        <v>0</v>
      </c>
      <c r="L290" s="963"/>
      <c r="M290" s="53">
        <f t="shared" si="58"/>
        <v>2</v>
      </c>
      <c r="N290" s="963"/>
      <c r="O290" s="53">
        <f t="shared" si="59"/>
        <v>0.05</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0.03</v>
      </c>
      <c r="H291" s="963"/>
      <c r="I291" s="53">
        <f t="shared" si="56"/>
        <v>0.03</v>
      </c>
      <c r="J291" s="963"/>
      <c r="K291" s="53">
        <f t="shared" si="57"/>
        <v>0</v>
      </c>
      <c r="L291" s="963"/>
      <c r="M291" s="53">
        <f t="shared" si="58"/>
        <v>2</v>
      </c>
      <c r="N291" s="963"/>
      <c r="O291" s="53">
        <f t="shared" si="59"/>
        <v>0.05</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0.03</v>
      </c>
      <c r="H292" s="963"/>
      <c r="I292" s="53">
        <f t="shared" si="56"/>
        <v>0.03</v>
      </c>
      <c r="J292" s="963"/>
      <c r="K292" s="53">
        <f t="shared" si="57"/>
        <v>0</v>
      </c>
      <c r="L292" s="963"/>
      <c r="M292" s="53">
        <f t="shared" si="58"/>
        <v>2</v>
      </c>
      <c r="N292" s="963"/>
      <c r="O292" s="53">
        <f t="shared" si="59"/>
        <v>0.05</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0.03</v>
      </c>
      <c r="H293" s="963"/>
      <c r="I293" s="53">
        <f t="shared" si="56"/>
        <v>0.03</v>
      </c>
      <c r="J293" s="963"/>
      <c r="K293" s="53">
        <f t="shared" si="57"/>
        <v>0</v>
      </c>
      <c r="L293" s="963"/>
      <c r="M293" s="53">
        <f t="shared" si="58"/>
        <v>2</v>
      </c>
      <c r="N293" s="963"/>
      <c r="O293" s="53">
        <f t="shared" si="59"/>
        <v>0.05</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0.03</v>
      </c>
      <c r="H294" s="963"/>
      <c r="I294" s="53">
        <f t="shared" si="56"/>
        <v>0.03</v>
      </c>
      <c r="J294" s="963"/>
      <c r="K294" s="53">
        <f t="shared" si="57"/>
        <v>0</v>
      </c>
      <c r="L294" s="963"/>
      <c r="M294" s="53">
        <f t="shared" si="58"/>
        <v>2</v>
      </c>
      <c r="N294" s="963"/>
      <c r="O294" s="53">
        <f t="shared" si="59"/>
        <v>0.05</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0.03</v>
      </c>
      <c r="H295" s="963"/>
      <c r="I295" s="53">
        <f t="shared" si="56"/>
        <v>0.03</v>
      </c>
      <c r="J295" s="963"/>
      <c r="K295" s="53">
        <f t="shared" si="57"/>
        <v>0</v>
      </c>
      <c r="L295" s="963"/>
      <c r="M295" s="53">
        <f t="shared" si="58"/>
        <v>2</v>
      </c>
      <c r="N295" s="963"/>
      <c r="O295" s="53">
        <f t="shared" si="59"/>
        <v>0.05</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0.03</v>
      </c>
      <c r="H296" s="963"/>
      <c r="I296" s="53">
        <f t="shared" si="56"/>
        <v>0.03</v>
      </c>
      <c r="J296" s="963"/>
      <c r="K296" s="53">
        <f t="shared" si="57"/>
        <v>0</v>
      </c>
      <c r="L296" s="963"/>
      <c r="M296" s="53">
        <f t="shared" si="58"/>
        <v>2</v>
      </c>
      <c r="N296" s="963"/>
      <c r="O296" s="53">
        <f t="shared" si="59"/>
        <v>0.05</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0.03</v>
      </c>
      <c r="H297" s="963"/>
      <c r="I297" s="53">
        <f t="shared" si="56"/>
        <v>0.03</v>
      </c>
      <c r="J297" s="963"/>
      <c r="K297" s="53">
        <f t="shared" si="57"/>
        <v>0</v>
      </c>
      <c r="L297" s="963"/>
      <c r="M297" s="53">
        <f t="shared" si="58"/>
        <v>2</v>
      </c>
      <c r="N297" s="963"/>
      <c r="O297" s="53">
        <f t="shared" si="59"/>
        <v>0.05</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0.03</v>
      </c>
      <c r="H298" s="963"/>
      <c r="I298" s="53">
        <f t="shared" si="56"/>
        <v>0.03</v>
      </c>
      <c r="J298" s="963"/>
      <c r="K298" s="53">
        <f t="shared" si="57"/>
        <v>0</v>
      </c>
      <c r="L298" s="963"/>
      <c r="M298" s="53">
        <f t="shared" si="58"/>
        <v>2</v>
      </c>
      <c r="N298" s="963"/>
      <c r="O298" s="53">
        <f t="shared" si="59"/>
        <v>0.05</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0.03</v>
      </c>
      <c r="H299" s="963"/>
      <c r="I299" s="53">
        <f t="shared" si="56"/>
        <v>0.03</v>
      </c>
      <c r="J299" s="963"/>
      <c r="K299" s="53">
        <f t="shared" si="57"/>
        <v>0</v>
      </c>
      <c r="L299" s="963"/>
      <c r="M299" s="53">
        <f t="shared" si="58"/>
        <v>2</v>
      </c>
      <c r="N299" s="963"/>
      <c r="O299" s="53">
        <f t="shared" si="59"/>
        <v>0.05</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0.03</v>
      </c>
      <c r="H300" s="963"/>
      <c r="I300" s="53">
        <f t="shared" si="56"/>
        <v>0.03</v>
      </c>
      <c r="J300" s="963"/>
      <c r="K300" s="53">
        <f t="shared" si="57"/>
        <v>0</v>
      </c>
      <c r="L300" s="963"/>
      <c r="M300" s="53">
        <f t="shared" si="58"/>
        <v>2</v>
      </c>
      <c r="N300" s="963"/>
      <c r="O300" s="53">
        <f t="shared" si="59"/>
        <v>0.05</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0.03</v>
      </c>
      <c r="H301" s="963"/>
      <c r="I301" s="53">
        <f t="shared" si="56"/>
        <v>0.03</v>
      </c>
      <c r="J301" s="963"/>
      <c r="K301" s="53">
        <f t="shared" si="57"/>
        <v>0</v>
      </c>
      <c r="L301" s="963"/>
      <c r="M301" s="53">
        <f t="shared" si="58"/>
        <v>2</v>
      </c>
      <c r="N301" s="963"/>
      <c r="O301" s="53">
        <f t="shared" si="59"/>
        <v>0.05</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0.03</v>
      </c>
      <c r="H302" s="963"/>
      <c r="I302" s="53">
        <f t="shared" si="56"/>
        <v>0.03</v>
      </c>
      <c r="J302" s="963"/>
      <c r="K302" s="53">
        <f t="shared" si="57"/>
        <v>0</v>
      </c>
      <c r="L302" s="963"/>
      <c r="M302" s="53">
        <f t="shared" si="58"/>
        <v>2</v>
      </c>
      <c r="N302" s="963"/>
      <c r="O302" s="53">
        <f t="shared" si="59"/>
        <v>0.05</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0.03</v>
      </c>
      <c r="H303" s="963"/>
      <c r="I303" s="53">
        <f t="shared" si="56"/>
        <v>0.03</v>
      </c>
      <c r="J303" s="963"/>
      <c r="K303" s="53">
        <f t="shared" si="57"/>
        <v>0</v>
      </c>
      <c r="L303" s="963"/>
      <c r="M303" s="53">
        <f t="shared" si="58"/>
        <v>2</v>
      </c>
      <c r="N303" s="963"/>
      <c r="O303" s="53">
        <f t="shared" si="59"/>
        <v>0.05</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0.03</v>
      </c>
      <c r="H304" s="963"/>
      <c r="I304" s="53">
        <f t="shared" si="56"/>
        <v>0.03</v>
      </c>
      <c r="J304" s="963"/>
      <c r="K304" s="53">
        <f t="shared" si="57"/>
        <v>0</v>
      </c>
      <c r="L304" s="963"/>
      <c r="M304" s="53">
        <f t="shared" si="58"/>
        <v>2</v>
      </c>
      <c r="N304" s="963"/>
      <c r="O304" s="53">
        <f t="shared" si="59"/>
        <v>0.05</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0.03</v>
      </c>
      <c r="H305" s="963"/>
      <c r="I305" s="53">
        <f t="shared" si="56"/>
        <v>0.03</v>
      </c>
      <c r="J305" s="963"/>
      <c r="K305" s="53">
        <f t="shared" si="57"/>
        <v>0</v>
      </c>
      <c r="L305" s="963"/>
      <c r="M305" s="53">
        <f t="shared" si="58"/>
        <v>2</v>
      </c>
      <c r="N305" s="963"/>
      <c r="O305" s="53">
        <f t="shared" si="59"/>
        <v>0.05</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0.03</v>
      </c>
      <c r="H306" s="963"/>
      <c r="I306" s="53">
        <f t="shared" si="56"/>
        <v>0.03</v>
      </c>
      <c r="J306" s="963"/>
      <c r="K306" s="53">
        <f t="shared" si="57"/>
        <v>0</v>
      </c>
      <c r="L306" s="963"/>
      <c r="M306" s="53">
        <f t="shared" si="58"/>
        <v>2</v>
      </c>
      <c r="N306" s="963"/>
      <c r="O306" s="53">
        <f t="shared" si="59"/>
        <v>0.05</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0.03</v>
      </c>
      <c r="H307" s="963"/>
      <c r="I307" s="53">
        <f t="shared" si="56"/>
        <v>0.03</v>
      </c>
      <c r="J307" s="963"/>
      <c r="K307" s="53">
        <f t="shared" si="57"/>
        <v>0</v>
      </c>
      <c r="L307" s="963"/>
      <c r="M307" s="53">
        <f t="shared" si="58"/>
        <v>2</v>
      </c>
      <c r="N307" s="963"/>
      <c r="O307" s="53">
        <f t="shared" si="59"/>
        <v>0.05</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0.03</v>
      </c>
      <c r="H308" s="963"/>
      <c r="I308" s="53">
        <f t="shared" si="56"/>
        <v>0.03</v>
      </c>
      <c r="J308" s="963"/>
      <c r="K308" s="53">
        <f t="shared" si="57"/>
        <v>0</v>
      </c>
      <c r="L308" s="963"/>
      <c r="M308" s="53">
        <f t="shared" si="58"/>
        <v>2</v>
      </c>
      <c r="N308" s="963"/>
      <c r="O308" s="53">
        <f t="shared" si="59"/>
        <v>0.05</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0.03</v>
      </c>
      <c r="H309" s="963"/>
      <c r="I309" s="53">
        <f t="shared" si="56"/>
        <v>0.03</v>
      </c>
      <c r="J309" s="963"/>
      <c r="K309" s="53">
        <f t="shared" si="57"/>
        <v>0</v>
      </c>
      <c r="L309" s="963"/>
      <c r="M309" s="53">
        <f t="shared" si="58"/>
        <v>2</v>
      </c>
      <c r="N309" s="963"/>
      <c r="O309" s="53">
        <f t="shared" si="59"/>
        <v>0.05</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0.03</v>
      </c>
      <c r="H310" s="963"/>
      <c r="I310" s="53">
        <f t="shared" si="56"/>
        <v>0.03</v>
      </c>
      <c r="J310" s="963"/>
      <c r="K310" s="53">
        <f t="shared" si="57"/>
        <v>0</v>
      </c>
      <c r="L310" s="963"/>
      <c r="M310" s="53">
        <f t="shared" si="58"/>
        <v>2</v>
      </c>
      <c r="N310" s="963"/>
      <c r="O310" s="53">
        <f t="shared" si="59"/>
        <v>0.05</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0.03</v>
      </c>
      <c r="H311" s="963"/>
      <c r="I311" s="53">
        <f t="shared" si="56"/>
        <v>0.03</v>
      </c>
      <c r="J311" s="963"/>
      <c r="K311" s="53">
        <f t="shared" si="57"/>
        <v>0</v>
      </c>
      <c r="L311" s="963"/>
      <c r="M311" s="53">
        <f t="shared" si="58"/>
        <v>2</v>
      </c>
      <c r="N311" s="963"/>
      <c r="O311" s="53">
        <f t="shared" si="59"/>
        <v>0.05</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0.03</v>
      </c>
      <c r="H312" s="963"/>
      <c r="I312" s="53">
        <f t="shared" si="56"/>
        <v>0.03</v>
      </c>
      <c r="J312" s="963"/>
      <c r="K312" s="53">
        <f t="shared" si="57"/>
        <v>0</v>
      </c>
      <c r="L312" s="963"/>
      <c r="M312" s="53">
        <f t="shared" si="58"/>
        <v>2</v>
      </c>
      <c r="N312" s="963"/>
      <c r="O312" s="53">
        <f t="shared" si="59"/>
        <v>0.05</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0.03</v>
      </c>
      <c r="H313" s="963"/>
      <c r="I313" s="53">
        <f t="shared" si="56"/>
        <v>0.03</v>
      </c>
      <c r="J313" s="963"/>
      <c r="K313" s="53">
        <f t="shared" si="57"/>
        <v>0</v>
      </c>
      <c r="L313" s="963"/>
      <c r="M313" s="53">
        <f t="shared" si="58"/>
        <v>2</v>
      </c>
      <c r="N313" s="963"/>
      <c r="O313" s="53">
        <f t="shared" si="59"/>
        <v>0.05</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0.03</v>
      </c>
      <c r="H314" s="963"/>
      <c r="I314" s="53">
        <f t="shared" si="56"/>
        <v>0.03</v>
      </c>
      <c r="J314" s="963"/>
      <c r="K314" s="53">
        <f t="shared" si="57"/>
        <v>0</v>
      </c>
      <c r="L314" s="963"/>
      <c r="M314" s="53">
        <f t="shared" si="58"/>
        <v>2</v>
      </c>
      <c r="N314" s="963"/>
      <c r="O314" s="53">
        <f t="shared" si="59"/>
        <v>0.05</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0.03</v>
      </c>
      <c r="H315" s="963"/>
      <c r="I315" s="53">
        <f t="shared" si="56"/>
        <v>0.03</v>
      </c>
      <c r="J315" s="963"/>
      <c r="K315" s="53">
        <f t="shared" si="57"/>
        <v>0</v>
      </c>
      <c r="L315" s="963"/>
      <c r="M315" s="53">
        <f t="shared" si="58"/>
        <v>2</v>
      </c>
      <c r="N315" s="963"/>
      <c r="O315" s="53">
        <f t="shared" si="59"/>
        <v>0.05</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0.03</v>
      </c>
      <c r="H316" s="963"/>
      <c r="I316" s="53">
        <f t="shared" si="56"/>
        <v>0.03</v>
      </c>
      <c r="J316" s="963"/>
      <c r="K316" s="53">
        <f t="shared" si="57"/>
        <v>0</v>
      </c>
      <c r="L316" s="963"/>
      <c r="M316" s="53">
        <f t="shared" si="58"/>
        <v>2</v>
      </c>
      <c r="N316" s="963"/>
      <c r="O316" s="53">
        <f t="shared" si="59"/>
        <v>0.05</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0.03</v>
      </c>
      <c r="H317" s="963"/>
      <c r="I317" s="53">
        <f t="shared" si="56"/>
        <v>0.03</v>
      </c>
      <c r="J317" s="963"/>
      <c r="K317" s="53">
        <f t="shared" si="57"/>
        <v>0</v>
      </c>
      <c r="L317" s="963"/>
      <c r="M317" s="53">
        <f t="shared" si="58"/>
        <v>2</v>
      </c>
      <c r="N317" s="963"/>
      <c r="O317" s="53">
        <f t="shared" si="59"/>
        <v>0.05</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0.03</v>
      </c>
      <c r="H318" s="963"/>
      <c r="I318" s="53">
        <f t="shared" si="56"/>
        <v>0.03</v>
      </c>
      <c r="J318" s="963"/>
      <c r="K318" s="53">
        <f t="shared" si="57"/>
        <v>0</v>
      </c>
      <c r="L318" s="963"/>
      <c r="M318" s="53">
        <f t="shared" si="58"/>
        <v>2</v>
      </c>
      <c r="N318" s="963"/>
      <c r="O318" s="53">
        <f t="shared" si="59"/>
        <v>0.05</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0.03</v>
      </c>
      <c r="H319" s="963"/>
      <c r="I319" s="53">
        <f t="shared" si="56"/>
        <v>0.03</v>
      </c>
      <c r="J319" s="963"/>
      <c r="K319" s="53">
        <f t="shared" si="57"/>
        <v>0</v>
      </c>
      <c r="L319" s="963"/>
      <c r="M319" s="53">
        <f t="shared" si="58"/>
        <v>2</v>
      </c>
      <c r="N319" s="963"/>
      <c r="O319" s="53">
        <f t="shared" si="59"/>
        <v>0.05</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0.03</v>
      </c>
      <c r="H320" s="963"/>
      <c r="I320" s="53">
        <f t="shared" si="56"/>
        <v>0.03</v>
      </c>
      <c r="J320" s="963"/>
      <c r="K320" s="53">
        <f t="shared" si="57"/>
        <v>0</v>
      </c>
      <c r="L320" s="963"/>
      <c r="M320" s="53">
        <f t="shared" si="58"/>
        <v>2</v>
      </c>
      <c r="N320" s="963"/>
      <c r="O320" s="53">
        <f t="shared" si="59"/>
        <v>0.05</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0.03</v>
      </c>
      <c r="H321" s="963"/>
      <c r="I321" s="53">
        <f t="shared" si="56"/>
        <v>0.03</v>
      </c>
      <c r="J321" s="963"/>
      <c r="K321" s="53">
        <f t="shared" si="57"/>
        <v>0</v>
      </c>
      <c r="L321" s="963"/>
      <c r="M321" s="53">
        <f t="shared" si="58"/>
        <v>2</v>
      </c>
      <c r="N321" s="963"/>
      <c r="O321" s="53">
        <f t="shared" si="59"/>
        <v>0.05</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0.03</v>
      </c>
      <c r="H322" s="963"/>
      <c r="I322" s="53">
        <f t="shared" si="56"/>
        <v>0.03</v>
      </c>
      <c r="J322" s="963"/>
      <c r="K322" s="53">
        <f t="shared" si="57"/>
        <v>0</v>
      </c>
      <c r="L322" s="963"/>
      <c r="M322" s="53">
        <f t="shared" si="58"/>
        <v>2</v>
      </c>
      <c r="N322" s="963"/>
      <c r="O322" s="53">
        <f t="shared" si="59"/>
        <v>0.05</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0.03</v>
      </c>
      <c r="H323" s="963"/>
      <c r="I323" s="53">
        <f t="shared" si="56"/>
        <v>0.03</v>
      </c>
      <c r="J323" s="963"/>
      <c r="K323" s="53">
        <f t="shared" si="57"/>
        <v>0</v>
      </c>
      <c r="L323" s="963"/>
      <c r="M323" s="53">
        <f t="shared" si="58"/>
        <v>2</v>
      </c>
      <c r="N323" s="963"/>
      <c r="O323" s="53">
        <f t="shared" si="59"/>
        <v>0.05</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0.03</v>
      </c>
      <c r="H324" s="963"/>
      <c r="I324" s="53">
        <f t="shared" si="56"/>
        <v>0.03</v>
      </c>
      <c r="J324" s="963"/>
      <c r="K324" s="53">
        <f t="shared" si="57"/>
        <v>0</v>
      </c>
      <c r="L324" s="963"/>
      <c r="M324" s="53">
        <f t="shared" si="58"/>
        <v>2</v>
      </c>
      <c r="N324" s="963"/>
      <c r="O324" s="53">
        <f t="shared" si="59"/>
        <v>0.05</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0.03</v>
      </c>
      <c r="H325" s="963"/>
      <c r="I325" s="53">
        <f t="shared" si="56"/>
        <v>0.03</v>
      </c>
      <c r="J325" s="963"/>
      <c r="K325" s="53">
        <f t="shared" si="57"/>
        <v>0</v>
      </c>
      <c r="L325" s="963"/>
      <c r="M325" s="53">
        <f t="shared" si="58"/>
        <v>2</v>
      </c>
      <c r="N325" s="963"/>
      <c r="O325" s="53">
        <f t="shared" si="59"/>
        <v>0.05</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0.03</v>
      </c>
      <c r="H326" s="963"/>
      <c r="I326" s="53">
        <f t="shared" si="56"/>
        <v>0.03</v>
      </c>
      <c r="J326" s="963"/>
      <c r="K326" s="53">
        <f t="shared" si="57"/>
        <v>0</v>
      </c>
      <c r="L326" s="963"/>
      <c r="M326" s="53">
        <f t="shared" si="58"/>
        <v>2</v>
      </c>
      <c r="N326" s="963"/>
      <c r="O326" s="53">
        <f t="shared" si="59"/>
        <v>0.05</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0.03</v>
      </c>
      <c r="H327" s="963"/>
      <c r="I327" s="53">
        <f t="shared" si="56"/>
        <v>0.03</v>
      </c>
      <c r="J327" s="963"/>
      <c r="K327" s="53">
        <f t="shared" si="57"/>
        <v>0</v>
      </c>
      <c r="L327" s="963"/>
      <c r="M327" s="53">
        <f t="shared" si="58"/>
        <v>2</v>
      </c>
      <c r="N327" s="963"/>
      <c r="O327" s="53">
        <f t="shared" si="59"/>
        <v>0.05</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0.03</v>
      </c>
      <c r="H328" s="963"/>
      <c r="I328" s="53">
        <f t="shared" si="56"/>
        <v>0.03</v>
      </c>
      <c r="J328" s="963"/>
      <c r="K328" s="53">
        <f t="shared" si="57"/>
        <v>0</v>
      </c>
      <c r="L328" s="963"/>
      <c r="M328" s="53">
        <f t="shared" si="58"/>
        <v>2</v>
      </c>
      <c r="N328" s="963"/>
      <c r="O328" s="53">
        <f t="shared" si="59"/>
        <v>0.05</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0.03</v>
      </c>
      <c r="H329" s="963"/>
      <c r="I329" s="53">
        <f t="shared" si="56"/>
        <v>0.03</v>
      </c>
      <c r="J329" s="963"/>
      <c r="K329" s="53">
        <f t="shared" si="57"/>
        <v>0</v>
      </c>
      <c r="L329" s="963"/>
      <c r="M329" s="53">
        <f t="shared" si="58"/>
        <v>2</v>
      </c>
      <c r="N329" s="963"/>
      <c r="O329" s="53">
        <f t="shared" si="59"/>
        <v>0.05</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0.03</v>
      </c>
      <c r="H330" s="963"/>
      <c r="I330" s="53">
        <f t="shared" si="56"/>
        <v>0.03</v>
      </c>
      <c r="J330" s="963"/>
      <c r="K330" s="53">
        <f t="shared" si="57"/>
        <v>0</v>
      </c>
      <c r="L330" s="963"/>
      <c r="M330" s="53">
        <f t="shared" si="58"/>
        <v>2</v>
      </c>
      <c r="N330" s="963"/>
      <c r="O330" s="53">
        <f t="shared" si="59"/>
        <v>0.05</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0.03</v>
      </c>
      <c r="H331" s="963"/>
      <c r="I331" s="53">
        <f t="shared" si="56"/>
        <v>0.03</v>
      </c>
      <c r="J331" s="963"/>
      <c r="K331" s="53">
        <f t="shared" si="57"/>
        <v>0</v>
      </c>
      <c r="L331" s="963"/>
      <c r="M331" s="53">
        <f t="shared" si="58"/>
        <v>2</v>
      </c>
      <c r="N331" s="963"/>
      <c r="O331" s="53">
        <f t="shared" si="59"/>
        <v>0.05</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0.03</v>
      </c>
      <c r="H332" s="963"/>
      <c r="I332" s="53">
        <f t="shared" si="56"/>
        <v>0.03</v>
      </c>
      <c r="J332" s="963"/>
      <c r="K332" s="53">
        <f t="shared" si="57"/>
        <v>0</v>
      </c>
      <c r="L332" s="963"/>
      <c r="M332" s="53">
        <f t="shared" si="58"/>
        <v>2</v>
      </c>
      <c r="N332" s="963"/>
      <c r="O332" s="53">
        <f t="shared" si="59"/>
        <v>0.05</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0.03</v>
      </c>
      <c r="H333" s="963"/>
      <c r="I333" s="53">
        <f t="shared" si="56"/>
        <v>0.03</v>
      </c>
      <c r="J333" s="963"/>
      <c r="K333" s="53">
        <f t="shared" si="57"/>
        <v>0</v>
      </c>
      <c r="L333" s="963"/>
      <c r="M333" s="53">
        <f t="shared" si="58"/>
        <v>2</v>
      </c>
      <c r="N333" s="963"/>
      <c r="O333" s="53">
        <f t="shared" si="59"/>
        <v>0.05</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0.03</v>
      </c>
      <c r="H334" s="963"/>
      <c r="I334" s="53">
        <f t="shared" si="56"/>
        <v>0.03</v>
      </c>
      <c r="J334" s="963"/>
      <c r="K334" s="53">
        <f t="shared" si="57"/>
        <v>0</v>
      </c>
      <c r="L334" s="963"/>
      <c r="M334" s="53">
        <f t="shared" si="58"/>
        <v>2</v>
      </c>
      <c r="N334" s="963"/>
      <c r="O334" s="53">
        <f t="shared" si="59"/>
        <v>0.05</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0.03</v>
      </c>
      <c r="H335" s="963"/>
      <c r="I335" s="53">
        <f t="shared" si="56"/>
        <v>0.03</v>
      </c>
      <c r="J335" s="963"/>
      <c r="K335" s="53">
        <f t="shared" si="57"/>
        <v>0</v>
      </c>
      <c r="L335" s="963"/>
      <c r="M335" s="53">
        <f t="shared" si="58"/>
        <v>2</v>
      </c>
      <c r="N335" s="963"/>
      <c r="O335" s="53">
        <f t="shared" si="59"/>
        <v>0.05</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0.03</v>
      </c>
      <c r="H336" s="963"/>
      <c r="I336" s="53">
        <f t="shared" si="56"/>
        <v>0.03</v>
      </c>
      <c r="J336" s="963"/>
      <c r="K336" s="53">
        <f t="shared" si="57"/>
        <v>0</v>
      </c>
      <c r="L336" s="963"/>
      <c r="M336" s="53">
        <f t="shared" si="58"/>
        <v>2</v>
      </c>
      <c r="N336" s="963"/>
      <c r="O336" s="53">
        <f t="shared" si="59"/>
        <v>0.05</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0.03</v>
      </c>
      <c r="H337" s="963"/>
      <c r="I337" s="53">
        <f t="shared" si="56"/>
        <v>0.03</v>
      </c>
      <c r="J337" s="963"/>
      <c r="K337" s="53">
        <f t="shared" si="57"/>
        <v>0</v>
      </c>
      <c r="L337" s="963"/>
      <c r="M337" s="53">
        <f t="shared" si="58"/>
        <v>2</v>
      </c>
      <c r="N337" s="963"/>
      <c r="O337" s="53">
        <f t="shared" si="59"/>
        <v>0.05</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0.03</v>
      </c>
      <c r="H338" s="963"/>
      <c r="I338" s="53">
        <f t="shared" si="56"/>
        <v>0.03</v>
      </c>
      <c r="J338" s="963"/>
      <c r="K338" s="53">
        <f t="shared" si="57"/>
        <v>0</v>
      </c>
      <c r="L338" s="963"/>
      <c r="M338" s="53">
        <f t="shared" si="58"/>
        <v>2</v>
      </c>
      <c r="N338" s="963"/>
      <c r="O338" s="53">
        <f t="shared" si="59"/>
        <v>0.05</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0.03</v>
      </c>
      <c r="H339" s="963"/>
      <c r="I339" s="53">
        <f t="shared" si="56"/>
        <v>0.03</v>
      </c>
      <c r="J339" s="963"/>
      <c r="K339" s="53">
        <f t="shared" si="57"/>
        <v>0</v>
      </c>
      <c r="L339" s="963"/>
      <c r="M339" s="53">
        <f t="shared" si="58"/>
        <v>2</v>
      </c>
      <c r="N339" s="963"/>
      <c r="O339" s="53">
        <f t="shared" si="59"/>
        <v>0.05</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0.03</v>
      </c>
      <c r="H340" s="963"/>
      <c r="I340" s="53">
        <f t="shared" si="56"/>
        <v>0.03</v>
      </c>
      <c r="J340" s="963"/>
      <c r="K340" s="53">
        <f t="shared" si="57"/>
        <v>0</v>
      </c>
      <c r="L340" s="963"/>
      <c r="M340" s="53">
        <f t="shared" si="58"/>
        <v>2</v>
      </c>
      <c r="N340" s="963"/>
      <c r="O340" s="53">
        <f t="shared" si="59"/>
        <v>0.05</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0.03</v>
      </c>
      <c r="H341" s="963"/>
      <c r="I341" s="53">
        <f t="shared" si="56"/>
        <v>0.03</v>
      </c>
      <c r="J341" s="963"/>
      <c r="K341" s="53">
        <f t="shared" si="57"/>
        <v>0</v>
      </c>
      <c r="L341" s="963"/>
      <c r="M341" s="53">
        <f t="shared" si="58"/>
        <v>2</v>
      </c>
      <c r="N341" s="963"/>
      <c r="O341" s="53">
        <f t="shared" si="59"/>
        <v>0.05</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0.03</v>
      </c>
      <c r="H342" s="963"/>
      <c r="I342" s="53">
        <f t="shared" si="56"/>
        <v>0.03</v>
      </c>
      <c r="J342" s="963"/>
      <c r="K342" s="53">
        <f t="shared" si="57"/>
        <v>0</v>
      </c>
      <c r="L342" s="963"/>
      <c r="M342" s="53">
        <f t="shared" si="58"/>
        <v>2</v>
      </c>
      <c r="N342" s="963"/>
      <c r="O342" s="53">
        <f t="shared" si="59"/>
        <v>0.05</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0.03</v>
      </c>
      <c r="H343" s="963"/>
      <c r="I343" s="53">
        <f t="shared" si="56"/>
        <v>0.03</v>
      </c>
      <c r="J343" s="963"/>
      <c r="K343" s="53">
        <f t="shared" si="57"/>
        <v>0</v>
      </c>
      <c r="L343" s="963"/>
      <c r="M343" s="53">
        <f t="shared" si="58"/>
        <v>2</v>
      </c>
      <c r="N343" s="963"/>
      <c r="O343" s="53">
        <f t="shared" si="59"/>
        <v>0.05</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0.03</v>
      </c>
      <c r="H344" s="963"/>
      <c r="I344" s="53">
        <f t="shared" si="56"/>
        <v>0.03</v>
      </c>
      <c r="J344" s="963"/>
      <c r="K344" s="53">
        <f t="shared" si="57"/>
        <v>0</v>
      </c>
      <c r="L344" s="963"/>
      <c r="M344" s="53">
        <f t="shared" si="58"/>
        <v>2</v>
      </c>
      <c r="N344" s="963"/>
      <c r="O344" s="53">
        <f t="shared" si="59"/>
        <v>0.05</v>
      </c>
      <c r="P344" s="963"/>
      <c r="Q344" s="53">
        <f t="shared" si="60"/>
        <v>1</v>
      </c>
      <c r="R344" s="490">
        <f t="shared" si="61"/>
        <v>0</v>
      </c>
      <c r="S344" s="799">
        <f t="shared" si="63"/>
        <v>0</v>
      </c>
    </row>
    <row r="345" spans="1:19">
      <c r="A345" s="965"/>
      <c r="B345" s="137"/>
      <c r="C345" s="53">
        <f t="shared" si="53"/>
        <v>1</v>
      </c>
      <c r="D345" s="963"/>
      <c r="E345" s="53">
        <f t="shared" si="54"/>
        <v>0.1</v>
      </c>
      <c r="F345" s="963"/>
      <c r="G345" s="53">
        <f t="shared" si="55"/>
        <v>0.03</v>
      </c>
      <c r="H345" s="963"/>
      <c r="I345" s="53">
        <f t="shared" si="56"/>
        <v>0.03</v>
      </c>
      <c r="J345" s="963"/>
      <c r="K345" s="53">
        <f t="shared" si="57"/>
        <v>0</v>
      </c>
      <c r="L345" s="963"/>
      <c r="M345" s="53">
        <f t="shared" si="58"/>
        <v>2</v>
      </c>
      <c r="N345" s="963"/>
      <c r="O345" s="53">
        <f t="shared" si="59"/>
        <v>0.05</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0.1</v>
      </c>
      <c r="F346" s="963"/>
      <c r="G346" s="53">
        <f t="shared" ref="G346:G409" si="66">(SUMIF($7:$7,F346,$8:$8)-SUMIF($7:$7,$F$24,$8:$8)+100)/100</f>
        <v>0.03</v>
      </c>
      <c r="H346" s="963"/>
      <c r="I346" s="53">
        <f t="shared" ref="I346:I409" si="67">(SUMIF($9:$9,H346,$10:$10)-SUMIF($9:$9,$H$24,$10:$10)+100)/100</f>
        <v>0.03</v>
      </c>
      <c r="J346" s="963"/>
      <c r="K346" s="53">
        <f t="shared" ref="K346:K409" si="68">(SUMIF($11:$11,J346,$12:$12)-SUMIF($11:$11,$J$24,$12:$12)+100)/100</f>
        <v>0</v>
      </c>
      <c r="L346" s="963"/>
      <c r="M346" s="53">
        <f t="shared" ref="M346:M409" si="69">(SUMIF($13:$13,L346,$14:$14)-SUMIF($13:$13,$L$24,$14:$14)+100)/100</f>
        <v>2</v>
      </c>
      <c r="N346" s="963"/>
      <c r="O346" s="53">
        <f t="shared" ref="O346:O409" si="70">(SUMIF($15:$15,N346,$16:$16)-SUMIF($15:$15,$N$24,$16:$16)+100)/100</f>
        <v>0.05</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0.03</v>
      </c>
      <c r="H347" s="963"/>
      <c r="I347" s="53">
        <f t="shared" si="67"/>
        <v>0.03</v>
      </c>
      <c r="J347" s="963"/>
      <c r="K347" s="53">
        <f t="shared" si="68"/>
        <v>0</v>
      </c>
      <c r="L347" s="963"/>
      <c r="M347" s="53">
        <f t="shared" si="69"/>
        <v>2</v>
      </c>
      <c r="N347" s="963"/>
      <c r="O347" s="53">
        <f t="shared" si="70"/>
        <v>0.05</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0.03</v>
      </c>
      <c r="H348" s="963"/>
      <c r="I348" s="53">
        <f t="shared" si="67"/>
        <v>0.03</v>
      </c>
      <c r="J348" s="963"/>
      <c r="K348" s="53">
        <f t="shared" si="68"/>
        <v>0</v>
      </c>
      <c r="L348" s="963"/>
      <c r="M348" s="53">
        <f t="shared" si="69"/>
        <v>2</v>
      </c>
      <c r="N348" s="963"/>
      <c r="O348" s="53">
        <f t="shared" si="70"/>
        <v>0.05</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0.03</v>
      </c>
      <c r="H349" s="963"/>
      <c r="I349" s="53">
        <f t="shared" si="67"/>
        <v>0.03</v>
      </c>
      <c r="J349" s="963"/>
      <c r="K349" s="53">
        <f t="shared" si="68"/>
        <v>0</v>
      </c>
      <c r="L349" s="963"/>
      <c r="M349" s="53">
        <f t="shared" si="69"/>
        <v>2</v>
      </c>
      <c r="N349" s="963"/>
      <c r="O349" s="53">
        <f t="shared" si="70"/>
        <v>0.05</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0.03</v>
      </c>
      <c r="H350" s="963"/>
      <c r="I350" s="53">
        <f t="shared" si="67"/>
        <v>0.03</v>
      </c>
      <c r="J350" s="963"/>
      <c r="K350" s="53">
        <f t="shared" si="68"/>
        <v>0</v>
      </c>
      <c r="L350" s="963"/>
      <c r="M350" s="53">
        <f t="shared" si="69"/>
        <v>2</v>
      </c>
      <c r="N350" s="963"/>
      <c r="O350" s="53">
        <f t="shared" si="70"/>
        <v>0.05</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0.03</v>
      </c>
      <c r="H351" s="963"/>
      <c r="I351" s="53">
        <f t="shared" si="67"/>
        <v>0.03</v>
      </c>
      <c r="J351" s="963"/>
      <c r="K351" s="53">
        <f t="shared" si="68"/>
        <v>0</v>
      </c>
      <c r="L351" s="963"/>
      <c r="M351" s="53">
        <f t="shared" si="69"/>
        <v>2</v>
      </c>
      <c r="N351" s="963"/>
      <c r="O351" s="53">
        <f t="shared" si="70"/>
        <v>0.05</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0.03</v>
      </c>
      <c r="H352" s="963"/>
      <c r="I352" s="53">
        <f t="shared" si="67"/>
        <v>0.03</v>
      </c>
      <c r="J352" s="963"/>
      <c r="K352" s="53">
        <f t="shared" si="68"/>
        <v>0</v>
      </c>
      <c r="L352" s="963"/>
      <c r="M352" s="53">
        <f t="shared" si="69"/>
        <v>2</v>
      </c>
      <c r="N352" s="963"/>
      <c r="O352" s="53">
        <f t="shared" si="70"/>
        <v>0.05</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0.03</v>
      </c>
      <c r="H353" s="963"/>
      <c r="I353" s="53">
        <f t="shared" si="67"/>
        <v>0.03</v>
      </c>
      <c r="J353" s="963"/>
      <c r="K353" s="53">
        <f t="shared" si="68"/>
        <v>0</v>
      </c>
      <c r="L353" s="963"/>
      <c r="M353" s="53">
        <f t="shared" si="69"/>
        <v>2</v>
      </c>
      <c r="N353" s="963"/>
      <c r="O353" s="53">
        <f t="shared" si="70"/>
        <v>0.05</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0.03</v>
      </c>
      <c r="H354" s="963"/>
      <c r="I354" s="53">
        <f t="shared" si="67"/>
        <v>0.03</v>
      </c>
      <c r="J354" s="963"/>
      <c r="K354" s="53">
        <f t="shared" si="68"/>
        <v>0</v>
      </c>
      <c r="L354" s="963"/>
      <c r="M354" s="53">
        <f t="shared" si="69"/>
        <v>2</v>
      </c>
      <c r="N354" s="963"/>
      <c r="O354" s="53">
        <f t="shared" si="70"/>
        <v>0.05</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0.03</v>
      </c>
      <c r="H355" s="963"/>
      <c r="I355" s="53">
        <f t="shared" si="67"/>
        <v>0.03</v>
      </c>
      <c r="J355" s="963"/>
      <c r="K355" s="53">
        <f t="shared" si="68"/>
        <v>0</v>
      </c>
      <c r="L355" s="963"/>
      <c r="M355" s="53">
        <f t="shared" si="69"/>
        <v>2</v>
      </c>
      <c r="N355" s="963"/>
      <c r="O355" s="53">
        <f t="shared" si="70"/>
        <v>0.05</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0.03</v>
      </c>
      <c r="H356" s="963"/>
      <c r="I356" s="53">
        <f t="shared" si="67"/>
        <v>0.03</v>
      </c>
      <c r="J356" s="963"/>
      <c r="K356" s="53">
        <f t="shared" si="68"/>
        <v>0</v>
      </c>
      <c r="L356" s="963"/>
      <c r="M356" s="53">
        <f t="shared" si="69"/>
        <v>2</v>
      </c>
      <c r="N356" s="963"/>
      <c r="O356" s="53">
        <f t="shared" si="70"/>
        <v>0.05</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0.03</v>
      </c>
      <c r="H357" s="963"/>
      <c r="I357" s="53">
        <f t="shared" si="67"/>
        <v>0.03</v>
      </c>
      <c r="J357" s="963"/>
      <c r="K357" s="53">
        <f t="shared" si="68"/>
        <v>0</v>
      </c>
      <c r="L357" s="963"/>
      <c r="M357" s="53">
        <f t="shared" si="69"/>
        <v>2</v>
      </c>
      <c r="N357" s="963"/>
      <c r="O357" s="53">
        <f t="shared" si="70"/>
        <v>0.05</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0.03</v>
      </c>
      <c r="H358" s="963"/>
      <c r="I358" s="53">
        <f t="shared" si="67"/>
        <v>0.03</v>
      </c>
      <c r="J358" s="963"/>
      <c r="K358" s="53">
        <f t="shared" si="68"/>
        <v>0</v>
      </c>
      <c r="L358" s="963"/>
      <c r="M358" s="53">
        <f t="shared" si="69"/>
        <v>2</v>
      </c>
      <c r="N358" s="963"/>
      <c r="O358" s="53">
        <f t="shared" si="70"/>
        <v>0.05</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0.03</v>
      </c>
      <c r="H359" s="963"/>
      <c r="I359" s="53">
        <f t="shared" si="67"/>
        <v>0.03</v>
      </c>
      <c r="J359" s="963"/>
      <c r="K359" s="53">
        <f t="shared" si="68"/>
        <v>0</v>
      </c>
      <c r="L359" s="963"/>
      <c r="M359" s="53">
        <f t="shared" si="69"/>
        <v>2</v>
      </c>
      <c r="N359" s="963"/>
      <c r="O359" s="53">
        <f t="shared" si="70"/>
        <v>0.05</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0.03</v>
      </c>
      <c r="H360" s="963"/>
      <c r="I360" s="53">
        <f t="shared" si="67"/>
        <v>0.03</v>
      </c>
      <c r="J360" s="963"/>
      <c r="K360" s="53">
        <f t="shared" si="68"/>
        <v>0</v>
      </c>
      <c r="L360" s="963"/>
      <c r="M360" s="53">
        <f t="shared" si="69"/>
        <v>2</v>
      </c>
      <c r="N360" s="963"/>
      <c r="O360" s="53">
        <f t="shared" si="70"/>
        <v>0.05</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0.03</v>
      </c>
      <c r="H361" s="963"/>
      <c r="I361" s="53">
        <f t="shared" si="67"/>
        <v>0.03</v>
      </c>
      <c r="J361" s="963"/>
      <c r="K361" s="53">
        <f t="shared" si="68"/>
        <v>0</v>
      </c>
      <c r="L361" s="963"/>
      <c r="M361" s="53">
        <f t="shared" si="69"/>
        <v>2</v>
      </c>
      <c r="N361" s="963"/>
      <c r="O361" s="53">
        <f t="shared" si="70"/>
        <v>0.05</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0.03</v>
      </c>
      <c r="H362" s="963"/>
      <c r="I362" s="53">
        <f t="shared" si="67"/>
        <v>0.03</v>
      </c>
      <c r="J362" s="963"/>
      <c r="K362" s="53">
        <f t="shared" si="68"/>
        <v>0</v>
      </c>
      <c r="L362" s="963"/>
      <c r="M362" s="53">
        <f t="shared" si="69"/>
        <v>2</v>
      </c>
      <c r="N362" s="963"/>
      <c r="O362" s="53">
        <f t="shared" si="70"/>
        <v>0.05</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0.03</v>
      </c>
      <c r="H363" s="963"/>
      <c r="I363" s="53">
        <f t="shared" si="67"/>
        <v>0.03</v>
      </c>
      <c r="J363" s="963"/>
      <c r="K363" s="53">
        <f t="shared" si="68"/>
        <v>0</v>
      </c>
      <c r="L363" s="963"/>
      <c r="M363" s="53">
        <f t="shared" si="69"/>
        <v>2</v>
      </c>
      <c r="N363" s="963"/>
      <c r="O363" s="53">
        <f t="shared" si="70"/>
        <v>0.05</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0.03</v>
      </c>
      <c r="H364" s="963"/>
      <c r="I364" s="53">
        <f t="shared" si="67"/>
        <v>0.03</v>
      </c>
      <c r="J364" s="963"/>
      <c r="K364" s="53">
        <f t="shared" si="68"/>
        <v>0</v>
      </c>
      <c r="L364" s="963"/>
      <c r="M364" s="53">
        <f t="shared" si="69"/>
        <v>2</v>
      </c>
      <c r="N364" s="963"/>
      <c r="O364" s="53">
        <f t="shared" si="70"/>
        <v>0.05</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0.03</v>
      </c>
      <c r="H365" s="963"/>
      <c r="I365" s="53">
        <f t="shared" si="67"/>
        <v>0.03</v>
      </c>
      <c r="J365" s="963"/>
      <c r="K365" s="53">
        <f t="shared" si="68"/>
        <v>0</v>
      </c>
      <c r="L365" s="963"/>
      <c r="M365" s="53">
        <f t="shared" si="69"/>
        <v>2</v>
      </c>
      <c r="N365" s="963"/>
      <c r="O365" s="53">
        <f t="shared" si="70"/>
        <v>0.05</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0.03</v>
      </c>
      <c r="H366" s="963"/>
      <c r="I366" s="53">
        <f t="shared" si="67"/>
        <v>0.03</v>
      </c>
      <c r="J366" s="963"/>
      <c r="K366" s="53">
        <f t="shared" si="68"/>
        <v>0</v>
      </c>
      <c r="L366" s="963"/>
      <c r="M366" s="53">
        <f t="shared" si="69"/>
        <v>2</v>
      </c>
      <c r="N366" s="963"/>
      <c r="O366" s="53">
        <f t="shared" si="70"/>
        <v>0.05</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0.03</v>
      </c>
      <c r="H367" s="963"/>
      <c r="I367" s="53">
        <f t="shared" si="67"/>
        <v>0.03</v>
      </c>
      <c r="J367" s="963"/>
      <c r="K367" s="53">
        <f t="shared" si="68"/>
        <v>0</v>
      </c>
      <c r="L367" s="963"/>
      <c r="M367" s="53">
        <f t="shared" si="69"/>
        <v>2</v>
      </c>
      <c r="N367" s="963"/>
      <c r="O367" s="53">
        <f t="shared" si="70"/>
        <v>0.05</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0.03</v>
      </c>
      <c r="H368" s="963"/>
      <c r="I368" s="53">
        <f t="shared" si="67"/>
        <v>0.03</v>
      </c>
      <c r="J368" s="963"/>
      <c r="K368" s="53">
        <f t="shared" si="68"/>
        <v>0</v>
      </c>
      <c r="L368" s="963"/>
      <c r="M368" s="53">
        <f t="shared" si="69"/>
        <v>2</v>
      </c>
      <c r="N368" s="963"/>
      <c r="O368" s="53">
        <f t="shared" si="70"/>
        <v>0.05</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0.03</v>
      </c>
      <c r="H369" s="963"/>
      <c r="I369" s="53">
        <f t="shared" si="67"/>
        <v>0.03</v>
      </c>
      <c r="J369" s="963"/>
      <c r="K369" s="53">
        <f t="shared" si="68"/>
        <v>0</v>
      </c>
      <c r="L369" s="963"/>
      <c r="M369" s="53">
        <f t="shared" si="69"/>
        <v>2</v>
      </c>
      <c r="N369" s="963"/>
      <c r="O369" s="53">
        <f t="shared" si="70"/>
        <v>0.05</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0.03</v>
      </c>
      <c r="H370" s="963"/>
      <c r="I370" s="53">
        <f t="shared" si="67"/>
        <v>0.03</v>
      </c>
      <c r="J370" s="963"/>
      <c r="K370" s="53">
        <f t="shared" si="68"/>
        <v>0</v>
      </c>
      <c r="L370" s="963"/>
      <c r="M370" s="53">
        <f t="shared" si="69"/>
        <v>2</v>
      </c>
      <c r="N370" s="963"/>
      <c r="O370" s="53">
        <f t="shared" si="70"/>
        <v>0.05</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0.03</v>
      </c>
      <c r="H371" s="963"/>
      <c r="I371" s="53">
        <f t="shared" si="67"/>
        <v>0.03</v>
      </c>
      <c r="J371" s="963"/>
      <c r="K371" s="53">
        <f t="shared" si="68"/>
        <v>0</v>
      </c>
      <c r="L371" s="963"/>
      <c r="M371" s="53">
        <f t="shared" si="69"/>
        <v>2</v>
      </c>
      <c r="N371" s="963"/>
      <c r="O371" s="53">
        <f t="shared" si="70"/>
        <v>0.05</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0.03</v>
      </c>
      <c r="H372" s="963"/>
      <c r="I372" s="53">
        <f t="shared" si="67"/>
        <v>0.03</v>
      </c>
      <c r="J372" s="963"/>
      <c r="K372" s="53">
        <f t="shared" si="68"/>
        <v>0</v>
      </c>
      <c r="L372" s="963"/>
      <c r="M372" s="53">
        <f t="shared" si="69"/>
        <v>2</v>
      </c>
      <c r="N372" s="963"/>
      <c r="O372" s="53">
        <f t="shared" si="70"/>
        <v>0.05</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0.03</v>
      </c>
      <c r="H373" s="963"/>
      <c r="I373" s="53">
        <f t="shared" si="67"/>
        <v>0.03</v>
      </c>
      <c r="J373" s="963"/>
      <c r="K373" s="53">
        <f t="shared" si="68"/>
        <v>0</v>
      </c>
      <c r="L373" s="963"/>
      <c r="M373" s="53">
        <f t="shared" si="69"/>
        <v>2</v>
      </c>
      <c r="N373" s="963"/>
      <c r="O373" s="53">
        <f t="shared" si="70"/>
        <v>0.05</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0.03</v>
      </c>
      <c r="H374" s="963"/>
      <c r="I374" s="53">
        <f t="shared" si="67"/>
        <v>0.03</v>
      </c>
      <c r="J374" s="963"/>
      <c r="K374" s="53">
        <f t="shared" si="68"/>
        <v>0</v>
      </c>
      <c r="L374" s="963"/>
      <c r="M374" s="53">
        <f t="shared" si="69"/>
        <v>2</v>
      </c>
      <c r="N374" s="963"/>
      <c r="O374" s="53">
        <f t="shared" si="70"/>
        <v>0.05</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0.03</v>
      </c>
      <c r="H375" s="963"/>
      <c r="I375" s="53">
        <f t="shared" si="67"/>
        <v>0.03</v>
      </c>
      <c r="J375" s="963"/>
      <c r="K375" s="53">
        <f t="shared" si="68"/>
        <v>0</v>
      </c>
      <c r="L375" s="963"/>
      <c r="M375" s="53">
        <f t="shared" si="69"/>
        <v>2</v>
      </c>
      <c r="N375" s="963"/>
      <c r="O375" s="53">
        <f t="shared" si="70"/>
        <v>0.05</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0.03</v>
      </c>
      <c r="H376" s="963"/>
      <c r="I376" s="53">
        <f t="shared" si="67"/>
        <v>0.03</v>
      </c>
      <c r="J376" s="963"/>
      <c r="K376" s="53">
        <f t="shared" si="68"/>
        <v>0</v>
      </c>
      <c r="L376" s="963"/>
      <c r="M376" s="53">
        <f t="shared" si="69"/>
        <v>2</v>
      </c>
      <c r="N376" s="963"/>
      <c r="O376" s="53">
        <f t="shared" si="70"/>
        <v>0.05</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0.03</v>
      </c>
      <c r="H377" s="963"/>
      <c r="I377" s="53">
        <f t="shared" si="67"/>
        <v>0.03</v>
      </c>
      <c r="J377" s="963"/>
      <c r="K377" s="53">
        <f t="shared" si="68"/>
        <v>0</v>
      </c>
      <c r="L377" s="963"/>
      <c r="M377" s="53">
        <f t="shared" si="69"/>
        <v>2</v>
      </c>
      <c r="N377" s="963"/>
      <c r="O377" s="53">
        <f t="shared" si="70"/>
        <v>0.05</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0.03</v>
      </c>
      <c r="H378" s="963"/>
      <c r="I378" s="53">
        <f t="shared" si="67"/>
        <v>0.03</v>
      </c>
      <c r="J378" s="963"/>
      <c r="K378" s="53">
        <f t="shared" si="68"/>
        <v>0</v>
      </c>
      <c r="L378" s="963"/>
      <c r="M378" s="53">
        <f t="shared" si="69"/>
        <v>2</v>
      </c>
      <c r="N378" s="963"/>
      <c r="O378" s="53">
        <f t="shared" si="70"/>
        <v>0.05</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0.03</v>
      </c>
      <c r="H379" s="963"/>
      <c r="I379" s="53">
        <f t="shared" si="67"/>
        <v>0.03</v>
      </c>
      <c r="J379" s="963"/>
      <c r="K379" s="53">
        <f t="shared" si="68"/>
        <v>0</v>
      </c>
      <c r="L379" s="963"/>
      <c r="M379" s="53">
        <f t="shared" si="69"/>
        <v>2</v>
      </c>
      <c r="N379" s="963"/>
      <c r="O379" s="53">
        <f t="shared" si="70"/>
        <v>0.05</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0.03</v>
      </c>
      <c r="H380" s="963"/>
      <c r="I380" s="53">
        <f t="shared" si="67"/>
        <v>0.03</v>
      </c>
      <c r="J380" s="963"/>
      <c r="K380" s="53">
        <f t="shared" si="68"/>
        <v>0</v>
      </c>
      <c r="L380" s="963"/>
      <c r="M380" s="53">
        <f t="shared" si="69"/>
        <v>2</v>
      </c>
      <c r="N380" s="963"/>
      <c r="O380" s="53">
        <f t="shared" si="70"/>
        <v>0.05</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0.03</v>
      </c>
      <c r="H381" s="963"/>
      <c r="I381" s="53">
        <f t="shared" si="67"/>
        <v>0.03</v>
      </c>
      <c r="J381" s="963"/>
      <c r="K381" s="53">
        <f t="shared" si="68"/>
        <v>0</v>
      </c>
      <c r="L381" s="963"/>
      <c r="M381" s="53">
        <f t="shared" si="69"/>
        <v>2</v>
      </c>
      <c r="N381" s="963"/>
      <c r="O381" s="53">
        <f t="shared" si="70"/>
        <v>0.05</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0.03</v>
      </c>
      <c r="H382" s="963"/>
      <c r="I382" s="53">
        <f t="shared" si="67"/>
        <v>0.03</v>
      </c>
      <c r="J382" s="963"/>
      <c r="K382" s="53">
        <f t="shared" si="68"/>
        <v>0</v>
      </c>
      <c r="L382" s="963"/>
      <c r="M382" s="53">
        <f t="shared" si="69"/>
        <v>2</v>
      </c>
      <c r="N382" s="963"/>
      <c r="O382" s="53">
        <f t="shared" si="70"/>
        <v>0.05</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0.03</v>
      </c>
      <c r="H383" s="963"/>
      <c r="I383" s="53">
        <f t="shared" si="67"/>
        <v>0.03</v>
      </c>
      <c r="J383" s="963"/>
      <c r="K383" s="53">
        <f t="shared" si="68"/>
        <v>0</v>
      </c>
      <c r="L383" s="963"/>
      <c r="M383" s="53">
        <f t="shared" si="69"/>
        <v>2</v>
      </c>
      <c r="N383" s="963"/>
      <c r="O383" s="53">
        <f t="shared" si="70"/>
        <v>0.05</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0.03</v>
      </c>
      <c r="H384" s="963"/>
      <c r="I384" s="53">
        <f t="shared" si="67"/>
        <v>0.03</v>
      </c>
      <c r="J384" s="963"/>
      <c r="K384" s="53">
        <f t="shared" si="68"/>
        <v>0</v>
      </c>
      <c r="L384" s="963"/>
      <c r="M384" s="53">
        <f t="shared" si="69"/>
        <v>2</v>
      </c>
      <c r="N384" s="963"/>
      <c r="O384" s="53">
        <f t="shared" si="70"/>
        <v>0.05</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0.03</v>
      </c>
      <c r="H385" s="963"/>
      <c r="I385" s="53">
        <f t="shared" si="67"/>
        <v>0.03</v>
      </c>
      <c r="J385" s="963"/>
      <c r="K385" s="53">
        <f t="shared" si="68"/>
        <v>0</v>
      </c>
      <c r="L385" s="963"/>
      <c r="M385" s="53">
        <f t="shared" si="69"/>
        <v>2</v>
      </c>
      <c r="N385" s="963"/>
      <c r="O385" s="53">
        <f t="shared" si="70"/>
        <v>0.05</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0.03</v>
      </c>
      <c r="H386" s="963"/>
      <c r="I386" s="53">
        <f t="shared" si="67"/>
        <v>0.03</v>
      </c>
      <c r="J386" s="963"/>
      <c r="K386" s="53">
        <f t="shared" si="68"/>
        <v>0</v>
      </c>
      <c r="L386" s="963"/>
      <c r="M386" s="53">
        <f t="shared" si="69"/>
        <v>2</v>
      </c>
      <c r="N386" s="963"/>
      <c r="O386" s="53">
        <f t="shared" si="70"/>
        <v>0.05</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0.03</v>
      </c>
      <c r="H387" s="963"/>
      <c r="I387" s="53">
        <f t="shared" si="67"/>
        <v>0.03</v>
      </c>
      <c r="J387" s="963"/>
      <c r="K387" s="53">
        <f t="shared" si="68"/>
        <v>0</v>
      </c>
      <c r="L387" s="963"/>
      <c r="M387" s="53">
        <f t="shared" si="69"/>
        <v>2</v>
      </c>
      <c r="N387" s="963"/>
      <c r="O387" s="53">
        <f t="shared" si="70"/>
        <v>0.05</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0.03</v>
      </c>
      <c r="H388" s="963"/>
      <c r="I388" s="53">
        <f t="shared" si="67"/>
        <v>0.03</v>
      </c>
      <c r="J388" s="963"/>
      <c r="K388" s="53">
        <f t="shared" si="68"/>
        <v>0</v>
      </c>
      <c r="L388" s="963"/>
      <c r="M388" s="53">
        <f t="shared" si="69"/>
        <v>2</v>
      </c>
      <c r="N388" s="963"/>
      <c r="O388" s="53">
        <f t="shared" si="70"/>
        <v>0.05</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0.03</v>
      </c>
      <c r="H389" s="963"/>
      <c r="I389" s="53">
        <f t="shared" si="67"/>
        <v>0.03</v>
      </c>
      <c r="J389" s="963"/>
      <c r="K389" s="53">
        <f t="shared" si="68"/>
        <v>0</v>
      </c>
      <c r="L389" s="963"/>
      <c r="M389" s="53">
        <f t="shared" si="69"/>
        <v>2</v>
      </c>
      <c r="N389" s="963"/>
      <c r="O389" s="53">
        <f t="shared" si="70"/>
        <v>0.05</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0.03</v>
      </c>
      <c r="H390" s="963"/>
      <c r="I390" s="53">
        <f t="shared" si="67"/>
        <v>0.03</v>
      </c>
      <c r="J390" s="963"/>
      <c r="K390" s="53">
        <f t="shared" si="68"/>
        <v>0</v>
      </c>
      <c r="L390" s="963"/>
      <c r="M390" s="53">
        <f t="shared" si="69"/>
        <v>2</v>
      </c>
      <c r="N390" s="963"/>
      <c r="O390" s="53">
        <f t="shared" si="70"/>
        <v>0.05</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0.03</v>
      </c>
      <c r="H391" s="963"/>
      <c r="I391" s="53">
        <f t="shared" si="67"/>
        <v>0.03</v>
      </c>
      <c r="J391" s="963"/>
      <c r="K391" s="53">
        <f t="shared" si="68"/>
        <v>0</v>
      </c>
      <c r="L391" s="963"/>
      <c r="M391" s="53">
        <f t="shared" si="69"/>
        <v>2</v>
      </c>
      <c r="N391" s="963"/>
      <c r="O391" s="53">
        <f t="shared" si="70"/>
        <v>0.05</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0.03</v>
      </c>
      <c r="H392" s="963"/>
      <c r="I392" s="53">
        <f t="shared" si="67"/>
        <v>0.03</v>
      </c>
      <c r="J392" s="963"/>
      <c r="K392" s="53">
        <f t="shared" si="68"/>
        <v>0</v>
      </c>
      <c r="L392" s="963"/>
      <c r="M392" s="53">
        <f t="shared" si="69"/>
        <v>2</v>
      </c>
      <c r="N392" s="963"/>
      <c r="O392" s="53">
        <f t="shared" si="70"/>
        <v>0.05</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0.03</v>
      </c>
      <c r="H393" s="963"/>
      <c r="I393" s="53">
        <f t="shared" si="67"/>
        <v>0.03</v>
      </c>
      <c r="J393" s="963"/>
      <c r="K393" s="53">
        <f t="shared" si="68"/>
        <v>0</v>
      </c>
      <c r="L393" s="963"/>
      <c r="M393" s="53">
        <f t="shared" si="69"/>
        <v>2</v>
      </c>
      <c r="N393" s="963"/>
      <c r="O393" s="53">
        <f t="shared" si="70"/>
        <v>0.05</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0.03</v>
      </c>
      <c r="H394" s="963"/>
      <c r="I394" s="53">
        <f t="shared" si="67"/>
        <v>0.03</v>
      </c>
      <c r="J394" s="963"/>
      <c r="K394" s="53">
        <f t="shared" si="68"/>
        <v>0</v>
      </c>
      <c r="L394" s="963"/>
      <c r="M394" s="53">
        <f t="shared" si="69"/>
        <v>2</v>
      </c>
      <c r="N394" s="963"/>
      <c r="O394" s="53">
        <f t="shared" si="70"/>
        <v>0.05</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0.03</v>
      </c>
      <c r="H395" s="963"/>
      <c r="I395" s="53">
        <f t="shared" si="67"/>
        <v>0.03</v>
      </c>
      <c r="J395" s="963"/>
      <c r="K395" s="53">
        <f t="shared" si="68"/>
        <v>0</v>
      </c>
      <c r="L395" s="963"/>
      <c r="M395" s="53">
        <f t="shared" si="69"/>
        <v>2</v>
      </c>
      <c r="N395" s="963"/>
      <c r="O395" s="53">
        <f t="shared" si="70"/>
        <v>0.05</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0.03</v>
      </c>
      <c r="H396" s="963"/>
      <c r="I396" s="53">
        <f t="shared" si="67"/>
        <v>0.03</v>
      </c>
      <c r="J396" s="963"/>
      <c r="K396" s="53">
        <f t="shared" si="68"/>
        <v>0</v>
      </c>
      <c r="L396" s="963"/>
      <c r="M396" s="53">
        <f t="shared" si="69"/>
        <v>2</v>
      </c>
      <c r="N396" s="963"/>
      <c r="O396" s="53">
        <f t="shared" si="70"/>
        <v>0.05</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0.03</v>
      </c>
      <c r="H397" s="963"/>
      <c r="I397" s="53">
        <f t="shared" si="67"/>
        <v>0.03</v>
      </c>
      <c r="J397" s="963"/>
      <c r="K397" s="53">
        <f t="shared" si="68"/>
        <v>0</v>
      </c>
      <c r="L397" s="963"/>
      <c r="M397" s="53">
        <f t="shared" si="69"/>
        <v>2</v>
      </c>
      <c r="N397" s="963"/>
      <c r="O397" s="53">
        <f t="shared" si="70"/>
        <v>0.05</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0.03</v>
      </c>
      <c r="H398" s="963"/>
      <c r="I398" s="53">
        <f t="shared" si="67"/>
        <v>0.03</v>
      </c>
      <c r="J398" s="963"/>
      <c r="K398" s="53">
        <f t="shared" si="68"/>
        <v>0</v>
      </c>
      <c r="L398" s="963"/>
      <c r="M398" s="53">
        <f t="shared" si="69"/>
        <v>2</v>
      </c>
      <c r="N398" s="963"/>
      <c r="O398" s="53">
        <f t="shared" si="70"/>
        <v>0.05</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0.03</v>
      </c>
      <c r="H399" s="963"/>
      <c r="I399" s="53">
        <f t="shared" si="67"/>
        <v>0.03</v>
      </c>
      <c r="J399" s="963"/>
      <c r="K399" s="53">
        <f t="shared" si="68"/>
        <v>0</v>
      </c>
      <c r="L399" s="963"/>
      <c r="M399" s="53">
        <f t="shared" si="69"/>
        <v>2</v>
      </c>
      <c r="N399" s="963"/>
      <c r="O399" s="53">
        <f t="shared" si="70"/>
        <v>0.05</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0.03</v>
      </c>
      <c r="H400" s="963"/>
      <c r="I400" s="53">
        <f t="shared" si="67"/>
        <v>0.03</v>
      </c>
      <c r="J400" s="963"/>
      <c r="K400" s="53">
        <f t="shared" si="68"/>
        <v>0</v>
      </c>
      <c r="L400" s="963"/>
      <c r="M400" s="53">
        <f t="shared" si="69"/>
        <v>2</v>
      </c>
      <c r="N400" s="963"/>
      <c r="O400" s="53">
        <f t="shared" si="70"/>
        <v>0.05</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0.03</v>
      </c>
      <c r="H401" s="963"/>
      <c r="I401" s="53">
        <f t="shared" si="67"/>
        <v>0.03</v>
      </c>
      <c r="J401" s="963"/>
      <c r="K401" s="53">
        <f t="shared" si="68"/>
        <v>0</v>
      </c>
      <c r="L401" s="963"/>
      <c r="M401" s="53">
        <f t="shared" si="69"/>
        <v>2</v>
      </c>
      <c r="N401" s="963"/>
      <c r="O401" s="53">
        <f t="shared" si="70"/>
        <v>0.05</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0.03</v>
      </c>
      <c r="H402" s="963"/>
      <c r="I402" s="53">
        <f t="shared" si="67"/>
        <v>0.03</v>
      </c>
      <c r="J402" s="963"/>
      <c r="K402" s="53">
        <f t="shared" si="68"/>
        <v>0</v>
      </c>
      <c r="L402" s="963"/>
      <c r="M402" s="53">
        <f t="shared" si="69"/>
        <v>2</v>
      </c>
      <c r="N402" s="963"/>
      <c r="O402" s="53">
        <f t="shared" si="70"/>
        <v>0.05</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0.03</v>
      </c>
      <c r="H403" s="963"/>
      <c r="I403" s="53">
        <f t="shared" si="67"/>
        <v>0.03</v>
      </c>
      <c r="J403" s="963"/>
      <c r="K403" s="53">
        <f t="shared" si="68"/>
        <v>0</v>
      </c>
      <c r="L403" s="963"/>
      <c r="M403" s="53">
        <f t="shared" si="69"/>
        <v>2</v>
      </c>
      <c r="N403" s="963"/>
      <c r="O403" s="53">
        <f t="shared" si="70"/>
        <v>0.05</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0.03</v>
      </c>
      <c r="H404" s="963"/>
      <c r="I404" s="53">
        <f t="shared" si="67"/>
        <v>0.03</v>
      </c>
      <c r="J404" s="963"/>
      <c r="K404" s="53">
        <f t="shared" si="68"/>
        <v>0</v>
      </c>
      <c r="L404" s="963"/>
      <c r="M404" s="53">
        <f t="shared" si="69"/>
        <v>2</v>
      </c>
      <c r="N404" s="963"/>
      <c r="O404" s="53">
        <f t="shared" si="70"/>
        <v>0.05</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0.03</v>
      </c>
      <c r="H405" s="963"/>
      <c r="I405" s="53">
        <f t="shared" si="67"/>
        <v>0.03</v>
      </c>
      <c r="J405" s="963"/>
      <c r="K405" s="53">
        <f t="shared" si="68"/>
        <v>0</v>
      </c>
      <c r="L405" s="963"/>
      <c r="M405" s="53">
        <f t="shared" si="69"/>
        <v>2</v>
      </c>
      <c r="N405" s="963"/>
      <c r="O405" s="53">
        <f t="shared" si="70"/>
        <v>0.05</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0.03</v>
      </c>
      <c r="H406" s="963"/>
      <c r="I406" s="53">
        <f t="shared" si="67"/>
        <v>0.03</v>
      </c>
      <c r="J406" s="963"/>
      <c r="K406" s="53">
        <f t="shared" si="68"/>
        <v>0</v>
      </c>
      <c r="L406" s="963"/>
      <c r="M406" s="53">
        <f t="shared" si="69"/>
        <v>2</v>
      </c>
      <c r="N406" s="963"/>
      <c r="O406" s="53">
        <f t="shared" si="70"/>
        <v>0.05</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0.03</v>
      </c>
      <c r="H407" s="963"/>
      <c r="I407" s="53">
        <f t="shared" si="67"/>
        <v>0.03</v>
      </c>
      <c r="J407" s="963"/>
      <c r="K407" s="53">
        <f t="shared" si="68"/>
        <v>0</v>
      </c>
      <c r="L407" s="963"/>
      <c r="M407" s="53">
        <f t="shared" si="69"/>
        <v>2</v>
      </c>
      <c r="N407" s="963"/>
      <c r="O407" s="53">
        <f t="shared" si="70"/>
        <v>0.05</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0.03</v>
      </c>
      <c r="H408" s="963"/>
      <c r="I408" s="53">
        <f t="shared" si="67"/>
        <v>0.03</v>
      </c>
      <c r="J408" s="963"/>
      <c r="K408" s="53">
        <f t="shared" si="68"/>
        <v>0</v>
      </c>
      <c r="L408" s="963"/>
      <c r="M408" s="53">
        <f t="shared" si="69"/>
        <v>2</v>
      </c>
      <c r="N408" s="963"/>
      <c r="O408" s="53">
        <f t="shared" si="70"/>
        <v>0.05</v>
      </c>
      <c r="P408" s="963"/>
      <c r="Q408" s="53">
        <f t="shared" si="71"/>
        <v>1</v>
      </c>
      <c r="R408" s="490">
        <f t="shared" si="72"/>
        <v>0</v>
      </c>
      <c r="S408" s="799">
        <f t="shared" si="73"/>
        <v>0</v>
      </c>
    </row>
    <row r="409" spans="1:19">
      <c r="A409" s="965"/>
      <c r="B409" s="137"/>
      <c r="C409" s="53">
        <f t="shared" si="64"/>
        <v>1</v>
      </c>
      <c r="D409" s="963"/>
      <c r="E409" s="53">
        <f t="shared" si="65"/>
        <v>0.1</v>
      </c>
      <c r="F409" s="963"/>
      <c r="G409" s="53">
        <f t="shared" si="66"/>
        <v>0.03</v>
      </c>
      <c r="H409" s="963"/>
      <c r="I409" s="53">
        <f t="shared" si="67"/>
        <v>0.03</v>
      </c>
      <c r="J409" s="963"/>
      <c r="K409" s="53">
        <f t="shared" si="68"/>
        <v>0</v>
      </c>
      <c r="L409" s="963"/>
      <c r="M409" s="53">
        <f t="shared" si="69"/>
        <v>2</v>
      </c>
      <c r="N409" s="963"/>
      <c r="O409" s="53">
        <f t="shared" si="70"/>
        <v>0.05</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0.1</v>
      </c>
      <c r="F410" s="963"/>
      <c r="G410" s="53">
        <f t="shared" ref="G410:G473" si="76">(SUMIF($7:$7,F410,$8:$8)-SUMIF($7:$7,$F$24,$8:$8)+100)/100</f>
        <v>0.03</v>
      </c>
      <c r="H410" s="963"/>
      <c r="I410" s="53">
        <f t="shared" ref="I410:I473" si="77">(SUMIF($9:$9,H410,$10:$10)-SUMIF($9:$9,$H$24,$10:$10)+100)/100</f>
        <v>0.03</v>
      </c>
      <c r="J410" s="963"/>
      <c r="K410" s="53">
        <f t="shared" ref="K410:K473" si="78">(SUMIF($11:$11,J410,$12:$12)-SUMIF($11:$11,$J$24,$12:$12)+100)/100</f>
        <v>0</v>
      </c>
      <c r="L410" s="963"/>
      <c r="M410" s="53">
        <f t="shared" ref="M410:M473" si="79">(SUMIF($13:$13,L410,$14:$14)-SUMIF($13:$13,$L$24,$14:$14)+100)/100</f>
        <v>2</v>
      </c>
      <c r="N410" s="963"/>
      <c r="O410" s="53">
        <f t="shared" ref="O410:O473" si="80">(SUMIF($15:$15,N410,$16:$16)-SUMIF($15:$15,$N$24,$16:$16)+100)/100</f>
        <v>0.05</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0.03</v>
      </c>
      <c r="H411" s="963"/>
      <c r="I411" s="53">
        <f t="shared" si="77"/>
        <v>0.03</v>
      </c>
      <c r="J411" s="963"/>
      <c r="K411" s="53">
        <f t="shared" si="78"/>
        <v>0</v>
      </c>
      <c r="L411" s="963"/>
      <c r="M411" s="53">
        <f t="shared" si="79"/>
        <v>2</v>
      </c>
      <c r="N411" s="963"/>
      <c r="O411" s="53">
        <f t="shared" si="80"/>
        <v>0.05</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0.03</v>
      </c>
      <c r="H412" s="963"/>
      <c r="I412" s="53">
        <f t="shared" si="77"/>
        <v>0.03</v>
      </c>
      <c r="J412" s="963"/>
      <c r="K412" s="53">
        <f t="shared" si="78"/>
        <v>0</v>
      </c>
      <c r="L412" s="963"/>
      <c r="M412" s="53">
        <f t="shared" si="79"/>
        <v>2</v>
      </c>
      <c r="N412" s="963"/>
      <c r="O412" s="53">
        <f t="shared" si="80"/>
        <v>0.05</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0.03</v>
      </c>
      <c r="H413" s="963"/>
      <c r="I413" s="53">
        <f t="shared" si="77"/>
        <v>0.03</v>
      </c>
      <c r="J413" s="963"/>
      <c r="K413" s="53">
        <f t="shared" si="78"/>
        <v>0</v>
      </c>
      <c r="L413" s="963"/>
      <c r="M413" s="53">
        <f t="shared" si="79"/>
        <v>2</v>
      </c>
      <c r="N413" s="963"/>
      <c r="O413" s="53">
        <f t="shared" si="80"/>
        <v>0.05</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0.03</v>
      </c>
      <c r="H414" s="963"/>
      <c r="I414" s="53">
        <f t="shared" si="77"/>
        <v>0.03</v>
      </c>
      <c r="J414" s="963"/>
      <c r="K414" s="53">
        <f t="shared" si="78"/>
        <v>0</v>
      </c>
      <c r="L414" s="963"/>
      <c r="M414" s="53">
        <f t="shared" si="79"/>
        <v>2</v>
      </c>
      <c r="N414" s="963"/>
      <c r="O414" s="53">
        <f t="shared" si="80"/>
        <v>0.05</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0.03</v>
      </c>
      <c r="H415" s="963"/>
      <c r="I415" s="53">
        <f t="shared" si="77"/>
        <v>0.03</v>
      </c>
      <c r="J415" s="963"/>
      <c r="K415" s="53">
        <f t="shared" si="78"/>
        <v>0</v>
      </c>
      <c r="L415" s="963"/>
      <c r="M415" s="53">
        <f t="shared" si="79"/>
        <v>2</v>
      </c>
      <c r="N415" s="963"/>
      <c r="O415" s="53">
        <f t="shared" si="80"/>
        <v>0.05</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0.03</v>
      </c>
      <c r="H416" s="963"/>
      <c r="I416" s="53">
        <f t="shared" si="77"/>
        <v>0.03</v>
      </c>
      <c r="J416" s="963"/>
      <c r="K416" s="53">
        <f t="shared" si="78"/>
        <v>0</v>
      </c>
      <c r="L416" s="963"/>
      <c r="M416" s="53">
        <f t="shared" si="79"/>
        <v>2</v>
      </c>
      <c r="N416" s="963"/>
      <c r="O416" s="53">
        <f t="shared" si="80"/>
        <v>0.05</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0.03</v>
      </c>
      <c r="H417" s="963"/>
      <c r="I417" s="53">
        <f t="shared" si="77"/>
        <v>0.03</v>
      </c>
      <c r="J417" s="963"/>
      <c r="K417" s="53">
        <f t="shared" si="78"/>
        <v>0</v>
      </c>
      <c r="L417" s="963"/>
      <c r="M417" s="53">
        <f t="shared" si="79"/>
        <v>2</v>
      </c>
      <c r="N417" s="963"/>
      <c r="O417" s="53">
        <f t="shared" si="80"/>
        <v>0.05</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0.03</v>
      </c>
      <c r="H418" s="963"/>
      <c r="I418" s="53">
        <f t="shared" si="77"/>
        <v>0.03</v>
      </c>
      <c r="J418" s="963"/>
      <c r="K418" s="53">
        <f t="shared" si="78"/>
        <v>0</v>
      </c>
      <c r="L418" s="963"/>
      <c r="M418" s="53">
        <f t="shared" si="79"/>
        <v>2</v>
      </c>
      <c r="N418" s="963"/>
      <c r="O418" s="53">
        <f t="shared" si="80"/>
        <v>0.05</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0.03</v>
      </c>
      <c r="H419" s="963"/>
      <c r="I419" s="53">
        <f t="shared" si="77"/>
        <v>0.03</v>
      </c>
      <c r="J419" s="963"/>
      <c r="K419" s="53">
        <f t="shared" si="78"/>
        <v>0</v>
      </c>
      <c r="L419" s="963"/>
      <c r="M419" s="53">
        <f t="shared" si="79"/>
        <v>2</v>
      </c>
      <c r="N419" s="963"/>
      <c r="O419" s="53">
        <f t="shared" si="80"/>
        <v>0.05</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0.03</v>
      </c>
      <c r="H420" s="963"/>
      <c r="I420" s="53">
        <f t="shared" si="77"/>
        <v>0.03</v>
      </c>
      <c r="J420" s="963"/>
      <c r="K420" s="53">
        <f t="shared" si="78"/>
        <v>0</v>
      </c>
      <c r="L420" s="963"/>
      <c r="M420" s="53">
        <f t="shared" si="79"/>
        <v>2</v>
      </c>
      <c r="N420" s="963"/>
      <c r="O420" s="53">
        <f t="shared" si="80"/>
        <v>0.05</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0.03</v>
      </c>
      <c r="H421" s="963"/>
      <c r="I421" s="53">
        <f t="shared" si="77"/>
        <v>0.03</v>
      </c>
      <c r="J421" s="963"/>
      <c r="K421" s="53">
        <f t="shared" si="78"/>
        <v>0</v>
      </c>
      <c r="L421" s="963"/>
      <c r="M421" s="53">
        <f t="shared" si="79"/>
        <v>2</v>
      </c>
      <c r="N421" s="963"/>
      <c r="O421" s="53">
        <f t="shared" si="80"/>
        <v>0.05</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0.03</v>
      </c>
      <c r="H422" s="963"/>
      <c r="I422" s="53">
        <f t="shared" si="77"/>
        <v>0.03</v>
      </c>
      <c r="J422" s="963"/>
      <c r="K422" s="53">
        <f t="shared" si="78"/>
        <v>0</v>
      </c>
      <c r="L422" s="963"/>
      <c r="M422" s="53">
        <f t="shared" si="79"/>
        <v>2</v>
      </c>
      <c r="N422" s="963"/>
      <c r="O422" s="53">
        <f t="shared" si="80"/>
        <v>0.05</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0.03</v>
      </c>
      <c r="H423" s="963"/>
      <c r="I423" s="53">
        <f t="shared" si="77"/>
        <v>0.03</v>
      </c>
      <c r="J423" s="963"/>
      <c r="K423" s="53">
        <f t="shared" si="78"/>
        <v>0</v>
      </c>
      <c r="L423" s="963"/>
      <c r="M423" s="53">
        <f t="shared" si="79"/>
        <v>2</v>
      </c>
      <c r="N423" s="963"/>
      <c r="O423" s="53">
        <f t="shared" si="80"/>
        <v>0.05</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0.03</v>
      </c>
      <c r="H424" s="963"/>
      <c r="I424" s="53">
        <f t="shared" si="77"/>
        <v>0.03</v>
      </c>
      <c r="J424" s="963"/>
      <c r="K424" s="53">
        <f t="shared" si="78"/>
        <v>0</v>
      </c>
      <c r="L424" s="963"/>
      <c r="M424" s="53">
        <f t="shared" si="79"/>
        <v>2</v>
      </c>
      <c r="N424" s="963"/>
      <c r="O424" s="53">
        <f t="shared" si="80"/>
        <v>0.05</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0.03</v>
      </c>
      <c r="H425" s="963"/>
      <c r="I425" s="53">
        <f t="shared" si="77"/>
        <v>0.03</v>
      </c>
      <c r="J425" s="963"/>
      <c r="K425" s="53">
        <f t="shared" si="78"/>
        <v>0</v>
      </c>
      <c r="L425" s="963"/>
      <c r="M425" s="53">
        <f t="shared" si="79"/>
        <v>2</v>
      </c>
      <c r="N425" s="963"/>
      <c r="O425" s="53">
        <f t="shared" si="80"/>
        <v>0.05</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0.03</v>
      </c>
      <c r="H426" s="963"/>
      <c r="I426" s="53">
        <f t="shared" si="77"/>
        <v>0.03</v>
      </c>
      <c r="J426" s="963"/>
      <c r="K426" s="53">
        <f t="shared" si="78"/>
        <v>0</v>
      </c>
      <c r="L426" s="963"/>
      <c r="M426" s="53">
        <f t="shared" si="79"/>
        <v>2</v>
      </c>
      <c r="N426" s="963"/>
      <c r="O426" s="53">
        <f t="shared" si="80"/>
        <v>0.05</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0.03</v>
      </c>
      <c r="H427" s="963"/>
      <c r="I427" s="53">
        <f t="shared" si="77"/>
        <v>0.03</v>
      </c>
      <c r="J427" s="963"/>
      <c r="K427" s="53">
        <f t="shared" si="78"/>
        <v>0</v>
      </c>
      <c r="L427" s="963"/>
      <c r="M427" s="53">
        <f t="shared" si="79"/>
        <v>2</v>
      </c>
      <c r="N427" s="963"/>
      <c r="O427" s="53">
        <f t="shared" si="80"/>
        <v>0.05</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0.03</v>
      </c>
      <c r="H428" s="963"/>
      <c r="I428" s="53">
        <f t="shared" si="77"/>
        <v>0.03</v>
      </c>
      <c r="J428" s="963"/>
      <c r="K428" s="53">
        <f t="shared" si="78"/>
        <v>0</v>
      </c>
      <c r="L428" s="963"/>
      <c r="M428" s="53">
        <f t="shared" si="79"/>
        <v>2</v>
      </c>
      <c r="N428" s="963"/>
      <c r="O428" s="53">
        <f t="shared" si="80"/>
        <v>0.05</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0.03</v>
      </c>
      <c r="H429" s="963"/>
      <c r="I429" s="53">
        <f t="shared" si="77"/>
        <v>0.03</v>
      </c>
      <c r="J429" s="963"/>
      <c r="K429" s="53">
        <f t="shared" si="78"/>
        <v>0</v>
      </c>
      <c r="L429" s="963"/>
      <c r="M429" s="53">
        <f t="shared" si="79"/>
        <v>2</v>
      </c>
      <c r="N429" s="963"/>
      <c r="O429" s="53">
        <f t="shared" si="80"/>
        <v>0.05</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0.03</v>
      </c>
      <c r="H430" s="963"/>
      <c r="I430" s="53">
        <f t="shared" si="77"/>
        <v>0.03</v>
      </c>
      <c r="J430" s="963"/>
      <c r="K430" s="53">
        <f t="shared" si="78"/>
        <v>0</v>
      </c>
      <c r="L430" s="963"/>
      <c r="M430" s="53">
        <f t="shared" si="79"/>
        <v>2</v>
      </c>
      <c r="N430" s="963"/>
      <c r="O430" s="53">
        <f t="shared" si="80"/>
        <v>0.05</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0.03</v>
      </c>
      <c r="H431" s="963"/>
      <c r="I431" s="53">
        <f t="shared" si="77"/>
        <v>0.03</v>
      </c>
      <c r="J431" s="963"/>
      <c r="K431" s="53">
        <f t="shared" si="78"/>
        <v>0</v>
      </c>
      <c r="L431" s="963"/>
      <c r="M431" s="53">
        <f t="shared" si="79"/>
        <v>2</v>
      </c>
      <c r="N431" s="963"/>
      <c r="O431" s="53">
        <f t="shared" si="80"/>
        <v>0.05</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0.03</v>
      </c>
      <c r="H432" s="963"/>
      <c r="I432" s="53">
        <f t="shared" si="77"/>
        <v>0.03</v>
      </c>
      <c r="J432" s="963"/>
      <c r="K432" s="53">
        <f t="shared" si="78"/>
        <v>0</v>
      </c>
      <c r="L432" s="963"/>
      <c r="M432" s="53">
        <f t="shared" si="79"/>
        <v>2</v>
      </c>
      <c r="N432" s="963"/>
      <c r="O432" s="53">
        <f t="shared" si="80"/>
        <v>0.05</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0.03</v>
      </c>
      <c r="H433" s="963"/>
      <c r="I433" s="53">
        <f t="shared" si="77"/>
        <v>0.03</v>
      </c>
      <c r="J433" s="963"/>
      <c r="K433" s="53">
        <f t="shared" si="78"/>
        <v>0</v>
      </c>
      <c r="L433" s="963"/>
      <c r="M433" s="53">
        <f t="shared" si="79"/>
        <v>2</v>
      </c>
      <c r="N433" s="963"/>
      <c r="O433" s="53">
        <f t="shared" si="80"/>
        <v>0.05</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0.03</v>
      </c>
      <c r="H434" s="963"/>
      <c r="I434" s="53">
        <f t="shared" si="77"/>
        <v>0.03</v>
      </c>
      <c r="J434" s="963"/>
      <c r="K434" s="53">
        <f t="shared" si="78"/>
        <v>0</v>
      </c>
      <c r="L434" s="963"/>
      <c r="M434" s="53">
        <f t="shared" si="79"/>
        <v>2</v>
      </c>
      <c r="N434" s="963"/>
      <c r="O434" s="53">
        <f t="shared" si="80"/>
        <v>0.05</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0.03</v>
      </c>
      <c r="H435" s="963"/>
      <c r="I435" s="53">
        <f t="shared" si="77"/>
        <v>0.03</v>
      </c>
      <c r="J435" s="963"/>
      <c r="K435" s="53">
        <f t="shared" si="78"/>
        <v>0</v>
      </c>
      <c r="L435" s="963"/>
      <c r="M435" s="53">
        <f t="shared" si="79"/>
        <v>2</v>
      </c>
      <c r="N435" s="963"/>
      <c r="O435" s="53">
        <f t="shared" si="80"/>
        <v>0.05</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0.03</v>
      </c>
      <c r="H436" s="963"/>
      <c r="I436" s="53">
        <f t="shared" si="77"/>
        <v>0.03</v>
      </c>
      <c r="J436" s="963"/>
      <c r="K436" s="53">
        <f t="shared" si="78"/>
        <v>0</v>
      </c>
      <c r="L436" s="963"/>
      <c r="M436" s="53">
        <f t="shared" si="79"/>
        <v>2</v>
      </c>
      <c r="N436" s="963"/>
      <c r="O436" s="53">
        <f t="shared" si="80"/>
        <v>0.05</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0.03</v>
      </c>
      <c r="H437" s="963"/>
      <c r="I437" s="53">
        <f t="shared" si="77"/>
        <v>0.03</v>
      </c>
      <c r="J437" s="963"/>
      <c r="K437" s="53">
        <f t="shared" si="78"/>
        <v>0</v>
      </c>
      <c r="L437" s="963"/>
      <c r="M437" s="53">
        <f t="shared" si="79"/>
        <v>2</v>
      </c>
      <c r="N437" s="963"/>
      <c r="O437" s="53">
        <f t="shared" si="80"/>
        <v>0.05</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0.03</v>
      </c>
      <c r="H438" s="963"/>
      <c r="I438" s="53">
        <f t="shared" si="77"/>
        <v>0.03</v>
      </c>
      <c r="J438" s="963"/>
      <c r="K438" s="53">
        <f t="shared" si="78"/>
        <v>0</v>
      </c>
      <c r="L438" s="963"/>
      <c r="M438" s="53">
        <f t="shared" si="79"/>
        <v>2</v>
      </c>
      <c r="N438" s="963"/>
      <c r="O438" s="53">
        <f t="shared" si="80"/>
        <v>0.05</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0.03</v>
      </c>
      <c r="H439" s="963"/>
      <c r="I439" s="53">
        <f t="shared" si="77"/>
        <v>0.03</v>
      </c>
      <c r="J439" s="963"/>
      <c r="K439" s="53">
        <f t="shared" si="78"/>
        <v>0</v>
      </c>
      <c r="L439" s="963"/>
      <c r="M439" s="53">
        <f t="shared" si="79"/>
        <v>2</v>
      </c>
      <c r="N439" s="963"/>
      <c r="O439" s="53">
        <f t="shared" si="80"/>
        <v>0.05</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0.03</v>
      </c>
      <c r="H440" s="963"/>
      <c r="I440" s="53">
        <f t="shared" si="77"/>
        <v>0.03</v>
      </c>
      <c r="J440" s="963"/>
      <c r="K440" s="53">
        <f t="shared" si="78"/>
        <v>0</v>
      </c>
      <c r="L440" s="963"/>
      <c r="M440" s="53">
        <f t="shared" si="79"/>
        <v>2</v>
      </c>
      <c r="N440" s="963"/>
      <c r="O440" s="53">
        <f t="shared" si="80"/>
        <v>0.05</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0.03</v>
      </c>
      <c r="H441" s="963"/>
      <c r="I441" s="53">
        <f t="shared" si="77"/>
        <v>0.03</v>
      </c>
      <c r="J441" s="963"/>
      <c r="K441" s="53">
        <f t="shared" si="78"/>
        <v>0</v>
      </c>
      <c r="L441" s="963"/>
      <c r="M441" s="53">
        <f t="shared" si="79"/>
        <v>2</v>
      </c>
      <c r="N441" s="963"/>
      <c r="O441" s="53">
        <f t="shared" si="80"/>
        <v>0.05</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0.03</v>
      </c>
      <c r="H442" s="963"/>
      <c r="I442" s="53">
        <f t="shared" si="77"/>
        <v>0.03</v>
      </c>
      <c r="J442" s="963"/>
      <c r="K442" s="53">
        <f t="shared" si="78"/>
        <v>0</v>
      </c>
      <c r="L442" s="963"/>
      <c r="M442" s="53">
        <f t="shared" si="79"/>
        <v>2</v>
      </c>
      <c r="N442" s="963"/>
      <c r="O442" s="53">
        <f t="shared" si="80"/>
        <v>0.05</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0.03</v>
      </c>
      <c r="H443" s="963"/>
      <c r="I443" s="53">
        <f t="shared" si="77"/>
        <v>0.03</v>
      </c>
      <c r="J443" s="963"/>
      <c r="K443" s="53">
        <f t="shared" si="78"/>
        <v>0</v>
      </c>
      <c r="L443" s="963"/>
      <c r="M443" s="53">
        <f t="shared" si="79"/>
        <v>2</v>
      </c>
      <c r="N443" s="963"/>
      <c r="O443" s="53">
        <f t="shared" si="80"/>
        <v>0.05</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0.03</v>
      </c>
      <c r="H444" s="963"/>
      <c r="I444" s="53">
        <f t="shared" si="77"/>
        <v>0.03</v>
      </c>
      <c r="J444" s="963"/>
      <c r="K444" s="53">
        <f t="shared" si="78"/>
        <v>0</v>
      </c>
      <c r="L444" s="963"/>
      <c r="M444" s="53">
        <f t="shared" si="79"/>
        <v>2</v>
      </c>
      <c r="N444" s="963"/>
      <c r="O444" s="53">
        <f t="shared" si="80"/>
        <v>0.05</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0.03</v>
      </c>
      <c r="H445" s="963"/>
      <c r="I445" s="53">
        <f t="shared" si="77"/>
        <v>0.03</v>
      </c>
      <c r="J445" s="963"/>
      <c r="K445" s="53">
        <f t="shared" si="78"/>
        <v>0</v>
      </c>
      <c r="L445" s="963"/>
      <c r="M445" s="53">
        <f t="shared" si="79"/>
        <v>2</v>
      </c>
      <c r="N445" s="963"/>
      <c r="O445" s="53">
        <f t="shared" si="80"/>
        <v>0.05</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0.03</v>
      </c>
      <c r="H446" s="963"/>
      <c r="I446" s="53">
        <f t="shared" si="77"/>
        <v>0.03</v>
      </c>
      <c r="J446" s="963"/>
      <c r="K446" s="53">
        <f t="shared" si="78"/>
        <v>0</v>
      </c>
      <c r="L446" s="963"/>
      <c r="M446" s="53">
        <f t="shared" si="79"/>
        <v>2</v>
      </c>
      <c r="N446" s="963"/>
      <c r="O446" s="53">
        <f t="shared" si="80"/>
        <v>0.05</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0.03</v>
      </c>
      <c r="H447" s="963"/>
      <c r="I447" s="53">
        <f t="shared" si="77"/>
        <v>0.03</v>
      </c>
      <c r="J447" s="963"/>
      <c r="K447" s="53">
        <f t="shared" si="78"/>
        <v>0</v>
      </c>
      <c r="L447" s="963"/>
      <c r="M447" s="53">
        <f t="shared" si="79"/>
        <v>2</v>
      </c>
      <c r="N447" s="963"/>
      <c r="O447" s="53">
        <f t="shared" si="80"/>
        <v>0.05</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0.03</v>
      </c>
      <c r="H448" s="963"/>
      <c r="I448" s="53">
        <f t="shared" si="77"/>
        <v>0.03</v>
      </c>
      <c r="J448" s="963"/>
      <c r="K448" s="53">
        <f t="shared" si="78"/>
        <v>0</v>
      </c>
      <c r="L448" s="963"/>
      <c r="M448" s="53">
        <f t="shared" si="79"/>
        <v>2</v>
      </c>
      <c r="N448" s="963"/>
      <c r="O448" s="53">
        <f t="shared" si="80"/>
        <v>0.05</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0.03</v>
      </c>
      <c r="H449" s="963"/>
      <c r="I449" s="53">
        <f t="shared" si="77"/>
        <v>0.03</v>
      </c>
      <c r="J449" s="963"/>
      <c r="K449" s="53">
        <f t="shared" si="78"/>
        <v>0</v>
      </c>
      <c r="L449" s="963"/>
      <c r="M449" s="53">
        <f t="shared" si="79"/>
        <v>2</v>
      </c>
      <c r="N449" s="963"/>
      <c r="O449" s="53">
        <f t="shared" si="80"/>
        <v>0.05</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0.03</v>
      </c>
      <c r="H450" s="963"/>
      <c r="I450" s="53">
        <f t="shared" si="77"/>
        <v>0.03</v>
      </c>
      <c r="J450" s="963"/>
      <c r="K450" s="53">
        <f t="shared" si="78"/>
        <v>0</v>
      </c>
      <c r="L450" s="963"/>
      <c r="M450" s="53">
        <f t="shared" si="79"/>
        <v>2</v>
      </c>
      <c r="N450" s="963"/>
      <c r="O450" s="53">
        <f t="shared" si="80"/>
        <v>0.05</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0.03</v>
      </c>
      <c r="H451" s="963"/>
      <c r="I451" s="53">
        <f t="shared" si="77"/>
        <v>0.03</v>
      </c>
      <c r="J451" s="963"/>
      <c r="K451" s="53">
        <f t="shared" si="78"/>
        <v>0</v>
      </c>
      <c r="L451" s="963"/>
      <c r="M451" s="53">
        <f t="shared" si="79"/>
        <v>2</v>
      </c>
      <c r="N451" s="963"/>
      <c r="O451" s="53">
        <f t="shared" si="80"/>
        <v>0.05</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0.03</v>
      </c>
      <c r="H452" s="963"/>
      <c r="I452" s="53">
        <f t="shared" si="77"/>
        <v>0.03</v>
      </c>
      <c r="J452" s="963"/>
      <c r="K452" s="53">
        <f t="shared" si="78"/>
        <v>0</v>
      </c>
      <c r="L452" s="963"/>
      <c r="M452" s="53">
        <f t="shared" si="79"/>
        <v>2</v>
      </c>
      <c r="N452" s="963"/>
      <c r="O452" s="53">
        <f t="shared" si="80"/>
        <v>0.05</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0.03</v>
      </c>
      <c r="H453" s="963"/>
      <c r="I453" s="53">
        <f t="shared" si="77"/>
        <v>0.03</v>
      </c>
      <c r="J453" s="963"/>
      <c r="K453" s="53">
        <f t="shared" si="78"/>
        <v>0</v>
      </c>
      <c r="L453" s="963"/>
      <c r="M453" s="53">
        <f t="shared" si="79"/>
        <v>2</v>
      </c>
      <c r="N453" s="963"/>
      <c r="O453" s="53">
        <f t="shared" si="80"/>
        <v>0.05</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0.03</v>
      </c>
      <c r="H454" s="963"/>
      <c r="I454" s="53">
        <f t="shared" si="77"/>
        <v>0.03</v>
      </c>
      <c r="J454" s="963"/>
      <c r="K454" s="53">
        <f t="shared" si="78"/>
        <v>0</v>
      </c>
      <c r="L454" s="963"/>
      <c r="M454" s="53">
        <f t="shared" si="79"/>
        <v>2</v>
      </c>
      <c r="N454" s="963"/>
      <c r="O454" s="53">
        <f t="shared" si="80"/>
        <v>0.05</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0.03</v>
      </c>
      <c r="H455" s="963"/>
      <c r="I455" s="53">
        <f t="shared" si="77"/>
        <v>0.03</v>
      </c>
      <c r="J455" s="963"/>
      <c r="K455" s="53">
        <f t="shared" si="78"/>
        <v>0</v>
      </c>
      <c r="L455" s="963"/>
      <c r="M455" s="53">
        <f t="shared" si="79"/>
        <v>2</v>
      </c>
      <c r="N455" s="963"/>
      <c r="O455" s="53">
        <f t="shared" si="80"/>
        <v>0.05</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0.03</v>
      </c>
      <c r="H456" s="963"/>
      <c r="I456" s="53">
        <f t="shared" si="77"/>
        <v>0.03</v>
      </c>
      <c r="J456" s="963"/>
      <c r="K456" s="53">
        <f t="shared" si="78"/>
        <v>0</v>
      </c>
      <c r="L456" s="963"/>
      <c r="M456" s="53">
        <f t="shared" si="79"/>
        <v>2</v>
      </c>
      <c r="N456" s="963"/>
      <c r="O456" s="53">
        <f t="shared" si="80"/>
        <v>0.05</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0.03</v>
      </c>
      <c r="H457" s="963"/>
      <c r="I457" s="53">
        <f t="shared" si="77"/>
        <v>0.03</v>
      </c>
      <c r="J457" s="963"/>
      <c r="K457" s="53">
        <f t="shared" si="78"/>
        <v>0</v>
      </c>
      <c r="L457" s="963"/>
      <c r="M457" s="53">
        <f t="shared" si="79"/>
        <v>2</v>
      </c>
      <c r="N457" s="963"/>
      <c r="O457" s="53">
        <f t="shared" si="80"/>
        <v>0.05</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0.03</v>
      </c>
      <c r="H458" s="963"/>
      <c r="I458" s="53">
        <f t="shared" si="77"/>
        <v>0.03</v>
      </c>
      <c r="J458" s="963"/>
      <c r="K458" s="53">
        <f t="shared" si="78"/>
        <v>0</v>
      </c>
      <c r="L458" s="963"/>
      <c r="M458" s="53">
        <f t="shared" si="79"/>
        <v>2</v>
      </c>
      <c r="N458" s="963"/>
      <c r="O458" s="53">
        <f t="shared" si="80"/>
        <v>0.05</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0.03</v>
      </c>
      <c r="H459" s="963"/>
      <c r="I459" s="53">
        <f t="shared" si="77"/>
        <v>0.03</v>
      </c>
      <c r="J459" s="963"/>
      <c r="K459" s="53">
        <f t="shared" si="78"/>
        <v>0</v>
      </c>
      <c r="L459" s="963"/>
      <c r="M459" s="53">
        <f t="shared" si="79"/>
        <v>2</v>
      </c>
      <c r="N459" s="963"/>
      <c r="O459" s="53">
        <f t="shared" si="80"/>
        <v>0.05</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0.03</v>
      </c>
      <c r="H460" s="963"/>
      <c r="I460" s="53">
        <f t="shared" si="77"/>
        <v>0.03</v>
      </c>
      <c r="J460" s="963"/>
      <c r="K460" s="53">
        <f t="shared" si="78"/>
        <v>0</v>
      </c>
      <c r="L460" s="963"/>
      <c r="M460" s="53">
        <f t="shared" si="79"/>
        <v>2</v>
      </c>
      <c r="N460" s="963"/>
      <c r="O460" s="53">
        <f t="shared" si="80"/>
        <v>0.05</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0.03</v>
      </c>
      <c r="H461" s="963"/>
      <c r="I461" s="53">
        <f t="shared" si="77"/>
        <v>0.03</v>
      </c>
      <c r="J461" s="963"/>
      <c r="K461" s="53">
        <f t="shared" si="78"/>
        <v>0</v>
      </c>
      <c r="L461" s="963"/>
      <c r="M461" s="53">
        <f t="shared" si="79"/>
        <v>2</v>
      </c>
      <c r="N461" s="963"/>
      <c r="O461" s="53">
        <f t="shared" si="80"/>
        <v>0.05</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0.03</v>
      </c>
      <c r="H462" s="963"/>
      <c r="I462" s="53">
        <f t="shared" si="77"/>
        <v>0.03</v>
      </c>
      <c r="J462" s="963"/>
      <c r="K462" s="53">
        <f t="shared" si="78"/>
        <v>0</v>
      </c>
      <c r="L462" s="963"/>
      <c r="M462" s="53">
        <f t="shared" si="79"/>
        <v>2</v>
      </c>
      <c r="N462" s="963"/>
      <c r="O462" s="53">
        <f t="shared" si="80"/>
        <v>0.05</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0.03</v>
      </c>
      <c r="H463" s="963"/>
      <c r="I463" s="53">
        <f t="shared" si="77"/>
        <v>0.03</v>
      </c>
      <c r="J463" s="963"/>
      <c r="K463" s="53">
        <f t="shared" si="78"/>
        <v>0</v>
      </c>
      <c r="L463" s="963"/>
      <c r="M463" s="53">
        <f t="shared" si="79"/>
        <v>2</v>
      </c>
      <c r="N463" s="963"/>
      <c r="O463" s="53">
        <f t="shared" si="80"/>
        <v>0.05</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0.03</v>
      </c>
      <c r="H464" s="963"/>
      <c r="I464" s="53">
        <f t="shared" si="77"/>
        <v>0.03</v>
      </c>
      <c r="J464" s="963"/>
      <c r="K464" s="53">
        <f t="shared" si="78"/>
        <v>0</v>
      </c>
      <c r="L464" s="963"/>
      <c r="M464" s="53">
        <f t="shared" si="79"/>
        <v>2</v>
      </c>
      <c r="N464" s="963"/>
      <c r="O464" s="53">
        <f t="shared" si="80"/>
        <v>0.05</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0.03</v>
      </c>
      <c r="H465" s="963"/>
      <c r="I465" s="53">
        <f t="shared" si="77"/>
        <v>0.03</v>
      </c>
      <c r="J465" s="963"/>
      <c r="K465" s="53">
        <f t="shared" si="78"/>
        <v>0</v>
      </c>
      <c r="L465" s="963"/>
      <c r="M465" s="53">
        <f t="shared" si="79"/>
        <v>2</v>
      </c>
      <c r="N465" s="963"/>
      <c r="O465" s="53">
        <f t="shared" si="80"/>
        <v>0.05</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0.03</v>
      </c>
      <c r="H466" s="963"/>
      <c r="I466" s="53">
        <f t="shared" si="77"/>
        <v>0.03</v>
      </c>
      <c r="J466" s="963"/>
      <c r="K466" s="53">
        <f t="shared" si="78"/>
        <v>0</v>
      </c>
      <c r="L466" s="963"/>
      <c r="M466" s="53">
        <f t="shared" si="79"/>
        <v>2</v>
      </c>
      <c r="N466" s="963"/>
      <c r="O466" s="53">
        <f t="shared" si="80"/>
        <v>0.05</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0.03</v>
      </c>
      <c r="H467" s="963"/>
      <c r="I467" s="53">
        <f t="shared" si="77"/>
        <v>0.03</v>
      </c>
      <c r="J467" s="963"/>
      <c r="K467" s="53">
        <f t="shared" si="78"/>
        <v>0</v>
      </c>
      <c r="L467" s="963"/>
      <c r="M467" s="53">
        <f t="shared" si="79"/>
        <v>2</v>
      </c>
      <c r="N467" s="963"/>
      <c r="O467" s="53">
        <f t="shared" si="80"/>
        <v>0.05</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0.03</v>
      </c>
      <c r="H468" s="963"/>
      <c r="I468" s="53">
        <f t="shared" si="77"/>
        <v>0.03</v>
      </c>
      <c r="J468" s="963"/>
      <c r="K468" s="53">
        <f t="shared" si="78"/>
        <v>0</v>
      </c>
      <c r="L468" s="963"/>
      <c r="M468" s="53">
        <f t="shared" si="79"/>
        <v>2</v>
      </c>
      <c r="N468" s="963"/>
      <c r="O468" s="53">
        <f t="shared" si="80"/>
        <v>0.05</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0.03</v>
      </c>
      <c r="H469" s="963"/>
      <c r="I469" s="53">
        <f t="shared" si="77"/>
        <v>0.03</v>
      </c>
      <c r="J469" s="963"/>
      <c r="K469" s="53">
        <f t="shared" si="78"/>
        <v>0</v>
      </c>
      <c r="L469" s="963"/>
      <c r="M469" s="53">
        <f t="shared" si="79"/>
        <v>2</v>
      </c>
      <c r="N469" s="963"/>
      <c r="O469" s="53">
        <f t="shared" si="80"/>
        <v>0.05</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0.03</v>
      </c>
      <c r="H470" s="963"/>
      <c r="I470" s="53">
        <f t="shared" si="77"/>
        <v>0.03</v>
      </c>
      <c r="J470" s="963"/>
      <c r="K470" s="53">
        <f t="shared" si="78"/>
        <v>0</v>
      </c>
      <c r="L470" s="963"/>
      <c r="M470" s="53">
        <f t="shared" si="79"/>
        <v>2</v>
      </c>
      <c r="N470" s="963"/>
      <c r="O470" s="53">
        <f t="shared" si="80"/>
        <v>0.05</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0.03</v>
      </c>
      <c r="H471" s="963"/>
      <c r="I471" s="53">
        <f t="shared" si="77"/>
        <v>0.03</v>
      </c>
      <c r="J471" s="963"/>
      <c r="K471" s="53">
        <f t="shared" si="78"/>
        <v>0</v>
      </c>
      <c r="L471" s="963"/>
      <c r="M471" s="53">
        <f t="shared" si="79"/>
        <v>2</v>
      </c>
      <c r="N471" s="963"/>
      <c r="O471" s="53">
        <f t="shared" si="80"/>
        <v>0.05</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0.03</v>
      </c>
      <c r="H472" s="963"/>
      <c r="I472" s="53">
        <f t="shared" si="77"/>
        <v>0.03</v>
      </c>
      <c r="J472" s="963"/>
      <c r="K472" s="53">
        <f t="shared" si="78"/>
        <v>0</v>
      </c>
      <c r="L472" s="963"/>
      <c r="M472" s="53">
        <f t="shared" si="79"/>
        <v>2</v>
      </c>
      <c r="N472" s="963"/>
      <c r="O472" s="53">
        <f t="shared" si="80"/>
        <v>0.05</v>
      </c>
      <c r="P472" s="963"/>
      <c r="Q472" s="53">
        <f t="shared" si="81"/>
        <v>1</v>
      </c>
      <c r="R472" s="490">
        <f t="shared" si="82"/>
        <v>0</v>
      </c>
      <c r="S472" s="799">
        <f t="shared" si="84"/>
        <v>0</v>
      </c>
    </row>
    <row r="473" spans="1:19">
      <c r="A473" s="965"/>
      <c r="B473" s="137"/>
      <c r="C473" s="53">
        <f t="shared" si="74"/>
        <v>1</v>
      </c>
      <c r="D473" s="963"/>
      <c r="E473" s="53">
        <f t="shared" si="75"/>
        <v>0.1</v>
      </c>
      <c r="F473" s="963"/>
      <c r="G473" s="53">
        <f t="shared" si="76"/>
        <v>0.03</v>
      </c>
      <c r="H473" s="963"/>
      <c r="I473" s="53">
        <f t="shared" si="77"/>
        <v>0.03</v>
      </c>
      <c r="J473" s="963"/>
      <c r="K473" s="53">
        <f t="shared" si="78"/>
        <v>0</v>
      </c>
      <c r="L473" s="963"/>
      <c r="M473" s="53">
        <f t="shared" si="79"/>
        <v>2</v>
      </c>
      <c r="N473" s="963"/>
      <c r="O473" s="53">
        <f t="shared" si="80"/>
        <v>0.05</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0.1</v>
      </c>
      <c r="F474" s="963"/>
      <c r="G474" s="53">
        <f t="shared" ref="G474:G524" si="87">(SUMIF($7:$7,F474,$8:$8)-SUMIF($7:$7,$F$24,$8:$8)+100)/100</f>
        <v>0.03</v>
      </c>
      <c r="H474" s="963"/>
      <c r="I474" s="53">
        <f t="shared" ref="I474:I524" si="88">(SUMIF($9:$9,H474,$10:$10)-SUMIF($9:$9,$H$24,$10:$10)+100)/100</f>
        <v>0.03</v>
      </c>
      <c r="J474" s="963"/>
      <c r="K474" s="53">
        <f t="shared" ref="K474:K524" si="89">(SUMIF($11:$11,J474,$12:$12)-SUMIF($11:$11,$J$24,$12:$12)+100)/100</f>
        <v>0</v>
      </c>
      <c r="L474" s="963"/>
      <c r="M474" s="53">
        <f t="shared" ref="M474:M524" si="90">(SUMIF($13:$13,L474,$14:$14)-SUMIF($13:$13,$L$24,$14:$14)+100)/100</f>
        <v>2</v>
      </c>
      <c r="N474" s="963"/>
      <c r="O474" s="53">
        <f t="shared" ref="O474:O524" si="91">(SUMIF($15:$15,N474,$16:$16)-SUMIF($15:$15,$N$24,$16:$16)+100)/100</f>
        <v>0.05</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0.03</v>
      </c>
      <c r="H475" s="963"/>
      <c r="I475" s="53">
        <f t="shared" si="88"/>
        <v>0.03</v>
      </c>
      <c r="J475" s="963"/>
      <c r="K475" s="53">
        <f t="shared" si="89"/>
        <v>0</v>
      </c>
      <c r="L475" s="963"/>
      <c r="M475" s="53">
        <f t="shared" si="90"/>
        <v>2</v>
      </c>
      <c r="N475" s="963"/>
      <c r="O475" s="53">
        <f t="shared" si="91"/>
        <v>0.05</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0.03</v>
      </c>
      <c r="H476" s="963"/>
      <c r="I476" s="53">
        <f t="shared" si="88"/>
        <v>0.03</v>
      </c>
      <c r="J476" s="963"/>
      <c r="K476" s="53">
        <f t="shared" si="89"/>
        <v>0</v>
      </c>
      <c r="L476" s="963"/>
      <c r="M476" s="53">
        <f t="shared" si="90"/>
        <v>2</v>
      </c>
      <c r="N476" s="963"/>
      <c r="O476" s="53">
        <f t="shared" si="91"/>
        <v>0.05</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0.03</v>
      </c>
      <c r="H477" s="963"/>
      <c r="I477" s="53">
        <f t="shared" si="88"/>
        <v>0.03</v>
      </c>
      <c r="J477" s="963"/>
      <c r="K477" s="53">
        <f t="shared" si="89"/>
        <v>0</v>
      </c>
      <c r="L477" s="963"/>
      <c r="M477" s="53">
        <f t="shared" si="90"/>
        <v>2</v>
      </c>
      <c r="N477" s="963"/>
      <c r="O477" s="53">
        <f t="shared" si="91"/>
        <v>0.05</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0.03</v>
      </c>
      <c r="H478" s="963"/>
      <c r="I478" s="53">
        <f t="shared" si="88"/>
        <v>0.03</v>
      </c>
      <c r="J478" s="963"/>
      <c r="K478" s="53">
        <f t="shared" si="89"/>
        <v>0</v>
      </c>
      <c r="L478" s="963"/>
      <c r="M478" s="53">
        <f t="shared" si="90"/>
        <v>2</v>
      </c>
      <c r="N478" s="963"/>
      <c r="O478" s="53">
        <f t="shared" si="91"/>
        <v>0.05</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0.03</v>
      </c>
      <c r="H479" s="963"/>
      <c r="I479" s="53">
        <f t="shared" si="88"/>
        <v>0.03</v>
      </c>
      <c r="J479" s="963"/>
      <c r="K479" s="53">
        <f t="shared" si="89"/>
        <v>0</v>
      </c>
      <c r="L479" s="963"/>
      <c r="M479" s="53">
        <f t="shared" si="90"/>
        <v>2</v>
      </c>
      <c r="N479" s="963"/>
      <c r="O479" s="53">
        <f t="shared" si="91"/>
        <v>0.05</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0.03</v>
      </c>
      <c r="H480" s="963"/>
      <c r="I480" s="53">
        <f t="shared" si="88"/>
        <v>0.03</v>
      </c>
      <c r="J480" s="963"/>
      <c r="K480" s="53">
        <f t="shared" si="89"/>
        <v>0</v>
      </c>
      <c r="L480" s="963"/>
      <c r="M480" s="53">
        <f t="shared" si="90"/>
        <v>2</v>
      </c>
      <c r="N480" s="963"/>
      <c r="O480" s="53">
        <f t="shared" si="91"/>
        <v>0.05</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0.03</v>
      </c>
      <c r="H481" s="963"/>
      <c r="I481" s="53">
        <f t="shared" si="88"/>
        <v>0.03</v>
      </c>
      <c r="J481" s="963"/>
      <c r="K481" s="53">
        <f t="shared" si="89"/>
        <v>0</v>
      </c>
      <c r="L481" s="963"/>
      <c r="M481" s="53">
        <f t="shared" si="90"/>
        <v>2</v>
      </c>
      <c r="N481" s="963"/>
      <c r="O481" s="53">
        <f t="shared" si="91"/>
        <v>0.05</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0.03</v>
      </c>
      <c r="H482" s="963"/>
      <c r="I482" s="53">
        <f t="shared" si="88"/>
        <v>0.03</v>
      </c>
      <c r="J482" s="963"/>
      <c r="K482" s="53">
        <f t="shared" si="89"/>
        <v>0</v>
      </c>
      <c r="L482" s="963"/>
      <c r="M482" s="53">
        <f t="shared" si="90"/>
        <v>2</v>
      </c>
      <c r="N482" s="963"/>
      <c r="O482" s="53">
        <f t="shared" si="91"/>
        <v>0.05</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0.03</v>
      </c>
      <c r="H483" s="963"/>
      <c r="I483" s="53">
        <f t="shared" si="88"/>
        <v>0.03</v>
      </c>
      <c r="J483" s="963"/>
      <c r="K483" s="53">
        <f t="shared" si="89"/>
        <v>0</v>
      </c>
      <c r="L483" s="963"/>
      <c r="M483" s="53">
        <f t="shared" si="90"/>
        <v>2</v>
      </c>
      <c r="N483" s="963"/>
      <c r="O483" s="53">
        <f t="shared" si="91"/>
        <v>0.05</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0.03</v>
      </c>
      <c r="H484" s="963"/>
      <c r="I484" s="53">
        <f t="shared" si="88"/>
        <v>0.03</v>
      </c>
      <c r="J484" s="963"/>
      <c r="K484" s="53">
        <f t="shared" si="89"/>
        <v>0</v>
      </c>
      <c r="L484" s="963"/>
      <c r="M484" s="53">
        <f t="shared" si="90"/>
        <v>2</v>
      </c>
      <c r="N484" s="963"/>
      <c r="O484" s="53">
        <f t="shared" si="91"/>
        <v>0.05</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0.03</v>
      </c>
      <c r="H485" s="963"/>
      <c r="I485" s="53">
        <f t="shared" si="88"/>
        <v>0.03</v>
      </c>
      <c r="J485" s="963"/>
      <c r="K485" s="53">
        <f t="shared" si="89"/>
        <v>0</v>
      </c>
      <c r="L485" s="963"/>
      <c r="M485" s="53">
        <f t="shared" si="90"/>
        <v>2</v>
      </c>
      <c r="N485" s="963"/>
      <c r="O485" s="53">
        <f t="shared" si="91"/>
        <v>0.05</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0.03</v>
      </c>
      <c r="H486" s="963"/>
      <c r="I486" s="53">
        <f t="shared" si="88"/>
        <v>0.03</v>
      </c>
      <c r="J486" s="963"/>
      <c r="K486" s="53">
        <f t="shared" si="89"/>
        <v>0</v>
      </c>
      <c r="L486" s="963"/>
      <c r="M486" s="53">
        <f t="shared" si="90"/>
        <v>2</v>
      </c>
      <c r="N486" s="963"/>
      <c r="O486" s="53">
        <f t="shared" si="91"/>
        <v>0.05</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0.03</v>
      </c>
      <c r="H487" s="963"/>
      <c r="I487" s="53">
        <f t="shared" si="88"/>
        <v>0.03</v>
      </c>
      <c r="J487" s="963"/>
      <c r="K487" s="53">
        <f t="shared" si="89"/>
        <v>0</v>
      </c>
      <c r="L487" s="963"/>
      <c r="M487" s="53">
        <f t="shared" si="90"/>
        <v>2</v>
      </c>
      <c r="N487" s="963"/>
      <c r="O487" s="53">
        <f t="shared" si="91"/>
        <v>0.05</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0.03</v>
      </c>
      <c r="H488" s="963"/>
      <c r="I488" s="53">
        <f t="shared" si="88"/>
        <v>0.03</v>
      </c>
      <c r="J488" s="963"/>
      <c r="K488" s="53">
        <f t="shared" si="89"/>
        <v>0</v>
      </c>
      <c r="L488" s="963"/>
      <c r="M488" s="53">
        <f t="shared" si="90"/>
        <v>2</v>
      </c>
      <c r="N488" s="963"/>
      <c r="O488" s="53">
        <f t="shared" si="91"/>
        <v>0.05</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0.03</v>
      </c>
      <c r="H489" s="963"/>
      <c r="I489" s="53">
        <f t="shared" si="88"/>
        <v>0.03</v>
      </c>
      <c r="J489" s="963"/>
      <c r="K489" s="53">
        <f t="shared" si="89"/>
        <v>0</v>
      </c>
      <c r="L489" s="963"/>
      <c r="M489" s="53">
        <f t="shared" si="90"/>
        <v>2</v>
      </c>
      <c r="N489" s="963"/>
      <c r="O489" s="53">
        <f t="shared" si="91"/>
        <v>0.05</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0.03</v>
      </c>
      <c r="H490" s="963"/>
      <c r="I490" s="53">
        <f t="shared" si="88"/>
        <v>0.03</v>
      </c>
      <c r="J490" s="963"/>
      <c r="K490" s="53">
        <f t="shared" si="89"/>
        <v>0</v>
      </c>
      <c r="L490" s="963"/>
      <c r="M490" s="53">
        <f t="shared" si="90"/>
        <v>2</v>
      </c>
      <c r="N490" s="963"/>
      <c r="O490" s="53">
        <f t="shared" si="91"/>
        <v>0.05</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0.03</v>
      </c>
      <c r="H491" s="963"/>
      <c r="I491" s="53">
        <f t="shared" si="88"/>
        <v>0.03</v>
      </c>
      <c r="J491" s="963"/>
      <c r="K491" s="53">
        <f t="shared" si="89"/>
        <v>0</v>
      </c>
      <c r="L491" s="963"/>
      <c r="M491" s="53">
        <f t="shared" si="90"/>
        <v>2</v>
      </c>
      <c r="N491" s="963"/>
      <c r="O491" s="53">
        <f t="shared" si="91"/>
        <v>0.05</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0.03</v>
      </c>
      <c r="H492" s="963"/>
      <c r="I492" s="53">
        <f t="shared" si="88"/>
        <v>0.03</v>
      </c>
      <c r="J492" s="963"/>
      <c r="K492" s="53">
        <f t="shared" si="89"/>
        <v>0</v>
      </c>
      <c r="L492" s="963"/>
      <c r="M492" s="53">
        <f t="shared" si="90"/>
        <v>2</v>
      </c>
      <c r="N492" s="963"/>
      <c r="O492" s="53">
        <f t="shared" si="91"/>
        <v>0.05</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0.03</v>
      </c>
      <c r="H493" s="963"/>
      <c r="I493" s="53">
        <f t="shared" si="88"/>
        <v>0.03</v>
      </c>
      <c r="J493" s="963"/>
      <c r="K493" s="53">
        <f t="shared" si="89"/>
        <v>0</v>
      </c>
      <c r="L493" s="963"/>
      <c r="M493" s="53">
        <f t="shared" si="90"/>
        <v>2</v>
      </c>
      <c r="N493" s="963"/>
      <c r="O493" s="53">
        <f t="shared" si="91"/>
        <v>0.05</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0.03</v>
      </c>
      <c r="H494" s="963"/>
      <c r="I494" s="53">
        <f t="shared" si="88"/>
        <v>0.03</v>
      </c>
      <c r="J494" s="963"/>
      <c r="K494" s="53">
        <f t="shared" si="89"/>
        <v>0</v>
      </c>
      <c r="L494" s="963"/>
      <c r="M494" s="53">
        <f t="shared" si="90"/>
        <v>2</v>
      </c>
      <c r="N494" s="963"/>
      <c r="O494" s="53">
        <f t="shared" si="91"/>
        <v>0.05</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0.03</v>
      </c>
      <c r="H495" s="963"/>
      <c r="I495" s="53">
        <f t="shared" si="88"/>
        <v>0.03</v>
      </c>
      <c r="J495" s="963"/>
      <c r="K495" s="53">
        <f t="shared" si="89"/>
        <v>0</v>
      </c>
      <c r="L495" s="963"/>
      <c r="M495" s="53">
        <f t="shared" si="90"/>
        <v>2</v>
      </c>
      <c r="N495" s="963"/>
      <c r="O495" s="53">
        <f t="shared" si="91"/>
        <v>0.05</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0.03</v>
      </c>
      <c r="H496" s="963"/>
      <c r="I496" s="53">
        <f t="shared" si="88"/>
        <v>0.03</v>
      </c>
      <c r="J496" s="963"/>
      <c r="K496" s="53">
        <f t="shared" si="89"/>
        <v>0</v>
      </c>
      <c r="L496" s="963"/>
      <c r="M496" s="53">
        <f t="shared" si="90"/>
        <v>2</v>
      </c>
      <c r="N496" s="963"/>
      <c r="O496" s="53">
        <f t="shared" si="91"/>
        <v>0.05</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0.03</v>
      </c>
      <c r="H497" s="963"/>
      <c r="I497" s="53">
        <f t="shared" si="88"/>
        <v>0.03</v>
      </c>
      <c r="J497" s="963"/>
      <c r="K497" s="53">
        <f t="shared" si="89"/>
        <v>0</v>
      </c>
      <c r="L497" s="963"/>
      <c r="M497" s="53">
        <f t="shared" si="90"/>
        <v>2</v>
      </c>
      <c r="N497" s="963"/>
      <c r="O497" s="53">
        <f t="shared" si="91"/>
        <v>0.05</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0.03</v>
      </c>
      <c r="H498" s="963"/>
      <c r="I498" s="53">
        <f t="shared" si="88"/>
        <v>0.03</v>
      </c>
      <c r="J498" s="963"/>
      <c r="K498" s="53">
        <f t="shared" si="89"/>
        <v>0</v>
      </c>
      <c r="L498" s="963"/>
      <c r="M498" s="53">
        <f t="shared" si="90"/>
        <v>2</v>
      </c>
      <c r="N498" s="963"/>
      <c r="O498" s="53">
        <f t="shared" si="91"/>
        <v>0.05</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0.03</v>
      </c>
      <c r="H499" s="963"/>
      <c r="I499" s="53">
        <f t="shared" si="88"/>
        <v>0.03</v>
      </c>
      <c r="J499" s="963"/>
      <c r="K499" s="53">
        <f t="shared" si="89"/>
        <v>0</v>
      </c>
      <c r="L499" s="963"/>
      <c r="M499" s="53">
        <f t="shared" si="90"/>
        <v>2</v>
      </c>
      <c r="N499" s="963"/>
      <c r="O499" s="53">
        <f t="shared" si="91"/>
        <v>0.05</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0.03</v>
      </c>
      <c r="H500" s="963"/>
      <c r="I500" s="53">
        <f t="shared" si="88"/>
        <v>0.03</v>
      </c>
      <c r="J500" s="963"/>
      <c r="K500" s="53">
        <f t="shared" si="89"/>
        <v>0</v>
      </c>
      <c r="L500" s="963"/>
      <c r="M500" s="53">
        <f t="shared" si="90"/>
        <v>2</v>
      </c>
      <c r="N500" s="963"/>
      <c r="O500" s="53">
        <f t="shared" si="91"/>
        <v>0.05</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0.03</v>
      </c>
      <c r="H501" s="963"/>
      <c r="I501" s="53">
        <f t="shared" si="88"/>
        <v>0.03</v>
      </c>
      <c r="J501" s="963"/>
      <c r="K501" s="53">
        <f t="shared" si="89"/>
        <v>0</v>
      </c>
      <c r="L501" s="963"/>
      <c r="M501" s="53">
        <f t="shared" si="90"/>
        <v>2</v>
      </c>
      <c r="N501" s="963"/>
      <c r="O501" s="53">
        <f t="shared" si="91"/>
        <v>0.05</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0.03</v>
      </c>
      <c r="H502" s="963"/>
      <c r="I502" s="53">
        <f t="shared" si="88"/>
        <v>0.03</v>
      </c>
      <c r="J502" s="963"/>
      <c r="K502" s="53">
        <f t="shared" si="89"/>
        <v>0</v>
      </c>
      <c r="L502" s="963"/>
      <c r="M502" s="53">
        <f t="shared" si="90"/>
        <v>2</v>
      </c>
      <c r="N502" s="963"/>
      <c r="O502" s="53">
        <f t="shared" si="91"/>
        <v>0.05</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0.03</v>
      </c>
      <c r="H503" s="963"/>
      <c r="I503" s="53">
        <f t="shared" si="88"/>
        <v>0.03</v>
      </c>
      <c r="J503" s="963"/>
      <c r="K503" s="53">
        <f t="shared" si="89"/>
        <v>0</v>
      </c>
      <c r="L503" s="963"/>
      <c r="M503" s="53">
        <f t="shared" si="90"/>
        <v>2</v>
      </c>
      <c r="N503" s="963"/>
      <c r="O503" s="53">
        <f t="shared" si="91"/>
        <v>0.05</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0.03</v>
      </c>
      <c r="H504" s="963"/>
      <c r="I504" s="53">
        <f t="shared" si="88"/>
        <v>0.03</v>
      </c>
      <c r="J504" s="963"/>
      <c r="K504" s="53">
        <f t="shared" si="89"/>
        <v>0</v>
      </c>
      <c r="L504" s="963"/>
      <c r="M504" s="53">
        <f t="shared" si="90"/>
        <v>2</v>
      </c>
      <c r="N504" s="963"/>
      <c r="O504" s="53">
        <f t="shared" si="91"/>
        <v>0.05</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0.03</v>
      </c>
      <c r="H505" s="963"/>
      <c r="I505" s="53">
        <f t="shared" si="88"/>
        <v>0.03</v>
      </c>
      <c r="J505" s="963"/>
      <c r="K505" s="53">
        <f t="shared" si="89"/>
        <v>0</v>
      </c>
      <c r="L505" s="963"/>
      <c r="M505" s="53">
        <f t="shared" si="90"/>
        <v>2</v>
      </c>
      <c r="N505" s="963"/>
      <c r="O505" s="53">
        <f t="shared" si="91"/>
        <v>0.05</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0.03</v>
      </c>
      <c r="H506" s="963"/>
      <c r="I506" s="53">
        <f t="shared" si="88"/>
        <v>0.03</v>
      </c>
      <c r="J506" s="963"/>
      <c r="K506" s="53">
        <f t="shared" si="89"/>
        <v>0</v>
      </c>
      <c r="L506" s="963"/>
      <c r="M506" s="53">
        <f t="shared" si="90"/>
        <v>2</v>
      </c>
      <c r="N506" s="963"/>
      <c r="O506" s="53">
        <f t="shared" si="91"/>
        <v>0.05</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0.03</v>
      </c>
      <c r="H507" s="963"/>
      <c r="I507" s="53">
        <f t="shared" si="88"/>
        <v>0.03</v>
      </c>
      <c r="J507" s="963"/>
      <c r="K507" s="53">
        <f t="shared" si="89"/>
        <v>0</v>
      </c>
      <c r="L507" s="963"/>
      <c r="M507" s="53">
        <f t="shared" si="90"/>
        <v>2</v>
      </c>
      <c r="N507" s="963"/>
      <c r="O507" s="53">
        <f t="shared" si="91"/>
        <v>0.05</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0.03</v>
      </c>
      <c r="H508" s="963"/>
      <c r="I508" s="53">
        <f t="shared" si="88"/>
        <v>0.03</v>
      </c>
      <c r="J508" s="963"/>
      <c r="K508" s="53">
        <f t="shared" si="89"/>
        <v>0</v>
      </c>
      <c r="L508" s="963"/>
      <c r="M508" s="53">
        <f t="shared" si="90"/>
        <v>2</v>
      </c>
      <c r="N508" s="963"/>
      <c r="O508" s="53">
        <f t="shared" si="91"/>
        <v>0.05</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0.03</v>
      </c>
      <c r="H509" s="963"/>
      <c r="I509" s="53">
        <f t="shared" si="88"/>
        <v>0.03</v>
      </c>
      <c r="J509" s="963"/>
      <c r="K509" s="53">
        <f t="shared" si="89"/>
        <v>0</v>
      </c>
      <c r="L509" s="963"/>
      <c r="M509" s="53">
        <f t="shared" si="90"/>
        <v>2</v>
      </c>
      <c r="N509" s="963"/>
      <c r="O509" s="53">
        <f t="shared" si="91"/>
        <v>0.05</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0.03</v>
      </c>
      <c r="H510" s="963"/>
      <c r="I510" s="53">
        <f t="shared" si="88"/>
        <v>0.03</v>
      </c>
      <c r="J510" s="963"/>
      <c r="K510" s="53">
        <f t="shared" si="89"/>
        <v>0</v>
      </c>
      <c r="L510" s="963"/>
      <c r="M510" s="53">
        <f t="shared" si="90"/>
        <v>2</v>
      </c>
      <c r="N510" s="963"/>
      <c r="O510" s="53">
        <f t="shared" si="91"/>
        <v>0.05</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0.03</v>
      </c>
      <c r="H511" s="963"/>
      <c r="I511" s="53">
        <f t="shared" si="88"/>
        <v>0.03</v>
      </c>
      <c r="J511" s="963"/>
      <c r="K511" s="53">
        <f t="shared" si="89"/>
        <v>0</v>
      </c>
      <c r="L511" s="963"/>
      <c r="M511" s="53">
        <f t="shared" si="90"/>
        <v>2</v>
      </c>
      <c r="N511" s="963"/>
      <c r="O511" s="53">
        <f t="shared" si="91"/>
        <v>0.05</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0.03</v>
      </c>
      <c r="H512" s="963"/>
      <c r="I512" s="53">
        <f t="shared" si="88"/>
        <v>0.03</v>
      </c>
      <c r="J512" s="963"/>
      <c r="K512" s="53">
        <f t="shared" si="89"/>
        <v>0</v>
      </c>
      <c r="L512" s="963"/>
      <c r="M512" s="53">
        <f t="shared" si="90"/>
        <v>2</v>
      </c>
      <c r="N512" s="963"/>
      <c r="O512" s="53">
        <f t="shared" si="91"/>
        <v>0.05</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0.03</v>
      </c>
      <c r="H513" s="963"/>
      <c r="I513" s="53">
        <f t="shared" si="88"/>
        <v>0.03</v>
      </c>
      <c r="J513" s="963"/>
      <c r="K513" s="53">
        <f t="shared" si="89"/>
        <v>0</v>
      </c>
      <c r="L513" s="963"/>
      <c r="M513" s="53">
        <f t="shared" si="90"/>
        <v>2</v>
      </c>
      <c r="N513" s="963"/>
      <c r="O513" s="53">
        <f t="shared" si="91"/>
        <v>0.05</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0.03</v>
      </c>
      <c r="H514" s="963"/>
      <c r="I514" s="53">
        <f t="shared" si="88"/>
        <v>0.03</v>
      </c>
      <c r="J514" s="963"/>
      <c r="K514" s="53">
        <f t="shared" si="89"/>
        <v>0</v>
      </c>
      <c r="L514" s="963"/>
      <c r="M514" s="53">
        <f t="shared" si="90"/>
        <v>2</v>
      </c>
      <c r="N514" s="963"/>
      <c r="O514" s="53">
        <f t="shared" si="91"/>
        <v>0.05</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0.03</v>
      </c>
      <c r="H515" s="963"/>
      <c r="I515" s="53">
        <f t="shared" si="88"/>
        <v>0.03</v>
      </c>
      <c r="J515" s="963"/>
      <c r="K515" s="53">
        <f t="shared" si="89"/>
        <v>0</v>
      </c>
      <c r="L515" s="963"/>
      <c r="M515" s="53">
        <f t="shared" si="90"/>
        <v>2</v>
      </c>
      <c r="N515" s="963"/>
      <c r="O515" s="53">
        <f t="shared" si="91"/>
        <v>0.05</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0.03</v>
      </c>
      <c r="H516" s="963"/>
      <c r="I516" s="53">
        <f t="shared" si="88"/>
        <v>0.03</v>
      </c>
      <c r="J516" s="963"/>
      <c r="K516" s="53">
        <f t="shared" si="89"/>
        <v>0</v>
      </c>
      <c r="L516" s="963"/>
      <c r="M516" s="53">
        <f t="shared" si="90"/>
        <v>2</v>
      </c>
      <c r="N516" s="963"/>
      <c r="O516" s="53">
        <f t="shared" si="91"/>
        <v>0.05</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0.03</v>
      </c>
      <c r="H517" s="963"/>
      <c r="I517" s="53">
        <f t="shared" si="88"/>
        <v>0.03</v>
      </c>
      <c r="J517" s="963"/>
      <c r="K517" s="53">
        <f t="shared" si="89"/>
        <v>0</v>
      </c>
      <c r="L517" s="963"/>
      <c r="M517" s="53">
        <f t="shared" si="90"/>
        <v>2</v>
      </c>
      <c r="N517" s="963"/>
      <c r="O517" s="53">
        <f t="shared" si="91"/>
        <v>0.05</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0.03</v>
      </c>
      <c r="H518" s="963"/>
      <c r="I518" s="53">
        <f t="shared" si="88"/>
        <v>0.03</v>
      </c>
      <c r="J518" s="963"/>
      <c r="K518" s="53">
        <f t="shared" si="89"/>
        <v>0</v>
      </c>
      <c r="L518" s="963"/>
      <c r="M518" s="53">
        <f t="shared" si="90"/>
        <v>2</v>
      </c>
      <c r="N518" s="963"/>
      <c r="O518" s="53">
        <f t="shared" si="91"/>
        <v>0.05</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0.03</v>
      </c>
      <c r="H519" s="963"/>
      <c r="I519" s="53">
        <f t="shared" si="88"/>
        <v>0.03</v>
      </c>
      <c r="J519" s="963"/>
      <c r="K519" s="53">
        <f t="shared" si="89"/>
        <v>0</v>
      </c>
      <c r="L519" s="963"/>
      <c r="M519" s="53">
        <f t="shared" si="90"/>
        <v>2</v>
      </c>
      <c r="N519" s="963"/>
      <c r="O519" s="53">
        <f t="shared" si="91"/>
        <v>0.05</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0.03</v>
      </c>
      <c r="H520" s="963"/>
      <c r="I520" s="53">
        <f t="shared" si="88"/>
        <v>0.03</v>
      </c>
      <c r="J520" s="963"/>
      <c r="K520" s="53">
        <f t="shared" si="89"/>
        <v>0</v>
      </c>
      <c r="L520" s="963"/>
      <c r="M520" s="53">
        <f t="shared" si="90"/>
        <v>2</v>
      </c>
      <c r="N520" s="963"/>
      <c r="O520" s="53">
        <f t="shared" si="91"/>
        <v>0.05</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0.03</v>
      </c>
      <c r="H521" s="963"/>
      <c r="I521" s="53">
        <f t="shared" si="88"/>
        <v>0.03</v>
      </c>
      <c r="J521" s="963"/>
      <c r="K521" s="53">
        <f t="shared" si="89"/>
        <v>0</v>
      </c>
      <c r="L521" s="963"/>
      <c r="M521" s="53">
        <f t="shared" si="90"/>
        <v>2</v>
      </c>
      <c r="N521" s="963"/>
      <c r="O521" s="53">
        <f t="shared" si="91"/>
        <v>0.05</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0.03</v>
      </c>
      <c r="H522" s="963"/>
      <c r="I522" s="53">
        <f t="shared" si="88"/>
        <v>0.03</v>
      </c>
      <c r="J522" s="963"/>
      <c r="K522" s="53">
        <f t="shared" si="89"/>
        <v>0</v>
      </c>
      <c r="L522" s="963"/>
      <c r="M522" s="53">
        <f t="shared" si="90"/>
        <v>2</v>
      </c>
      <c r="N522" s="963"/>
      <c r="O522" s="53">
        <f t="shared" si="91"/>
        <v>0.05</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0.03</v>
      </c>
      <c r="H523" s="963"/>
      <c r="I523" s="53">
        <f t="shared" si="88"/>
        <v>0.03</v>
      </c>
      <c r="J523" s="963"/>
      <c r="K523" s="53">
        <f t="shared" si="89"/>
        <v>0</v>
      </c>
      <c r="L523" s="963"/>
      <c r="M523" s="53">
        <f t="shared" si="90"/>
        <v>2</v>
      </c>
      <c r="N523" s="963"/>
      <c r="O523" s="53">
        <f t="shared" si="91"/>
        <v>0.05</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0.03</v>
      </c>
      <c r="H524" s="963"/>
      <c r="I524" s="53">
        <f t="shared" si="88"/>
        <v>0.03</v>
      </c>
      <c r="J524" s="963"/>
      <c r="K524" s="53">
        <f t="shared" si="89"/>
        <v>0</v>
      </c>
      <c r="L524" s="963"/>
      <c r="M524" s="53">
        <f t="shared" si="90"/>
        <v>2</v>
      </c>
      <c r="N524" s="963"/>
      <c r="O524" s="53">
        <f t="shared" si="91"/>
        <v>0.05</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93.75">
      <c r="A7" s="2872" t="s">
        <v>2750</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4"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43417</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1.5</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D36" sqref="D36"/>
    </sheetView>
  </sheetViews>
  <sheetFormatPr defaultRowHeight="13.5"/>
  <cols>
    <col min="1" max="1" width="18" customWidth="1"/>
    <col min="6" max="6" width="25.625" customWidth="1"/>
  </cols>
  <sheetData>
    <row r="1" spans="1:13">
      <c r="A1" s="3176" t="s">
        <v>2998</v>
      </c>
      <c r="B1" s="3176" t="s">
        <v>2999</v>
      </c>
      <c r="C1" s="3176" t="s">
        <v>3000</v>
      </c>
      <c r="D1" s="3176" t="s">
        <v>3001</v>
      </c>
      <c r="E1" s="3176" t="s">
        <v>3002</v>
      </c>
      <c r="F1" s="3176" t="s">
        <v>2034</v>
      </c>
      <c r="G1" s="3176" t="s">
        <v>3003</v>
      </c>
      <c r="H1" s="3176" t="s">
        <v>3004</v>
      </c>
      <c r="I1" s="3176" t="s">
        <v>3005</v>
      </c>
      <c r="J1" s="3176" t="s">
        <v>3006</v>
      </c>
      <c r="K1" s="3176" t="s">
        <v>3007</v>
      </c>
      <c r="L1" s="3176" t="s">
        <v>3008</v>
      </c>
      <c r="M1" s="3176" t="s">
        <v>3009</v>
      </c>
    </row>
    <row r="2" spans="1:13">
      <c r="A2" s="3176" t="s">
        <v>3010</v>
      </c>
      <c r="B2" s="3176" t="s">
        <v>3011</v>
      </c>
      <c r="C2" s="3176" t="s">
        <v>3012</v>
      </c>
      <c r="D2" s="3176">
        <v>4073</v>
      </c>
      <c r="E2" s="3176">
        <v>7331.4</v>
      </c>
      <c r="F2" s="3176" t="s">
        <v>3013</v>
      </c>
      <c r="G2" s="3176" t="s">
        <v>3014</v>
      </c>
      <c r="H2" s="3176" t="s">
        <v>3015</v>
      </c>
      <c r="I2" s="3176" t="s">
        <v>2820</v>
      </c>
      <c r="J2" s="3176">
        <v>319</v>
      </c>
      <c r="K2" s="3176">
        <v>435.11</v>
      </c>
      <c r="L2" s="3176" t="s">
        <v>2820</v>
      </c>
      <c r="M2" s="3176" t="s">
        <v>3016</v>
      </c>
    </row>
    <row r="3" spans="1:13">
      <c r="A3" s="3176" t="s">
        <v>3017</v>
      </c>
      <c r="B3" s="3176" t="s">
        <v>3011</v>
      </c>
      <c r="C3" s="3176" t="s">
        <v>3012</v>
      </c>
      <c r="D3" s="3176">
        <v>4386</v>
      </c>
      <c r="E3" s="3176">
        <v>10965</v>
      </c>
      <c r="F3" s="3176" t="s">
        <v>3018</v>
      </c>
      <c r="G3" s="3176" t="s">
        <v>3014</v>
      </c>
      <c r="H3" s="3176" t="s">
        <v>3019</v>
      </c>
      <c r="I3" s="3176" t="s">
        <v>2820</v>
      </c>
      <c r="J3" s="3176">
        <v>540</v>
      </c>
      <c r="K3" s="3176">
        <v>492.48</v>
      </c>
      <c r="L3" s="3176" t="s">
        <v>2820</v>
      </c>
      <c r="M3" s="3176" t="s">
        <v>3020</v>
      </c>
    </row>
    <row r="4" spans="1:13">
      <c r="A4" s="3176" t="s">
        <v>3021</v>
      </c>
      <c r="B4" s="3176" t="s">
        <v>3011</v>
      </c>
      <c r="C4" s="3176" t="s">
        <v>3012</v>
      </c>
      <c r="D4" s="3176">
        <v>9983</v>
      </c>
      <c r="E4" s="3176">
        <v>9983</v>
      </c>
      <c r="F4" s="3176" t="s">
        <v>3022</v>
      </c>
      <c r="G4" s="3176" t="s">
        <v>3014</v>
      </c>
      <c r="H4" s="3176" t="s">
        <v>3023</v>
      </c>
      <c r="I4" s="3176" t="s">
        <v>2820</v>
      </c>
      <c r="J4" s="3176">
        <v>1929</v>
      </c>
      <c r="K4" s="3176">
        <v>1932.27</v>
      </c>
      <c r="L4" s="3176" t="s">
        <v>2820</v>
      </c>
      <c r="M4" s="3176" t="s">
        <v>3024</v>
      </c>
    </row>
    <row r="5" spans="1:13">
      <c r="A5" s="3176" t="s">
        <v>3025</v>
      </c>
      <c r="B5" s="3176" t="s">
        <v>3011</v>
      </c>
      <c r="C5" s="3176" t="s">
        <v>3012</v>
      </c>
      <c r="D5" s="3176">
        <v>667</v>
      </c>
      <c r="E5" s="3176">
        <v>667</v>
      </c>
      <c r="F5" s="3176" t="s">
        <v>3022</v>
      </c>
      <c r="G5" s="3176" t="s">
        <v>3014</v>
      </c>
      <c r="H5" s="3176" t="s">
        <v>3026</v>
      </c>
      <c r="I5" s="3176" t="s">
        <v>2820</v>
      </c>
      <c r="J5" s="3176">
        <v>35</v>
      </c>
      <c r="K5" s="3176">
        <v>524.74</v>
      </c>
      <c r="L5" s="3176" t="s">
        <v>2820</v>
      </c>
      <c r="M5" s="3176" t="s">
        <v>3027</v>
      </c>
    </row>
    <row r="6" spans="1:13" s="3181" customFormat="1">
      <c r="A6" s="3180" t="s">
        <v>3028</v>
      </c>
      <c r="B6" s="3180" t="s">
        <v>3011</v>
      </c>
      <c r="C6" s="3180" t="s">
        <v>3012</v>
      </c>
      <c r="D6" s="3180">
        <v>13936</v>
      </c>
      <c r="E6" s="3180">
        <v>34840</v>
      </c>
      <c r="F6" s="3180" t="s">
        <v>3018</v>
      </c>
      <c r="G6" s="3180" t="s">
        <v>3014</v>
      </c>
      <c r="H6" s="3180" t="s">
        <v>3029</v>
      </c>
      <c r="I6" s="3180" t="s">
        <v>2820</v>
      </c>
      <c r="J6" s="3180">
        <v>6595</v>
      </c>
      <c r="K6" s="3180">
        <v>1892.94</v>
      </c>
      <c r="L6" s="3180" t="s">
        <v>2820</v>
      </c>
      <c r="M6" s="3180" t="s">
        <v>3030</v>
      </c>
    </row>
    <row r="7" spans="1:13">
      <c r="A7" s="3176" t="s">
        <v>3031</v>
      </c>
      <c r="B7" s="3176" t="s">
        <v>3011</v>
      </c>
      <c r="C7" s="3176" t="s">
        <v>3012</v>
      </c>
      <c r="D7" s="3176">
        <v>18904</v>
      </c>
      <c r="E7" s="3176">
        <v>20794.400000000001</v>
      </c>
      <c r="F7" s="3176" t="s">
        <v>3032</v>
      </c>
      <c r="G7" s="3176" t="s">
        <v>3014</v>
      </c>
      <c r="H7" s="3176" t="s">
        <v>3033</v>
      </c>
      <c r="I7" s="3176" t="s">
        <v>2820</v>
      </c>
      <c r="J7" s="3176">
        <v>2844</v>
      </c>
      <c r="K7" s="3176">
        <v>1367.68</v>
      </c>
      <c r="L7" s="3176" t="s">
        <v>2820</v>
      </c>
      <c r="M7" s="3176" t="s">
        <v>3034</v>
      </c>
    </row>
    <row r="8" spans="1:13" s="3178" customFormat="1">
      <c r="A8" s="3177" t="s">
        <v>3035</v>
      </c>
      <c r="B8" s="3177" t="s">
        <v>3011</v>
      </c>
      <c r="C8" s="3177" t="s">
        <v>3012</v>
      </c>
      <c r="D8" s="3177">
        <v>16178</v>
      </c>
      <c r="E8" s="3177">
        <v>16178</v>
      </c>
      <c r="F8" s="3177" t="s">
        <v>3022</v>
      </c>
      <c r="G8" s="3177" t="s">
        <v>3014</v>
      </c>
      <c r="H8" s="3177" t="s">
        <v>3036</v>
      </c>
      <c r="I8" s="3177" t="s">
        <v>2820</v>
      </c>
      <c r="J8" s="3177">
        <v>1584</v>
      </c>
      <c r="K8" s="3177">
        <v>979.11</v>
      </c>
      <c r="L8" s="3177" t="s">
        <v>2820</v>
      </c>
      <c r="M8" s="3177" t="s">
        <v>3037</v>
      </c>
    </row>
    <row r="9" spans="1:13" s="3178" customFormat="1">
      <c r="A9" s="3177" t="s">
        <v>3038</v>
      </c>
      <c r="B9" s="3177" t="s">
        <v>3011</v>
      </c>
      <c r="C9" s="3177" t="s">
        <v>3012</v>
      </c>
      <c r="D9" s="3177">
        <v>29174</v>
      </c>
      <c r="E9" s="3177">
        <v>102109</v>
      </c>
      <c r="F9" s="3177" t="s">
        <v>3039</v>
      </c>
      <c r="G9" s="3177" t="s">
        <v>3014</v>
      </c>
      <c r="H9" s="3177" t="s">
        <v>3040</v>
      </c>
      <c r="I9" s="3177" t="s">
        <v>2820</v>
      </c>
      <c r="J9" s="3177">
        <v>10426</v>
      </c>
      <c r="K9" s="3177">
        <v>1021.07</v>
      </c>
      <c r="L9" s="3177" t="s">
        <v>2820</v>
      </c>
      <c r="M9" s="3177" t="s">
        <v>3041</v>
      </c>
    </row>
    <row r="10" spans="1:13">
      <c r="A10" s="3176" t="s">
        <v>3042</v>
      </c>
      <c r="B10" s="3176" t="s">
        <v>3011</v>
      </c>
      <c r="C10" s="3176" t="s">
        <v>3012</v>
      </c>
      <c r="D10" s="3176">
        <v>1620</v>
      </c>
      <c r="E10" s="3176">
        <v>1620</v>
      </c>
      <c r="F10" s="3176" t="s">
        <v>3022</v>
      </c>
      <c r="G10" s="3176" t="s">
        <v>3014</v>
      </c>
      <c r="H10" s="3176" t="s">
        <v>3043</v>
      </c>
      <c r="I10" s="3176" t="s">
        <v>2820</v>
      </c>
      <c r="J10" s="3176">
        <v>83</v>
      </c>
      <c r="K10" s="3176">
        <v>512.35</v>
      </c>
      <c r="L10" s="3176" t="s">
        <v>2820</v>
      </c>
      <c r="M10" s="3176" t="s">
        <v>3044</v>
      </c>
    </row>
    <row r="11" spans="1:13">
      <c r="A11" s="3176" t="s">
        <v>3045</v>
      </c>
      <c r="B11" s="3176" t="s">
        <v>3011</v>
      </c>
      <c r="C11" s="3176" t="s">
        <v>3012</v>
      </c>
      <c r="D11" s="3176">
        <v>10656</v>
      </c>
      <c r="E11" s="3176">
        <v>26640</v>
      </c>
      <c r="F11" s="3176" t="s">
        <v>3018</v>
      </c>
      <c r="G11" s="3176" t="s">
        <v>3014</v>
      </c>
      <c r="H11" s="3176" t="s">
        <v>3046</v>
      </c>
      <c r="I11" s="3176" t="s">
        <v>2820</v>
      </c>
      <c r="J11" s="3176">
        <v>1044</v>
      </c>
      <c r="K11" s="3176">
        <v>391.88</v>
      </c>
      <c r="L11" s="3176" t="s">
        <v>2820</v>
      </c>
      <c r="M11" s="3176" t="s">
        <v>3047</v>
      </c>
    </row>
    <row r="12" spans="1:13">
      <c r="A12" s="3176" t="s">
        <v>3048</v>
      </c>
      <c r="B12" s="3176" t="s">
        <v>3011</v>
      </c>
      <c r="C12" s="3176" t="s">
        <v>3012</v>
      </c>
      <c r="D12" s="3176">
        <v>4398</v>
      </c>
      <c r="E12" s="3176">
        <v>4398</v>
      </c>
      <c r="F12" s="3176" t="s">
        <v>3022</v>
      </c>
      <c r="G12" s="3176" t="s">
        <v>3014</v>
      </c>
      <c r="H12" s="3176" t="s">
        <v>3046</v>
      </c>
      <c r="I12" s="3176" t="s">
        <v>2820</v>
      </c>
      <c r="J12" s="3176">
        <v>211</v>
      </c>
      <c r="K12" s="3176">
        <v>479.75</v>
      </c>
      <c r="L12" s="3176" t="s">
        <v>2820</v>
      </c>
      <c r="M12" s="3176" t="s">
        <v>3049</v>
      </c>
    </row>
    <row r="13" spans="1:13" s="3178" customFormat="1">
      <c r="A13" s="3177" t="s">
        <v>3050</v>
      </c>
      <c r="B13" s="3177" t="s">
        <v>3011</v>
      </c>
      <c r="C13" s="3177" t="s">
        <v>3012</v>
      </c>
      <c r="D13" s="3177">
        <v>4022</v>
      </c>
      <c r="E13" s="3177">
        <v>8044</v>
      </c>
      <c r="F13" s="3177" t="s">
        <v>3051</v>
      </c>
      <c r="G13" s="3177" t="s">
        <v>3014</v>
      </c>
      <c r="H13" s="3177" t="s">
        <v>3052</v>
      </c>
      <c r="I13" s="3177" t="s">
        <v>2820</v>
      </c>
      <c r="J13" s="3177">
        <v>950</v>
      </c>
      <c r="K13" s="3177">
        <v>1181</v>
      </c>
      <c r="L13" s="3177" t="s">
        <v>2820</v>
      </c>
      <c r="M13" s="3177" t="s">
        <v>3030</v>
      </c>
    </row>
    <row r="14" spans="1:13">
      <c r="A14" s="3176" t="s">
        <v>3053</v>
      </c>
      <c r="B14" s="3176" t="s">
        <v>3011</v>
      </c>
      <c r="C14" s="3176" t="s">
        <v>3012</v>
      </c>
      <c r="D14" s="3176">
        <v>2861</v>
      </c>
      <c r="E14" s="3176">
        <v>5722</v>
      </c>
      <c r="F14" s="3176" t="s">
        <v>3054</v>
      </c>
      <c r="G14" s="3176" t="s">
        <v>3014</v>
      </c>
      <c r="H14" s="3176" t="s">
        <v>3055</v>
      </c>
      <c r="I14" s="3176" t="s">
        <v>2820</v>
      </c>
      <c r="J14" s="3176">
        <v>102</v>
      </c>
      <c r="K14" s="3176">
        <v>178.25</v>
      </c>
      <c r="L14" s="3176" t="s">
        <v>2820</v>
      </c>
      <c r="M14" s="3176" t="s">
        <v>3056</v>
      </c>
    </row>
    <row r="15" spans="1:13">
      <c r="A15" s="3176" t="s">
        <v>3057</v>
      </c>
      <c r="B15" s="3176" t="s">
        <v>3011</v>
      </c>
      <c r="C15" s="3176" t="s">
        <v>3012</v>
      </c>
      <c r="D15" s="3176">
        <v>3144</v>
      </c>
      <c r="E15" s="3176">
        <v>3144</v>
      </c>
      <c r="F15" s="3176" t="s">
        <v>3022</v>
      </c>
      <c r="G15" s="3176" t="s">
        <v>3014</v>
      </c>
      <c r="H15" s="3176" t="s">
        <v>3055</v>
      </c>
      <c r="I15" s="3176" t="s">
        <v>2820</v>
      </c>
      <c r="J15" s="3176">
        <v>338</v>
      </c>
      <c r="K15" s="3176">
        <v>1075.05</v>
      </c>
      <c r="L15" s="3176" t="s">
        <v>2820</v>
      </c>
      <c r="M15" s="3176" t="s">
        <v>3058</v>
      </c>
    </row>
    <row r="16" spans="1:13">
      <c r="A16" s="3176" t="s">
        <v>3059</v>
      </c>
      <c r="B16" s="3176" t="s">
        <v>3011</v>
      </c>
      <c r="C16" s="3176" t="s">
        <v>3012</v>
      </c>
      <c r="D16" s="3176">
        <v>3150</v>
      </c>
      <c r="E16" s="3176">
        <v>6300</v>
      </c>
      <c r="F16" s="3176" t="s">
        <v>3054</v>
      </c>
      <c r="G16" s="3176" t="s">
        <v>3014</v>
      </c>
      <c r="H16" s="3176" t="s">
        <v>3060</v>
      </c>
      <c r="I16" s="3176" t="s">
        <v>2820</v>
      </c>
      <c r="J16" s="3176">
        <v>145</v>
      </c>
      <c r="K16" s="3176">
        <v>230.15</v>
      </c>
      <c r="L16" s="3176" t="s">
        <v>2820</v>
      </c>
      <c r="M16" s="3176" t="s">
        <v>3061</v>
      </c>
    </row>
    <row r="22" spans="1:6">
      <c r="F22" s="3182" t="s">
        <v>3075</v>
      </c>
    </row>
    <row r="23" spans="1:6">
      <c r="A23" s="3182" t="s">
        <v>3068</v>
      </c>
      <c r="D23">
        <v>1958</v>
      </c>
      <c r="E23">
        <v>3</v>
      </c>
      <c r="F23">
        <v>2514</v>
      </c>
    </row>
    <row r="24" spans="1:6">
      <c r="A24" s="3182" t="s">
        <v>3069</v>
      </c>
      <c r="D24">
        <v>95201</v>
      </c>
      <c r="F24">
        <v>2518</v>
      </c>
    </row>
    <row r="25" spans="1:6">
      <c r="A25" s="3182" t="s">
        <v>3070</v>
      </c>
      <c r="D25">
        <v>6066</v>
      </c>
      <c r="F25">
        <v>2519</v>
      </c>
    </row>
    <row r="26" spans="1:6">
      <c r="A26" s="3182" t="s">
        <v>3071</v>
      </c>
      <c r="D26">
        <v>2673</v>
      </c>
      <c r="F26">
        <v>2520</v>
      </c>
    </row>
    <row r="27" spans="1:6">
      <c r="A27" s="3182" t="s">
        <v>3072</v>
      </c>
      <c r="D27">
        <v>137248</v>
      </c>
      <c r="F27">
        <v>2521</v>
      </c>
    </row>
    <row r="28" spans="1:6">
      <c r="A28" s="3182" t="s">
        <v>3073</v>
      </c>
      <c r="D28">
        <v>7264</v>
      </c>
      <c r="F28">
        <v>2523</v>
      </c>
    </row>
    <row r="29" spans="1:6">
      <c r="A29" s="3182" t="s">
        <v>3074</v>
      </c>
      <c r="D29">
        <v>12571</v>
      </c>
      <c r="F29">
        <v>2524</v>
      </c>
    </row>
    <row r="31" spans="1:6">
      <c r="C31" s="3182" t="s">
        <v>3076</v>
      </c>
      <c r="D31">
        <f>ROUND(D23*$E$23,2)</f>
        <v>5874</v>
      </c>
    </row>
    <row r="32" spans="1:6">
      <c r="D32">
        <f t="shared" ref="D32:D37" si="0">ROUND(D24*$E$23,2)</f>
        <v>285603</v>
      </c>
    </row>
    <row r="33" spans="4:4">
      <c r="D33">
        <f t="shared" si="0"/>
        <v>18198</v>
      </c>
    </row>
    <row r="34" spans="4:4">
      <c r="D34">
        <f t="shared" si="0"/>
        <v>8019</v>
      </c>
    </row>
    <row r="35" spans="4:4">
      <c r="D35">
        <f t="shared" si="0"/>
        <v>411744</v>
      </c>
    </row>
    <row r="36" spans="4:4">
      <c r="D36">
        <f>ROUND(D28*$E$23,2)</f>
        <v>21792</v>
      </c>
    </row>
    <row r="37" spans="4:4">
      <c r="D37">
        <f t="shared" si="0"/>
        <v>37713</v>
      </c>
    </row>
    <row r="38" spans="4:4">
      <c r="D38">
        <f>SUM(D31:D37)</f>
        <v>788943</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C2" sqref="C2"/>
    </sheetView>
  </sheetViews>
  <sheetFormatPr defaultRowHeight="13.5"/>
  <cols>
    <col min="1" max="1" width="20" customWidth="1"/>
    <col min="2" max="2" width="14" customWidth="1"/>
  </cols>
  <sheetData>
    <row r="1" spans="1:3">
      <c r="A1" s="3182" t="s">
        <v>3125</v>
      </c>
      <c r="B1" s="3190">
        <v>54035</v>
      </c>
    </row>
    <row r="2" spans="1:3">
      <c r="A2" s="3182" t="s">
        <v>3126</v>
      </c>
      <c r="B2">
        <v>0.88400000000000001</v>
      </c>
      <c r="C2">
        <f>B2*C3/B3</f>
        <v>92.083333333333343</v>
      </c>
    </row>
    <row r="3" spans="1:3">
      <c r="A3" s="3182" t="s">
        <v>3130</v>
      </c>
      <c r="B3">
        <v>0.96</v>
      </c>
      <c r="C3">
        <v>100</v>
      </c>
    </row>
    <row r="4" spans="1:3">
      <c r="A4" s="3182" t="s">
        <v>3131</v>
      </c>
      <c r="B4">
        <f>B3/B2-1</f>
        <v>8.5972850678732948E-2</v>
      </c>
    </row>
    <row r="5" spans="1:3">
      <c r="A5" s="3182"/>
    </row>
    <row r="6" spans="1:3">
      <c r="A6" s="3182"/>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2040</v>
      </c>
      <c r="B1" s="3197"/>
      <c r="C1" s="3197"/>
      <c r="D1" s="3197"/>
      <c r="E1" s="3197"/>
      <c r="F1" s="3197"/>
      <c r="G1" s="3197"/>
      <c r="H1" s="3197"/>
      <c r="I1" s="3197"/>
      <c r="J1" s="3197"/>
      <c r="K1" s="3197"/>
      <c r="L1" s="3197"/>
      <c r="M1" s="3197"/>
      <c r="N1" s="3197"/>
      <c r="O1" s="3197"/>
      <c r="P1" s="3197"/>
      <c r="Q1" s="3197"/>
      <c r="R1" s="3197"/>
    </row>
    <row r="2" spans="1:18">
      <c r="A2" s="1809" t="s">
        <v>2042</v>
      </c>
      <c r="B2" s="1809"/>
      <c r="C2" s="1809"/>
      <c r="D2" s="1809"/>
      <c r="E2" s="1809"/>
      <c r="F2" s="1809"/>
      <c r="G2" s="1809"/>
      <c r="H2" s="1809"/>
      <c r="I2" s="1810"/>
      <c r="J2" s="1810"/>
      <c r="K2" s="1811" t="str">
        <f>"估价期日："&amp;TEXT(项目基本情况!D3,"yyyy年m月d日;;")</f>
        <v>估价期日：2018年11月13日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8" t="s">
        <v>2031</v>
      </c>
      <c r="B3" s="3198" t="s">
        <v>2733</v>
      </c>
      <c r="C3" s="3199" t="s">
        <v>2032</v>
      </c>
      <c r="D3" s="3198" t="s">
        <v>2737</v>
      </c>
      <c r="E3" s="3201" t="s">
        <v>2033</v>
      </c>
      <c r="F3" s="3201"/>
      <c r="G3" s="3201"/>
      <c r="H3" s="3201" t="s">
        <v>2034</v>
      </c>
      <c r="I3" s="3201"/>
      <c r="J3" s="3201"/>
      <c r="K3" s="3199" t="s">
        <v>2035</v>
      </c>
      <c r="L3" s="3199" t="s">
        <v>2036</v>
      </c>
      <c r="M3" s="3198" t="s">
        <v>2734</v>
      </c>
      <c r="N3" s="3200" t="str">
        <f>"（分摊）"&amp;项目基本情况!B16&amp;"国有建设用地使用权面积/㎡"</f>
        <v>（分摊）出让国有建设用地使用权面积/㎡</v>
      </c>
      <c r="O3" s="3198" t="s">
        <v>2065</v>
      </c>
      <c r="P3" s="3199" t="s">
        <v>2045</v>
      </c>
      <c r="Q3" s="3199" t="s">
        <v>2066</v>
      </c>
      <c r="R3" s="3199" t="s">
        <v>2037</v>
      </c>
    </row>
    <row r="4" spans="1:18" ht="36.75" customHeight="1">
      <c r="A4" s="3198"/>
      <c r="B4" s="3198"/>
      <c r="C4" s="3199"/>
      <c r="D4" s="3198"/>
      <c r="E4" s="2648" t="s">
        <v>2044</v>
      </c>
      <c r="F4" s="2648" t="s">
        <v>2746</v>
      </c>
      <c r="G4" s="2648" t="s">
        <v>2038</v>
      </c>
      <c r="H4" s="2648" t="s">
        <v>2039</v>
      </c>
      <c r="I4" s="2648" t="s">
        <v>2747</v>
      </c>
      <c r="J4" s="2648" t="s">
        <v>2038</v>
      </c>
      <c r="K4" s="3199"/>
      <c r="L4" s="3199"/>
      <c r="M4" s="3198"/>
      <c r="N4" s="3200"/>
      <c r="O4" s="3198"/>
      <c r="P4" s="3199"/>
      <c r="Q4" s="3199"/>
      <c r="R4" s="3199"/>
    </row>
    <row r="5" spans="1:18" ht="135" customHeight="1">
      <c r="A5" s="1945" t="s">
        <v>2657</v>
      </c>
      <c r="B5" s="2866" t="s">
        <v>2655</v>
      </c>
      <c r="C5" s="2647">
        <v>22</v>
      </c>
      <c r="D5" s="2646" t="s">
        <v>2656</v>
      </c>
      <c r="E5" s="1812" t="str">
        <f>项目基本情况!B12</f>
        <v>其它商服用地</v>
      </c>
      <c r="F5" s="2646">
        <v>258</v>
      </c>
      <c r="G5" s="1812" t="str">
        <f>项目基本情况!B13</f>
        <v>商业</v>
      </c>
      <c r="H5" s="2646">
        <v>1.5</v>
      </c>
      <c r="I5" s="2646">
        <v>1.5</v>
      </c>
      <c r="J5" s="2646">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6066</v>
      </c>
      <c r="O5" s="1812">
        <f>项目基本情况!C21</f>
        <v>18198</v>
      </c>
      <c r="P5" s="1812">
        <f ca="1">结果表!E42</f>
        <v>2550</v>
      </c>
      <c r="Q5" s="1812">
        <f ca="1">结果表!D42</f>
        <v>850</v>
      </c>
      <c r="R5" s="1813">
        <f ca="1">结果表!C42</f>
        <v>1547</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4">
        <f ca="1">结果表!O39</f>
        <v>1547</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4"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2" t="s">
        <v>2067</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2068</v>
      </c>
      <c r="B5" s="3205"/>
      <c r="C5" s="3205"/>
      <c r="D5" s="3205"/>
    </row>
    <row r="6" spans="1:4">
      <c r="A6" s="3202" t="s">
        <v>2046</v>
      </c>
      <c r="B6" s="3202"/>
      <c r="C6" s="3202"/>
      <c r="D6" s="3202"/>
    </row>
    <row r="7" spans="1:4" ht="33" customHeight="1">
      <c r="A7" s="3202" t="s">
        <v>2577</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v>
      </c>
      <c r="B11" s="3204"/>
      <c r="C11" s="3204"/>
      <c r="D11" s="3204"/>
    </row>
    <row r="12" spans="1:4" ht="168" customHeight="1">
      <c r="A12" s="3205" t="s">
        <v>2070</v>
      </c>
      <c r="B12" s="3205"/>
      <c r="C12" s="3205"/>
      <c r="D12" s="3205"/>
    </row>
    <row r="13" spans="1:4">
      <c r="A13" s="3203" t="s">
        <v>2748</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2704</v>
      </c>
      <c r="B17" s="3202"/>
      <c r="C17" s="3202"/>
      <c r="D17" s="3202"/>
    </row>
    <row r="18" spans="1:4">
      <c r="A18" s="3202" t="s">
        <v>2696</v>
      </c>
      <c r="B18" s="3202"/>
      <c r="C18" s="3202"/>
      <c r="D18" s="3202"/>
    </row>
    <row r="19" spans="1:4">
      <c r="A19" s="2867" t="s">
        <v>2697</v>
      </c>
      <c r="B19" s="2867" t="s">
        <v>2698</v>
      </c>
      <c r="C19" s="2867" t="s">
        <v>2699</v>
      </c>
      <c r="D19" s="2867" t="s">
        <v>2700</v>
      </c>
    </row>
    <row r="20" spans="1:4">
      <c r="A20" s="2867" t="str">
        <f>项目基本情况!B4</f>
        <v>土地估价师</v>
      </c>
      <c r="B20" s="2867">
        <f>项目基本情况!C4</f>
        <v>0</v>
      </c>
      <c r="C20" s="2869"/>
      <c r="D20" s="1802" t="s">
        <v>2705</v>
      </c>
    </row>
    <row r="21" spans="1:4">
      <c r="A21" s="2867" t="str">
        <f>项目基本情况!D4</f>
        <v>土地估价师</v>
      </c>
      <c r="B21" s="2867">
        <f>项目基本情况!E4</f>
        <v>0</v>
      </c>
      <c r="C21" s="2869"/>
      <c r="D21" s="1802" t="s">
        <v>2706</v>
      </c>
    </row>
    <row r="23" spans="1:4">
      <c r="A23" s="3202" t="s">
        <v>2701</v>
      </c>
      <c r="B23" s="3202"/>
      <c r="C23" s="3202"/>
      <c r="D23" s="3202"/>
    </row>
    <row r="24" spans="1:4">
      <c r="A24" s="2867" t="s">
        <v>2697</v>
      </c>
      <c r="B24" s="2867" t="s">
        <v>2702</v>
      </c>
      <c r="C24" s="2867" t="s">
        <v>2699</v>
      </c>
      <c r="D24" s="2867" t="s">
        <v>2700</v>
      </c>
    </row>
    <row r="25" spans="1:4">
      <c r="A25" s="2870" t="s">
        <v>2703</v>
      </c>
      <c r="B25" s="2867" t="s">
        <v>951</v>
      </c>
      <c r="C25" s="2869"/>
      <c r="D25" s="1802" t="s">
        <v>2706</v>
      </c>
    </row>
    <row r="29" spans="1:4">
      <c r="D29" s="2868" t="s">
        <v>2041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4" t="s">
        <v>53</v>
      </c>
      <c r="B15" s="3215" t="s">
        <v>845</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836</v>
      </c>
    </row>
    <row r="25" spans="1:3" ht="14.25">
      <c r="A25" s="3213"/>
      <c r="B25" s="3217"/>
      <c r="C25" s="1176" t="s">
        <v>837</v>
      </c>
    </row>
    <row r="26" spans="1:3" ht="14.25">
      <c r="A26" s="3213"/>
      <c r="B26" s="3217"/>
      <c r="C26" s="1176" t="s">
        <v>838</v>
      </c>
    </row>
    <row r="27" spans="1:3" ht="14.25">
      <c r="A27" s="3213"/>
      <c r="B27" s="3217"/>
      <c r="C27" s="1176" t="s">
        <v>839</v>
      </c>
    </row>
    <row r="28" spans="1:3" ht="14.25">
      <c r="A28" s="3213"/>
      <c r="B28" s="3217"/>
      <c r="C28" s="1176" t="s">
        <v>840</v>
      </c>
    </row>
    <row r="29" spans="1:3" ht="14.25">
      <c r="A29" s="3213"/>
      <c r="B29" s="3217"/>
      <c r="C29" s="1176" t="s">
        <v>841</v>
      </c>
    </row>
    <row r="30" spans="1:3" ht="14.25">
      <c r="A30" s="3213"/>
      <c r="B30" s="3217"/>
      <c r="C30" s="1176" t="s">
        <v>842</v>
      </c>
    </row>
    <row r="31" spans="1:3" ht="14.25">
      <c r="A31" s="3213"/>
      <c r="B31" s="3217"/>
      <c r="C31" s="1176" t="s">
        <v>843</v>
      </c>
    </row>
    <row r="32" spans="1:3" ht="14.25">
      <c r="A32" s="3213"/>
      <c r="B32" s="3217"/>
      <c r="C32" s="1176" t="s">
        <v>1646</v>
      </c>
    </row>
    <row r="33" spans="1:3" ht="14.25">
      <c r="A33" s="3213"/>
      <c r="B33" s="3207" t="s">
        <v>1652</v>
      </c>
      <c r="C33" s="1176" t="s">
        <v>1647</v>
      </c>
    </row>
    <row r="34" spans="1:3" ht="14.25">
      <c r="A34" s="3213"/>
      <c r="B34" s="3208"/>
      <c r="C34" s="1181" t="s">
        <v>1648</v>
      </c>
    </row>
    <row r="35" spans="1:3" ht="14.25">
      <c r="A35" s="3213"/>
      <c r="B35" s="3208"/>
      <c r="C35" s="1182" t="s">
        <v>1649</v>
      </c>
    </row>
    <row r="36" spans="1:3" ht="14.25">
      <c r="A36" s="3213"/>
      <c r="B36" s="3208"/>
      <c r="C36" s="1182" t="s">
        <v>1650</v>
      </c>
    </row>
    <row r="37" spans="1:3" ht="14.25">
      <c r="A37" s="3213"/>
      <c r="B37" s="320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1907</v>
      </c>
      <c r="B2" s="1658">
        <f ca="1">TODAY()</f>
        <v>43424</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05">
        <v>43849</v>
      </c>
      <c r="D4" s="2342" t="s">
        <v>1914</v>
      </c>
      <c r="E4" s="2342">
        <f ca="1">IF(F4&lt;B2,"已过期",96010014)</f>
        <v>96010014</v>
      </c>
      <c r="F4" s="3006">
        <v>47118</v>
      </c>
    </row>
    <row r="5" spans="1:6" ht="20.25" customHeight="1">
      <c r="A5" s="2342" t="s">
        <v>1915</v>
      </c>
      <c r="B5" s="2342">
        <f ca="1">IF(C5&lt;B2,"已过期",1119970074)</f>
        <v>1119970074</v>
      </c>
      <c r="C5" s="3005">
        <v>43849</v>
      </c>
      <c r="D5" s="2342" t="s">
        <v>1915</v>
      </c>
      <c r="E5" s="2342">
        <f ca="1">IF(F5&lt;B2,"已过期",2002110027)</f>
        <v>2002110027</v>
      </c>
      <c r="F5" s="3006">
        <v>46752</v>
      </c>
    </row>
    <row r="6" spans="1:6" ht="20.25" customHeight="1">
      <c r="A6" s="2342" t="s">
        <v>1916</v>
      </c>
      <c r="B6" s="2342">
        <f ca="1">IF(C6&lt;B2,"已过期",1119970111)</f>
        <v>1119970111</v>
      </c>
      <c r="C6" s="3005">
        <v>43849</v>
      </c>
      <c r="D6" s="2342" t="s">
        <v>1916</v>
      </c>
      <c r="E6" s="2342">
        <f ca="1">IF(F6&lt;B2,"已过期",94010078)</f>
        <v>94010078</v>
      </c>
      <c r="F6" s="3006">
        <v>46387</v>
      </c>
    </row>
    <row r="7" spans="1:6" ht="20.25" customHeight="1">
      <c r="A7" s="2342" t="s">
        <v>1917</v>
      </c>
      <c r="B7" s="2342">
        <f ca="1">IF(C7&lt;B2,"已过期",1120050019)</f>
        <v>1120050019</v>
      </c>
      <c r="C7" s="3005">
        <v>44395</v>
      </c>
      <c r="D7" s="2342" t="s">
        <v>1917</v>
      </c>
      <c r="E7" s="2342">
        <f ca="1">IF(F7&lt;B2,"已过期",2002110030)</f>
        <v>2002110030</v>
      </c>
      <c r="F7" s="3006">
        <v>46387</v>
      </c>
    </row>
    <row r="8" spans="1:6" ht="20.25" customHeight="1">
      <c r="A8" s="2342" t="s">
        <v>1918</v>
      </c>
      <c r="B8" s="2342">
        <f ca="1">IF(C8&lt;B2,"已过期",1120000080)</f>
        <v>1120000080</v>
      </c>
      <c r="C8" s="3005">
        <v>43849</v>
      </c>
      <c r="D8" s="2342" t="s">
        <v>1918</v>
      </c>
      <c r="E8" s="2342">
        <f ca="1">IF(F8&lt;B2,"已过期",2000110082)</f>
        <v>2000110082</v>
      </c>
      <c r="F8" s="3006">
        <v>46387</v>
      </c>
    </row>
    <row r="9" spans="1:6" ht="20.25" customHeight="1">
      <c r="A9" s="2342" t="s">
        <v>1919</v>
      </c>
      <c r="B9" s="2342">
        <f ca="1">IF(C9&lt;B2,"已过期",1419970001)</f>
        <v>1419970001</v>
      </c>
      <c r="C9" s="3005">
        <v>43867</v>
      </c>
      <c r="D9" s="2342" t="s">
        <v>1919</v>
      </c>
      <c r="E9" s="2342">
        <f ca="1">IF(F9&lt;B2,"已过期",2002110125)</f>
        <v>2002110125</v>
      </c>
      <c r="F9" s="3006">
        <v>47118</v>
      </c>
    </row>
    <row r="10" spans="1:6" ht="20.25" customHeight="1">
      <c r="A10" s="2342" t="s">
        <v>1920</v>
      </c>
      <c r="B10" s="2342">
        <f ca="1">IF(C10&lt;B2,"已过期",1120060040)</f>
        <v>1120060040</v>
      </c>
      <c r="C10" s="3005">
        <v>43483</v>
      </c>
      <c r="D10" s="2342" t="s">
        <v>1920</v>
      </c>
      <c r="E10" s="2342">
        <f ca="1">IF(F10&lt;B2,"已过期",2004110096)</f>
        <v>2004110096</v>
      </c>
      <c r="F10" s="3006">
        <v>47118</v>
      </c>
    </row>
    <row r="11" spans="1:6" ht="20.25" customHeight="1">
      <c r="A11" s="2342" t="s">
        <v>1921</v>
      </c>
      <c r="B11" s="2342">
        <f ca="1">IF(C11&lt;B2,"已过期",1120100036)</f>
        <v>1120100036</v>
      </c>
      <c r="C11" s="3005">
        <v>43622</v>
      </c>
      <c r="D11" s="2342" t="s">
        <v>1921</v>
      </c>
      <c r="E11" s="2342">
        <f ca="1">IF(F11&lt;B2,"已过期",2010110070)</f>
        <v>2010110070</v>
      </c>
      <c r="F11" s="3006">
        <v>47907</v>
      </c>
    </row>
    <row r="12" spans="1:6" ht="20.25" customHeight="1">
      <c r="A12" s="2342" t="s">
        <v>2977</v>
      </c>
      <c r="B12" s="2342">
        <v>1120110054</v>
      </c>
      <c r="C12" s="3005">
        <v>43937</v>
      </c>
      <c r="D12" s="2342" t="s">
        <v>2977</v>
      </c>
      <c r="E12" s="2342">
        <v>2008110060</v>
      </c>
      <c r="F12" s="3006">
        <v>47177</v>
      </c>
    </row>
    <row r="13" spans="1:6" ht="20.25" customHeight="1">
      <c r="A13" s="2342" t="s">
        <v>1922</v>
      </c>
      <c r="B13" s="2342">
        <f ca="1">IF(C13&lt;B2,"已过期",1120070131)</f>
        <v>1120070131</v>
      </c>
      <c r="C13" s="3005">
        <v>43814</v>
      </c>
      <c r="D13" s="2342" t="s">
        <v>1922</v>
      </c>
      <c r="E13" s="2342">
        <v>2014110011</v>
      </c>
      <c r="F13" s="3006">
        <v>49302</v>
      </c>
    </row>
    <row r="14" spans="1:6" ht="20.25" customHeight="1">
      <c r="A14" s="2342" t="s">
        <v>1923</v>
      </c>
      <c r="B14" s="2342">
        <f ca="1">IF(C14&lt;B2,"已过期",1120130020)</f>
        <v>1120130020</v>
      </c>
      <c r="C14" s="3005">
        <v>43622</v>
      </c>
      <c r="D14" s="2342"/>
      <c r="E14" s="2342"/>
      <c r="F14" s="2342"/>
    </row>
    <row r="15" spans="1:6" ht="20.25" customHeight="1">
      <c r="A15" s="2342" t="s">
        <v>2576</v>
      </c>
      <c r="B15" s="2342">
        <v>1120070085</v>
      </c>
      <c r="C15" s="3005">
        <v>43814</v>
      </c>
      <c r="D15" s="2342" t="s">
        <v>2576</v>
      </c>
      <c r="E15" s="2342">
        <v>2004110128</v>
      </c>
      <c r="F15" s="3006">
        <v>47118</v>
      </c>
    </row>
    <row r="16" spans="1:6" ht="20.25" customHeight="1">
      <c r="A16" s="2342" t="s">
        <v>1924</v>
      </c>
      <c r="B16" s="2342">
        <f ca="1">IF(C16&lt;B2,"已过期",1120140022)</f>
        <v>1120140022</v>
      </c>
      <c r="C16" s="3005">
        <v>44029</v>
      </c>
      <c r="D16" s="2342" t="s">
        <v>1924</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1925</v>
      </c>
      <c r="E21" s="2342">
        <f ca="1">IF(F21&lt;B2,"已过期",2011110090)</f>
        <v>2011110090</v>
      </c>
      <c r="F21" s="3006">
        <v>48302</v>
      </c>
    </row>
    <row r="22" spans="1:7" ht="20.25" customHeight="1">
      <c r="A22" s="2342" t="s">
        <v>1926</v>
      </c>
      <c r="B22" s="2342">
        <f ca="1">IF(C22&lt;B2,"已过期",1120020033)</f>
        <v>1120020033</v>
      </c>
      <c r="C22" s="3005">
        <v>44339</v>
      </c>
      <c r="D22" s="2342" t="s">
        <v>1926</v>
      </c>
      <c r="E22" s="2342">
        <f ca="1">IF(F22&lt;B2,"已过期",2000110137)</f>
        <v>2000110137</v>
      </c>
      <c r="F22" s="3006">
        <v>46387</v>
      </c>
    </row>
    <row r="23" spans="1:7" ht="20.25" customHeight="1">
      <c r="A23" s="2342" t="s">
        <v>1927</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18" t="s">
        <v>1928</v>
      </c>
      <c r="B25" s="3218"/>
      <c r="C25" s="3218"/>
      <c r="D25" s="3218"/>
      <c r="E25" s="3218"/>
      <c r="F25" s="3218"/>
      <c r="G25" s="3218"/>
    </row>
    <row r="26" spans="1:7" ht="20.25" customHeight="1">
      <c r="A26" s="3219" t="s">
        <v>1929</v>
      </c>
      <c r="B26" s="3219"/>
      <c r="C26" s="3219"/>
      <c r="D26" s="3219" t="s">
        <v>1930</v>
      </c>
      <c r="E26" s="3219"/>
      <c r="F26" s="3219"/>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2943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2547</v>
      </c>
      <c r="R1" s="2581"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0"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c r="D53" s="1769"/>
      <c r="E53" s="1769"/>
    </row>
    <row r="54" spans="1:5">
      <c r="A54" s="3220"/>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0"/>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0"/>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0"/>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2018-11-20T05:07:04Z</dcterms:modified>
</cp:coreProperties>
</file>