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8" firstSheet="13"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租金" sheetId="77"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78" r:id="rId23"/>
    <sheet name="基准地价修正-办公" sheetId="43" r:id="rId24"/>
    <sheet name="基准地价（汇总）" sheetId="76" state="hidden" r:id="rId25"/>
    <sheet name="收益法（汇总）" sheetId="70" r:id="rId26"/>
    <sheet name="收益法-商业" sheetId="79" r:id="rId27"/>
    <sheet name="收益法-办公" sheetId="80" r:id="rId28"/>
    <sheet name="收益法-地下商业" sheetId="81" state="hidden" r:id="rId29"/>
    <sheet name="收益法-车库" sheetId="15" r:id="rId30"/>
    <sheet name="收益法 (元)" sheetId="67"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7">'收益法-办公'!$A$1:$AK$69</definedName>
    <definedName name="_xlnm.Print_Area" localSheetId="29">'收益法-车库'!$A$1:$AK$69</definedName>
    <definedName name="_xlnm.Print_Area" localSheetId="28">'收益法-地下商业'!$A$1:$AK$69</definedName>
    <definedName name="_xlnm.Print_Area" localSheetId="26">'收益法-商业'!$A$1:$AK$69</definedName>
    <definedName name="_xlnm.Print_Area" localSheetId="13">'数据-汇总表'!$A$1:$P$32</definedName>
    <definedName name="_xlnm.Print_Area" localSheetId="11">'数据-基础表'!$A$1:$O$15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9" i="43" l="1"/>
  <c r="O17" i="77" l="1"/>
  <c r="R19" i="77"/>
  <c r="T19" i="77"/>
  <c r="T23" i="77"/>
  <c r="T17" i="77" s="1"/>
  <c r="S23" i="77"/>
  <c r="S18" i="77" s="1"/>
  <c r="R23" i="77"/>
  <c r="R17" i="77" s="1"/>
  <c r="R20" i="77" s="1"/>
  <c r="Q23" i="77"/>
  <c r="Q17" i="77" s="1"/>
  <c r="Q20" i="77" s="1"/>
  <c r="P23" i="77"/>
  <c r="P17" i="77" s="1"/>
  <c r="P20" i="77" s="1"/>
  <c r="O23" i="77"/>
  <c r="N10" i="77"/>
  <c r="R9" i="77"/>
  <c r="O8" i="77"/>
  <c r="P8" i="77"/>
  <c r="N7" i="77"/>
  <c r="N9" i="77"/>
  <c r="N8" i="77"/>
  <c r="N18" i="77"/>
  <c r="N17" i="77"/>
  <c r="M20" i="77"/>
  <c r="M19" i="77"/>
  <c r="N5" i="77"/>
  <c r="M5" i="77"/>
  <c r="J52" i="77"/>
  <c r="J47" i="77"/>
  <c r="J40" i="77"/>
  <c r="J36" i="77"/>
  <c r="J32" i="77"/>
  <c r="J17" i="77"/>
  <c r="J5" i="77"/>
  <c r="J4" i="77"/>
  <c r="I4" i="77"/>
  <c r="M15" i="77"/>
  <c r="T20" i="77" l="1"/>
  <c r="T18" i="77"/>
  <c r="S17" i="77"/>
  <c r="S20" i="77" s="1"/>
  <c r="D29" i="43"/>
  <c r="AF7" i="1"/>
  <c r="AD7" i="1"/>
  <c r="Y7" i="1"/>
  <c r="Y8" i="1"/>
  <c r="N7" i="1"/>
  <c r="N8" i="1"/>
  <c r="G21" i="6"/>
  <c r="F20" i="6"/>
  <c r="N19" i="77"/>
  <c r="N20" i="77" s="1"/>
  <c r="G19" i="6"/>
  <c r="N13" i="77"/>
  <c r="S13" i="77" s="1"/>
  <c r="D33" i="78"/>
  <c r="AF6" i="1"/>
  <c r="AD6" i="1"/>
  <c r="M22" i="77"/>
  <c r="Z6" i="1" s="1"/>
  <c r="N23" i="77"/>
  <c r="R18" i="77"/>
  <c r="Q18" i="77"/>
  <c r="P18" i="77"/>
  <c r="O18" i="77"/>
  <c r="M9" i="77"/>
  <c r="M8" i="77"/>
  <c r="M7" i="77"/>
  <c r="M6" i="77"/>
  <c r="M12" i="77"/>
  <c r="Z7" i="1" s="1"/>
  <c r="T13" i="77" l="1"/>
  <c r="S6" i="77"/>
  <c r="S8" i="77"/>
  <c r="S5" i="77"/>
  <c r="S7" i="77"/>
  <c r="S9" i="77"/>
  <c r="T9" i="77"/>
  <c r="T7" i="77"/>
  <c r="T5" i="77"/>
  <c r="T8" i="77"/>
  <c r="T6" i="77"/>
  <c r="O19" i="77"/>
  <c r="S10" i="77" l="1"/>
  <c r="T10" i="77"/>
  <c r="O20" i="77"/>
  <c r="P19" i="77"/>
  <c r="Q19" i="77" l="1"/>
  <c r="S19" i="77" l="1"/>
  <c r="M21" i="77" l="1"/>
  <c r="U6" i="1" s="1"/>
  <c r="M10" i="77" l="1"/>
  <c r="O6" i="77"/>
  <c r="P7" i="77"/>
  <c r="O7" i="77"/>
  <c r="Q8" i="77"/>
  <c r="O9" i="77"/>
  <c r="P9" i="77"/>
  <c r="Q9" i="77"/>
  <c r="N6" i="77"/>
  <c r="R13" i="77"/>
  <c r="Q13" i="77"/>
  <c r="P13" i="77"/>
  <c r="O13" i="77"/>
  <c r="O5" i="77" s="1"/>
  <c r="O10" i="77" s="1"/>
  <c r="O27" i="77"/>
  <c r="M25" i="77"/>
  <c r="M18" i="77"/>
  <c r="M17" i="77"/>
  <c r="H50" i="77"/>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56" i="77"/>
  <c r="G55" i="77"/>
  <c r="G54" i="77"/>
  <c r="G53" i="77"/>
  <c r="G52" i="77"/>
  <c r="P5" i="77" l="1"/>
  <c r="P6" i="77"/>
  <c r="R8" i="77"/>
  <c r="R5" i="77"/>
  <c r="R6" i="77"/>
  <c r="R7" i="77"/>
  <c r="Q6" i="77"/>
  <c r="Q5" i="77"/>
  <c r="Q7" i="77"/>
  <c r="D24" i="81"/>
  <c r="P61" i="81"/>
  <c r="D22" i="81"/>
  <c r="P74" i="80"/>
  <c r="Q72" i="80"/>
  <c r="Q59" i="80"/>
  <c r="K59" i="80"/>
  <c r="P61"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Q72" i="79"/>
  <c r="F60" i="79"/>
  <c r="Q59" i="79"/>
  <c r="K59" i="79"/>
  <c r="P74" i="79" s="1"/>
  <c r="F59" i="79"/>
  <c r="Q58" i="79"/>
  <c r="Q51" i="79"/>
  <c r="J50" i="79"/>
  <c r="M47" i="79"/>
  <c r="D46" i="79"/>
  <c r="F34" i="79"/>
  <c r="F62" i="79" s="1"/>
  <c r="F33" i="79"/>
  <c r="F61" i="79" s="1"/>
  <c r="F32" i="79"/>
  <c r="F31" i="79"/>
  <c r="F28" i="79"/>
  <c r="C28" i="79" s="1"/>
  <c r="F23" i="79"/>
  <c r="F21" i="79"/>
  <c r="M20" i="79"/>
  <c r="F20" i="79"/>
  <c r="M19" i="79"/>
  <c r="M18" i="79"/>
  <c r="F18" i="79"/>
  <c r="M17" i="79"/>
  <c r="F17" i="79"/>
  <c r="F15" i="79"/>
  <c r="G60" i="43"/>
  <c r="G61" i="43"/>
  <c r="G62" i="43"/>
  <c r="G63" i="43"/>
  <c r="G64" i="43"/>
  <c r="G65" i="43"/>
  <c r="G66" i="43"/>
  <c r="G67" i="43"/>
  <c r="G59" i="43"/>
  <c r="G49" i="78"/>
  <c r="G50" i="78"/>
  <c r="G51" i="78"/>
  <c r="G52" i="78"/>
  <c r="G53" i="78"/>
  <c r="G54" i="78"/>
  <c r="G55" i="78"/>
  <c r="G56" i="78"/>
  <c r="G48" i="78"/>
  <c r="M48" i="78" s="1"/>
  <c r="N48" i="78" s="1"/>
  <c r="D29" i="78"/>
  <c r="D40" i="78"/>
  <c r="U2" i="78"/>
  <c r="Y6" i="1"/>
  <c r="N10" i="1"/>
  <c r="N11" i="1"/>
  <c r="N12" i="1"/>
  <c r="N13" i="1"/>
  <c r="N6" i="1"/>
  <c r="F19" i="6"/>
  <c r="K14" i="3"/>
  <c r="I13" i="3"/>
  <c r="F113" i="78"/>
  <c r="N99" i="78"/>
  <c r="M99" i="78"/>
  <c r="M108" i="78" s="1"/>
  <c r="L99" i="78"/>
  <c r="K99" i="78"/>
  <c r="K108" i="78" s="1"/>
  <c r="J99" i="78"/>
  <c r="I99" i="78"/>
  <c r="I108" i="78" s="1"/>
  <c r="H99" i="78"/>
  <c r="G99" i="78"/>
  <c r="G100" i="78" s="1"/>
  <c r="F99" i="78"/>
  <c r="E99" i="78"/>
  <c r="E108" i="78" s="1"/>
  <c r="D99" i="78"/>
  <c r="D108" i="78" s="1"/>
  <c r="C99" i="78"/>
  <c r="C100" i="78" s="1"/>
  <c r="N88" i="78"/>
  <c r="M88" i="78"/>
  <c r="K88" i="78"/>
  <c r="J88" i="78" s="1"/>
  <c r="D88" i="78"/>
  <c r="B88" i="78"/>
  <c r="N87" i="78"/>
  <c r="M87" i="78"/>
  <c r="K87" i="78"/>
  <c r="J87" i="78" s="1"/>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B82" i="78"/>
  <c r="N81" i="78"/>
  <c r="M81" i="78"/>
  <c r="K81" i="78"/>
  <c r="J81" i="78" s="1"/>
  <c r="F81" i="78"/>
  <c r="H88" i="78" s="1"/>
  <c r="E81" i="78"/>
  <c r="B79" i="78" s="1"/>
  <c r="D81" i="78"/>
  <c r="B81" i="78"/>
  <c r="N78" i="78"/>
  <c r="M78" i="78"/>
  <c r="K78" i="78"/>
  <c r="J78" i="78" s="1"/>
  <c r="D78" i="78"/>
  <c r="N77" i="78"/>
  <c r="M77" i="78"/>
  <c r="K77" i="78"/>
  <c r="J77" i="78" s="1"/>
  <c r="D77" i="78"/>
  <c r="B77" i="78"/>
  <c r="N76" i="78"/>
  <c r="M76" i="78"/>
  <c r="K76" i="78"/>
  <c r="J76" i="78" s="1"/>
  <c r="D76" i="78"/>
  <c r="M75" i="78"/>
  <c r="N75" i="78" s="1"/>
  <c r="K75" i="78"/>
  <c r="J75" i="78"/>
  <c r="D75" i="78"/>
  <c r="B75" i="78"/>
  <c r="N74" i="78"/>
  <c r="M74" i="78"/>
  <c r="K74" i="78"/>
  <c r="J74" i="78" s="1"/>
  <c r="D74" i="78"/>
  <c r="B74" i="78"/>
  <c r="M73" i="78"/>
  <c r="N73" i="78" s="1"/>
  <c r="K73" i="78"/>
  <c r="J73" i="78"/>
  <c r="D73" i="78"/>
  <c r="B73" i="78"/>
  <c r="N72" i="78"/>
  <c r="M72" i="78"/>
  <c r="K72" i="78"/>
  <c r="J72" i="78" s="1"/>
  <c r="D72" i="78"/>
  <c r="B72" i="78"/>
  <c r="M71" i="78"/>
  <c r="N71" i="78" s="1"/>
  <c r="K71" i="78"/>
  <c r="J71" i="78"/>
  <c r="D71" i="78"/>
  <c r="B71" i="78"/>
  <c r="N70" i="78"/>
  <c r="M70" i="78"/>
  <c r="K70" i="78"/>
  <c r="J70" i="78" s="1"/>
  <c r="F70" i="78"/>
  <c r="H78" i="78" s="1"/>
  <c r="E70" i="78"/>
  <c r="B68" i="78" s="1"/>
  <c r="D70" i="78"/>
  <c r="B70" i="78"/>
  <c r="N67" i="78"/>
  <c r="M67" i="78"/>
  <c r="K67" i="78"/>
  <c r="J67" i="78" s="1"/>
  <c r="D67" i="78"/>
  <c r="B67" i="78"/>
  <c r="M66" i="78"/>
  <c r="N66" i="78" s="1"/>
  <c r="K66" i="78"/>
  <c r="J66" i="78"/>
  <c r="D66" i="78"/>
  <c r="B66" i="78"/>
  <c r="N65" i="78"/>
  <c r="M65" i="78"/>
  <c r="K65" i="78"/>
  <c r="J65" i="78" s="1"/>
  <c r="D65" i="78"/>
  <c r="B65" i="78"/>
  <c r="M64" i="78"/>
  <c r="N64" i="78" s="1"/>
  <c r="K64" i="78"/>
  <c r="J64" i="78"/>
  <c r="D64" i="78"/>
  <c r="M63" i="78"/>
  <c r="N63" i="78" s="1"/>
  <c r="K63" i="78"/>
  <c r="J63" i="78"/>
  <c r="D63" i="78"/>
  <c r="B63" i="78"/>
  <c r="N62" i="78"/>
  <c r="M62" i="78"/>
  <c r="K62" i="78"/>
  <c r="J62" i="78" s="1"/>
  <c r="D62" i="78"/>
  <c r="N61" i="78"/>
  <c r="M61" i="78"/>
  <c r="K61" i="78"/>
  <c r="J61" i="78" s="1"/>
  <c r="D61" i="78"/>
  <c r="B61" i="78"/>
  <c r="M60" i="78"/>
  <c r="N60" i="78" s="1"/>
  <c r="K60" i="78"/>
  <c r="J60" i="78"/>
  <c r="D60" i="78"/>
  <c r="B60" i="78"/>
  <c r="N59" i="78"/>
  <c r="M59" i="78"/>
  <c r="K59" i="78"/>
  <c r="J59" i="78" s="1"/>
  <c r="F59" i="78"/>
  <c r="H67" i="78" s="1"/>
  <c r="E59" i="78"/>
  <c r="B57" i="78" s="1"/>
  <c r="D59" i="78"/>
  <c r="B59" i="78"/>
  <c r="N56" i="78"/>
  <c r="M56" i="78"/>
  <c r="K56" i="78"/>
  <c r="J56" i="78" s="1"/>
  <c r="D56" i="78"/>
  <c r="B56" i="78"/>
  <c r="M55" i="78"/>
  <c r="N55" i="78" s="1"/>
  <c r="K55" i="78"/>
  <c r="J55" i="78"/>
  <c r="D55" i="78"/>
  <c r="B55" i="78"/>
  <c r="N54" i="78"/>
  <c r="M54" i="78"/>
  <c r="K54" i="78"/>
  <c r="J54" i="78" s="1"/>
  <c r="D54" i="78"/>
  <c r="B54" i="78"/>
  <c r="N53" i="78"/>
  <c r="M53" i="78"/>
  <c r="K53" i="78"/>
  <c r="J53" i="78" s="1"/>
  <c r="D53" i="78"/>
  <c r="M52" i="78"/>
  <c r="N52" i="78" s="1"/>
  <c r="K52" i="78"/>
  <c r="J52" i="78" s="1"/>
  <c r="D52" i="78"/>
  <c r="B52" i="78"/>
  <c r="N51" i="78"/>
  <c r="M51" i="78"/>
  <c r="K51" i="78"/>
  <c r="J51" i="78" s="1"/>
  <c r="D51" i="78"/>
  <c r="N50" i="78"/>
  <c r="M50" i="78"/>
  <c r="K50" i="78"/>
  <c r="J50" i="78" s="1"/>
  <c r="D50" i="78"/>
  <c r="B50" i="78"/>
  <c r="N49" i="78"/>
  <c r="M49" i="78"/>
  <c r="K49" i="78"/>
  <c r="J49" i="78" s="1"/>
  <c r="D49" i="78"/>
  <c r="B49" i="78"/>
  <c r="K48" i="78"/>
  <c r="J48" i="78" s="1"/>
  <c r="D48" i="78"/>
  <c r="B48" i="78"/>
  <c r="H39" i="78"/>
  <c r="H38" i="78"/>
  <c r="H37" i="78"/>
  <c r="H36" i="78"/>
  <c r="H35" i="78"/>
  <c r="H34" i="78"/>
  <c r="J20" i="78"/>
  <c r="M19" i="78"/>
  <c r="I19" i="78"/>
  <c r="C18" i="78"/>
  <c r="F15" i="78"/>
  <c r="E15" i="78"/>
  <c r="D15" i="78"/>
  <c r="C15" i="78"/>
  <c r="Y12" i="78"/>
  <c r="Y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A7" i="78"/>
  <c r="I2" i="78"/>
  <c r="N12" i="78" s="1"/>
  <c r="G2" i="78"/>
  <c r="H113" i="78" s="1"/>
  <c r="J45" i="77"/>
  <c r="I45" i="77" s="1"/>
  <c r="J48" i="77"/>
  <c r="I48" i="77" s="1"/>
  <c r="I51" i="77"/>
  <c r="I50" i="77"/>
  <c r="J49" i="77"/>
  <c r="I49" i="77" s="1"/>
  <c r="I47" i="77"/>
  <c r="J46" i="77"/>
  <c r="I46" i="77" s="1"/>
  <c r="J44" i="77"/>
  <c r="I44" i="77" s="1"/>
  <c r="J43" i="77"/>
  <c r="I43" i="77" s="1"/>
  <c r="J42" i="77"/>
  <c r="I42" i="77" s="1"/>
  <c r="J41" i="77"/>
  <c r="I41" i="77" s="1"/>
  <c r="I40" i="77"/>
  <c r="J39" i="77"/>
  <c r="I39" i="77" s="1"/>
  <c r="J38" i="77"/>
  <c r="I38" i="77" s="1"/>
  <c r="J37" i="77"/>
  <c r="I37" i="77" s="1"/>
  <c r="I36" i="77"/>
  <c r="J35" i="77"/>
  <c r="I35" i="77" s="1"/>
  <c r="J34" i="77"/>
  <c r="I34" i="77" s="1"/>
  <c r="J33" i="77"/>
  <c r="I33" i="77" s="1"/>
  <c r="I32" i="77"/>
  <c r="J31" i="77"/>
  <c r="I31" i="77" s="1"/>
  <c r="J30" i="77"/>
  <c r="I30" i="77" s="1"/>
  <c r="J29" i="77"/>
  <c r="I29" i="77" s="1"/>
  <c r="J28" i="77"/>
  <c r="I28" i="77" s="1"/>
  <c r="J27" i="77"/>
  <c r="I27" i="77" s="1"/>
  <c r="J26" i="77"/>
  <c r="I26" i="77" s="1"/>
  <c r="J25" i="77"/>
  <c r="I25" i="77" s="1"/>
  <c r="J24" i="77"/>
  <c r="I24" i="77" s="1"/>
  <c r="J23" i="77"/>
  <c r="I23" i="77" s="1"/>
  <c r="J22" i="77"/>
  <c r="I22" i="77" s="1"/>
  <c r="J21" i="77"/>
  <c r="I21" i="77" s="1"/>
  <c r="J20" i="77"/>
  <c r="I20" i="77" s="1"/>
  <c r="J19" i="77"/>
  <c r="I19" i="77" s="1"/>
  <c r="J18" i="77"/>
  <c r="I18" i="77" s="1"/>
  <c r="I17" i="77"/>
  <c r="J16" i="77"/>
  <c r="I16" i="77" s="1"/>
  <c r="J15" i="77"/>
  <c r="I15" i="77" s="1"/>
  <c r="J14" i="77"/>
  <c r="I14" i="77" s="1"/>
  <c r="J13" i="77"/>
  <c r="I13" i="77" s="1"/>
  <c r="J12" i="77"/>
  <c r="I12" i="77" s="1"/>
  <c r="J11" i="77"/>
  <c r="I11" i="77" s="1"/>
  <c r="J10" i="77"/>
  <c r="I10" i="77" s="1"/>
  <c r="J9" i="77"/>
  <c r="I9" i="77" s="1"/>
  <c r="J8" i="77"/>
  <c r="I8" i="77" s="1"/>
  <c r="J7" i="77"/>
  <c r="I7" i="77" s="1"/>
  <c r="G6" i="77"/>
  <c r="J6" i="77" s="1"/>
  <c r="I6" i="77" s="1"/>
  <c r="G5" i="77"/>
  <c r="I5" i="77" s="1"/>
  <c r="G4" i="77"/>
  <c r="I52" i="77" s="1"/>
  <c r="R10" i="77" l="1"/>
  <c r="Q10" i="77"/>
  <c r="P10" i="77"/>
  <c r="D23" i="79"/>
  <c r="D22" i="79"/>
  <c r="D24" i="79"/>
  <c r="P61" i="79"/>
  <c r="J51" i="79"/>
  <c r="E48" i="78"/>
  <c r="B46" i="78" s="1"/>
  <c r="C24" i="78" s="1"/>
  <c r="K100" i="78"/>
  <c r="G108" i="78"/>
  <c r="C108" i="78"/>
  <c r="D1" i="78"/>
  <c r="H33" i="78"/>
  <c r="C12" i="78"/>
  <c r="H81" i="78"/>
  <c r="N1" i="78"/>
  <c r="M4" i="78"/>
  <c r="N5" i="78"/>
  <c r="M1" i="78"/>
  <c r="M2" i="78"/>
  <c r="M8" i="78"/>
  <c r="N3" i="78"/>
  <c r="N6" i="78"/>
  <c r="F48" i="78" s="1"/>
  <c r="M7" i="78"/>
  <c r="H59" i="78"/>
  <c r="H62" i="78"/>
  <c r="H70" i="78"/>
  <c r="H83" i="78"/>
  <c r="H61" i="78"/>
  <c r="H72" i="78"/>
  <c r="E9" i="78"/>
  <c r="E8" i="78"/>
  <c r="E11" i="78"/>
  <c r="E10" i="78"/>
  <c r="M9" i="78"/>
  <c r="N10" i="78"/>
  <c r="Z10" i="78"/>
  <c r="AB10" i="78"/>
  <c r="AD10" i="78"/>
  <c r="AF10" i="78"/>
  <c r="AH10" i="78"/>
  <c r="AJ10" i="78"/>
  <c r="N11" i="78"/>
  <c r="M12" i="78"/>
  <c r="AA12" i="78"/>
  <c r="AC12" i="78"/>
  <c r="AE12" i="78"/>
  <c r="AG12" i="78"/>
  <c r="AI12" i="78"/>
  <c r="E17" i="78"/>
  <c r="H17" i="78"/>
  <c r="J17" i="78"/>
  <c r="N2" i="78"/>
  <c r="M3" i="78"/>
  <c r="N4" i="78"/>
  <c r="M5" i="78"/>
  <c r="M6" i="78"/>
  <c r="C6" i="78" s="1"/>
  <c r="N7" i="78"/>
  <c r="X7" i="78"/>
  <c r="N8" i="78"/>
  <c r="N9" i="78"/>
  <c r="M10" i="78"/>
  <c r="M11" i="78"/>
  <c r="C17" i="78"/>
  <c r="G17" i="78"/>
  <c r="I17" i="78"/>
  <c r="F33" i="78"/>
  <c r="F34" i="78"/>
  <c r="F35" i="78"/>
  <c r="F36" i="78"/>
  <c r="F37" i="78"/>
  <c r="F38" i="78"/>
  <c r="F39" i="78"/>
  <c r="H60" i="78"/>
  <c r="H63" i="78"/>
  <c r="H64" i="78"/>
  <c r="H66" i="78"/>
  <c r="H71" i="78"/>
  <c r="H73" i="78"/>
  <c r="H75" i="78"/>
  <c r="H76" i="78"/>
  <c r="H82" i="78"/>
  <c r="H84" i="78"/>
  <c r="H86" i="78"/>
  <c r="H87" i="78"/>
  <c r="E100" i="78"/>
  <c r="I100" i="78"/>
  <c r="M100" i="78"/>
  <c r="H65" i="78"/>
  <c r="H74" i="78"/>
  <c r="H77" i="78"/>
  <c r="H85" i="78"/>
  <c r="F108" i="78"/>
  <c r="F100" i="78"/>
  <c r="H108" i="78"/>
  <c r="H100" i="78"/>
  <c r="J108" i="78"/>
  <c r="J100" i="78"/>
  <c r="L108" i="78"/>
  <c r="L100" i="78"/>
  <c r="N108" i="78"/>
  <c r="N100" i="78"/>
  <c r="D100" i="78"/>
  <c r="D7" i="71"/>
  <c r="M11" i="77" l="1"/>
  <c r="U7" i="1" s="1"/>
  <c r="H55" i="78"/>
  <c r="H50" i="78"/>
  <c r="H54" i="78"/>
  <c r="H49" i="78"/>
  <c r="H53" i="78"/>
  <c r="H48" i="78"/>
  <c r="H51" i="78"/>
  <c r="H56" i="78"/>
  <c r="H52" i="78"/>
  <c r="C16" i="78"/>
  <c r="C7" i="78"/>
  <c r="AH5" i="71"/>
  <c r="AG5" i="71"/>
  <c r="AE5" i="71"/>
  <c r="AF5" i="71" s="1"/>
  <c r="AD5" i="71"/>
  <c r="Q5" i="71"/>
  <c r="P5" i="71"/>
  <c r="O5" i="71"/>
  <c r="N5" i="71"/>
  <c r="C5" i="78" l="1"/>
  <c r="D5" i="78"/>
  <c r="L3" i="7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B10" i="76"/>
  <c r="E13" i="76"/>
  <c r="E11" i="76"/>
  <c r="E9" i="76"/>
  <c r="B9" i="76"/>
  <c r="E12" i="76"/>
  <c r="B11" i="76"/>
  <c r="E8" i="76"/>
  <c r="B13" i="76"/>
  <c r="B12" i="76"/>
  <c r="E7" i="76"/>
  <c r="E10"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5" i="73"/>
  <c r="D6" i="73"/>
  <c r="D3" i="73"/>
  <c r="F4" i="73"/>
  <c r="F3" i="73"/>
  <c r="I1" i="73" l="1"/>
  <c r="B39" i="1" s="1"/>
  <c r="D4" i="73"/>
  <c r="D7" i="73"/>
  <c r="D5" i="73"/>
  <c r="F11" i="81" l="1"/>
  <c r="M11" i="81"/>
  <c r="F11" i="80"/>
  <c r="M11" i="80"/>
  <c r="F11" i="79"/>
  <c r="M11" i="79"/>
  <c r="E20"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C53" i="79"/>
  <c r="O17" i="78"/>
  <c r="M17" i="78"/>
  <c r="G20" i="78" s="1"/>
  <c r="P17" i="78"/>
  <c r="N17"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1" i="1"/>
  <c r="AO10"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2" i="43"/>
  <c r="D63"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19" i="78" s="1"/>
  <c r="F15" i="4"/>
  <c r="F8" i="1"/>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83" i="3"/>
  <c r="AZ291"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0" i="3"/>
  <c r="AZ384" i="3"/>
  <c r="AZ396" i="3"/>
  <c r="AZ509" i="3"/>
  <c r="E8" i="6"/>
  <c r="F27" i="6" s="1"/>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8" i="3"/>
  <c r="AZ117" i="3"/>
  <c r="AZ133" i="3"/>
  <c r="AZ29" i="3"/>
  <c r="AZ31" i="3"/>
  <c r="AZ33" i="3"/>
  <c r="AZ45" i="3"/>
  <c r="AZ50" i="3"/>
  <c r="AZ61" i="3"/>
  <c r="AZ66" i="3"/>
  <c r="AZ72" i="3"/>
  <c r="AZ74" i="3"/>
  <c r="AZ77" i="3"/>
  <c r="AZ86" i="3"/>
  <c r="AZ94"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G1" i="81" l="1"/>
  <c r="M9" i="1"/>
  <c r="O9" i="1" s="1"/>
  <c r="P9" i="1" s="1"/>
  <c r="G7" i="1"/>
  <c r="I20" i="78"/>
  <c r="C20" i="78" s="1"/>
  <c r="M8" i="1"/>
  <c r="F3" i="35"/>
  <c r="G1" i="80"/>
  <c r="G1" i="79"/>
  <c r="D65" i="43"/>
  <c r="D61" i="43"/>
  <c r="D67" i="43"/>
  <c r="D66" i="43"/>
  <c r="D64" i="43"/>
  <c r="E59" i="43" s="1"/>
  <c r="B57" i="43" s="1"/>
  <c r="C24" i="43" s="1"/>
  <c r="D60" i="43"/>
  <c r="G14" i="3"/>
  <c r="A15" i="62"/>
  <c r="B61" i="72" s="1"/>
  <c r="A2" i="9"/>
  <c r="A4" i="52"/>
  <c r="B41" i="72" s="1"/>
  <c r="P24" i="78"/>
  <c r="O19" i="78"/>
  <c r="P21" i="78"/>
  <c r="M20" i="78"/>
  <c r="C19" i="78" s="1"/>
  <c r="P25" i="78"/>
  <c r="P23" i="78"/>
  <c r="P22" i="78"/>
  <c r="W12" i="34"/>
  <c r="AC12" i="34"/>
  <c r="U12" i="35"/>
  <c r="AB12" i="35"/>
  <c r="AB34" i="35"/>
  <c r="U34" i="35"/>
  <c r="W12" i="36"/>
  <c r="AC12" i="36"/>
  <c r="AB44" i="39"/>
  <c r="U44" i="39"/>
  <c r="AC37" i="39"/>
  <c r="W37" i="39"/>
  <c r="W12" i="40"/>
  <c r="AC12" i="40"/>
  <c r="S12" i="21"/>
  <c r="AA12" i="21"/>
  <c r="U23" i="35"/>
  <c r="AB23" i="35"/>
  <c r="AB9" i="36"/>
  <c r="U9" i="36"/>
  <c r="AC24" i="36"/>
  <c r="W24" i="36"/>
  <c r="AC43" i="39"/>
  <c r="W43" i="39"/>
  <c r="U45" i="39"/>
  <c r="AB45" i="39"/>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28" i="6"/>
  <c r="AZ326" i="3"/>
  <c r="AZ311" i="3"/>
  <c r="AZ372" i="3"/>
  <c r="AZ347" i="3"/>
  <c r="AZ344" i="3"/>
  <c r="AZ337" i="3"/>
  <c r="AZ320" i="3"/>
  <c r="AZ313" i="3"/>
  <c r="AZ305" i="3"/>
  <c r="AZ362" i="3"/>
  <c r="AZ569" i="3"/>
  <c r="AZ577" i="3"/>
  <c r="AZ557" i="3"/>
  <c r="AZ516" i="3"/>
  <c r="AZ524" i="3"/>
  <c r="AZ532" i="3"/>
  <c r="AZ536" i="3"/>
  <c r="AZ544" i="3"/>
  <c r="AZ554" i="3"/>
  <c r="AZ558" i="3"/>
  <c r="AZ582" i="3"/>
  <c r="AA44" i="33"/>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AZ316" i="3"/>
  <c r="AZ332" i="3"/>
  <c r="AZ395" i="3"/>
  <c r="AZ208" i="3"/>
  <c r="AZ211" i="3"/>
  <c r="AZ217" i="3"/>
  <c r="AZ220" i="3"/>
  <c r="AZ226" i="3"/>
  <c r="AZ230" i="3"/>
  <c r="AZ242" i="3"/>
  <c r="AZ246" i="3"/>
  <c r="AZ258" i="3"/>
  <c r="AZ262" i="3"/>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AZ284" i="3"/>
  <c r="AZ290" i="3"/>
  <c r="AZ293" i="3"/>
  <c r="AZ300" i="3"/>
  <c r="AZ122" i="3"/>
  <c r="AZ125" i="3"/>
  <c r="AZ153"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E56" i="40"/>
  <c r="AR12" i="1"/>
  <c r="AQ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81"/>
  <c r="M24" i="81"/>
  <c r="F6" i="81"/>
  <c r="M29" i="81"/>
  <c r="F7" i="79"/>
  <c r="F13" i="79"/>
  <c r="M9" i="79"/>
  <c r="M24" i="80"/>
  <c r="M6" i="80"/>
  <c r="F13" i="80"/>
  <c r="M28" i="67"/>
  <c r="F13" i="15"/>
  <c r="C76" i="67"/>
  <c r="M26" i="67"/>
  <c r="F6" i="15"/>
  <c r="L47" i="15"/>
  <c r="M8" i="67"/>
  <c r="F9" i="79"/>
  <c r="F16" i="79"/>
  <c r="M9" i="80"/>
  <c r="F8" i="80"/>
  <c r="F16" i="15"/>
  <c r="F38" i="15"/>
  <c r="M6" i="67"/>
  <c r="M28" i="81"/>
  <c r="F8" i="81"/>
  <c r="L47" i="81"/>
  <c r="J15" i="79"/>
  <c r="F8" i="79"/>
  <c r="M23" i="80"/>
  <c r="M9" i="15"/>
  <c r="F6" i="67"/>
  <c r="F43" i="67"/>
  <c r="F37" i="81"/>
  <c r="F38" i="81"/>
  <c r="F42" i="81"/>
  <c r="F7" i="81"/>
  <c r="C76" i="79"/>
  <c r="F43" i="79"/>
  <c r="F43" i="80"/>
  <c r="F16" i="80"/>
  <c r="F26" i="80"/>
  <c r="F9" i="80"/>
  <c r="L47" i="67"/>
  <c r="F36" i="67"/>
  <c r="F26" i="67"/>
  <c r="L48" i="67"/>
  <c r="F37" i="67"/>
  <c r="F40" i="79"/>
  <c r="M8" i="80"/>
  <c r="M23" i="15"/>
  <c r="M23" i="67"/>
  <c r="F40" i="81"/>
  <c r="F43" i="81"/>
  <c r="F40" i="80"/>
  <c r="F43" i="15"/>
  <c r="C76" i="15"/>
  <c r="M22" i="15"/>
  <c r="M29" i="67"/>
  <c r="L48" i="80"/>
  <c r="J15" i="67"/>
  <c r="F42" i="15"/>
  <c r="F36" i="81"/>
  <c r="M29" i="79"/>
  <c r="C76" i="80"/>
  <c r="J15" i="15"/>
  <c r="M26" i="81"/>
  <c r="F9" i="81"/>
  <c r="M8" i="79"/>
  <c r="M24" i="79"/>
  <c r="F26" i="79"/>
  <c r="M26" i="80"/>
  <c r="F7" i="80"/>
  <c r="M8" i="15"/>
  <c r="M6" i="15"/>
  <c r="F37" i="15"/>
  <c r="M22" i="67"/>
  <c r="M6" i="79"/>
  <c r="M22" i="80"/>
  <c r="F40" i="15"/>
  <c r="F7" i="67"/>
  <c r="F9" i="67"/>
  <c r="M23" i="81"/>
  <c r="M28" i="79"/>
  <c r="J15" i="80"/>
  <c r="F9" i="15"/>
  <c r="F26" i="15"/>
  <c r="M27" i="81"/>
  <c r="F38" i="79"/>
  <c r="M23" i="79"/>
  <c r="F42" i="80"/>
  <c r="F16" i="67"/>
  <c r="M24" i="67"/>
  <c r="F8" i="15"/>
  <c r="M29" i="80"/>
  <c r="M9" i="67"/>
  <c r="M8" i="81"/>
  <c r="L47" i="79"/>
  <c r="F8" i="67"/>
  <c r="F36" i="15"/>
  <c r="M28" i="80"/>
  <c r="M24" i="15"/>
  <c r="M22" i="81"/>
  <c r="L48" i="79"/>
  <c r="M29" i="15"/>
  <c r="M9" i="81"/>
  <c r="F42" i="79"/>
  <c r="F38" i="80"/>
  <c r="F42" i="67"/>
  <c r="F13" i="67"/>
  <c r="F16" i="81"/>
  <c r="F36" i="80"/>
  <c r="F7" i="15"/>
  <c r="M6" i="81"/>
  <c r="F13" i="81"/>
  <c r="F6" i="79"/>
  <c r="F38" i="67"/>
  <c r="L48" i="81"/>
  <c r="J15" i="81"/>
  <c r="F37" i="79"/>
  <c r="F37" i="80"/>
  <c r="F6" i="80"/>
  <c r="L48" i="15"/>
  <c r="M28" i="15"/>
  <c r="F36" i="79"/>
  <c r="M26" i="15"/>
  <c r="F26" i="81"/>
  <c r="L47" i="80"/>
  <c r="M22" i="79"/>
  <c r="M26" i="79"/>
  <c r="G1" i="73"/>
  <c r="F40" i="67"/>
  <c r="N59" i="81" l="1"/>
  <c r="L59" i="81"/>
  <c r="Q61" i="81" s="1"/>
  <c r="L58" i="81"/>
  <c r="Q73" i="81" s="1"/>
  <c r="M59" i="81"/>
  <c r="F64" i="81"/>
  <c r="F66" i="81"/>
  <c r="F51" i="81"/>
  <c r="F68" i="81"/>
  <c r="L57" i="81"/>
  <c r="L60" i="81"/>
  <c r="Q66" i="81" s="1"/>
  <c r="I54" i="81"/>
  <c r="J53" i="81"/>
  <c r="F1" i="81" s="1"/>
  <c r="L56" i="81"/>
  <c r="J57" i="81"/>
  <c r="J55" i="81" s="1"/>
  <c r="J58" i="81" s="1"/>
  <c r="Q50" i="81" s="1"/>
  <c r="C27" i="81"/>
  <c r="F65" i="81"/>
  <c r="Q71" i="81"/>
  <c r="Q74" i="81"/>
  <c r="C6" i="81"/>
  <c r="C10" i="81" s="1"/>
  <c r="C5" i="81" s="1"/>
  <c r="F50" i="81"/>
  <c r="M7" i="81"/>
  <c r="J6" i="81" s="1"/>
  <c r="J10" i="81" s="1"/>
  <c r="J5" i="81" s="1"/>
  <c r="F71" i="81"/>
  <c r="T10" i="1"/>
  <c r="AR10" i="1"/>
  <c r="F51" i="80"/>
  <c r="M7" i="80"/>
  <c r="J6" i="80" s="1"/>
  <c r="J10" i="80" s="1"/>
  <c r="J5" i="80" s="1"/>
  <c r="F50" i="80"/>
  <c r="Q71" i="80"/>
  <c r="C6" i="80"/>
  <c r="C10" i="80" s="1"/>
  <c r="C5" i="80" s="1"/>
  <c r="C27" i="80"/>
  <c r="F64" i="80"/>
  <c r="F66" i="80"/>
  <c r="L59" i="80"/>
  <c r="M59" i="80"/>
  <c r="N59" i="80"/>
  <c r="L58" i="80"/>
  <c r="F65" i="80"/>
  <c r="F68" i="80"/>
  <c r="F71" i="80"/>
  <c r="J53" i="80"/>
  <c r="J57" i="80"/>
  <c r="J55" i="80" s="1"/>
  <c r="J58" i="80" s="1"/>
  <c r="Q50" i="80" s="1"/>
  <c r="I54" i="80"/>
  <c r="L56" i="80"/>
  <c r="C27" i="79"/>
  <c r="C6" i="79"/>
  <c r="C10" i="79" s="1"/>
  <c r="C5" i="79" s="1"/>
  <c r="J53" i="79"/>
  <c r="I54" i="79"/>
  <c r="J57" i="79"/>
  <c r="J55" i="79" s="1"/>
  <c r="J58" i="79" s="1"/>
  <c r="Q50" i="79" s="1"/>
  <c r="F71" i="79"/>
  <c r="F68" i="79"/>
  <c r="F51" i="79"/>
  <c r="F65" i="79"/>
  <c r="Q71" i="79"/>
  <c r="L58" i="79"/>
  <c r="L59" i="79"/>
  <c r="M59" i="79"/>
  <c r="N59" i="79"/>
  <c r="M7" i="79"/>
  <c r="J6" i="79" s="1"/>
  <c r="J10" i="79" s="1"/>
  <c r="J5" i="79" s="1"/>
  <c r="F50" i="79"/>
  <c r="F66" i="79"/>
  <c r="F64" i="79"/>
  <c r="H66" i="43"/>
  <c r="H65" i="43"/>
  <c r="H64" i="43"/>
  <c r="H63" i="43"/>
  <c r="H62" i="43"/>
  <c r="H61" i="43"/>
  <c r="H60" i="43"/>
  <c r="H59" i="43"/>
  <c r="H67" i="43"/>
  <c r="E4" i="4"/>
  <c r="B5" i="62" s="1"/>
  <c r="C4" i="4"/>
  <c r="B4" i="62" s="1"/>
  <c r="C33" i="78"/>
  <c r="C34" i="78"/>
  <c r="C35" i="78"/>
  <c r="C36" i="78"/>
  <c r="C38" i="78"/>
  <c r="T11" i="78"/>
  <c r="V11" i="78" s="1"/>
  <c r="T14" i="78"/>
  <c r="V14" i="78" s="1"/>
  <c r="T12" i="78"/>
  <c r="V12" i="78" s="1"/>
  <c r="C39" i="78"/>
  <c r="C37" i="78"/>
  <c r="T16" i="78"/>
  <c r="V16" i="78" s="1"/>
  <c r="T10" i="78"/>
  <c r="V10" i="78" s="1"/>
  <c r="T8" i="78"/>
  <c r="V8" i="78" s="1"/>
  <c r="T15" i="78"/>
  <c r="V15" i="78" s="1"/>
  <c r="T13" i="78"/>
  <c r="V13" i="78" s="1"/>
  <c r="T9" i="78"/>
  <c r="V9" i="78" s="1"/>
  <c r="C7" i="43"/>
  <c r="U39" i="40"/>
  <c r="AB39" i="40"/>
  <c r="U12" i="36"/>
  <c r="AB12" i="36"/>
  <c r="AC23" i="35"/>
  <c r="W23" i="35"/>
  <c r="AC36" i="35"/>
  <c r="W36" i="35"/>
  <c r="S12" i="34"/>
  <c r="AA12" i="34"/>
  <c r="C53" i="15"/>
  <c r="C10" i="67"/>
  <c r="C53" i="67"/>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1"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15"/>
  <c r="F31" i="67"/>
  <c r="F31" i="15"/>
  <c r="M17" i="67"/>
  <c r="F59" i="67"/>
  <c r="F59" i="15"/>
  <c r="C17" i="79"/>
  <c r="C17" i="81"/>
  <c r="C16" i="81"/>
  <c r="C16" i="80"/>
  <c r="C16" i="15"/>
  <c r="C16" i="79"/>
  <c r="C16" i="67"/>
  <c r="B71" i="72" l="1"/>
  <c r="B73" i="72"/>
  <c r="Q57" i="81"/>
  <c r="Q52" i="81"/>
  <c r="C49" i="81"/>
  <c r="C48" i="81" s="1"/>
  <c r="C66" i="81" s="1"/>
  <c r="Q60" i="81"/>
  <c r="AQ6" i="1"/>
  <c r="O6" i="1"/>
  <c r="P6" i="1" s="1"/>
  <c r="J19" i="81"/>
  <c r="J18" i="81"/>
  <c r="J26" i="81"/>
  <c r="J24" i="81"/>
  <c r="C38" i="81"/>
  <c r="C32" i="81"/>
  <c r="C33" i="81"/>
  <c r="C24" i="81"/>
  <c r="M22" i="6"/>
  <c r="I22" i="6" s="1"/>
  <c r="S22" i="6" s="1"/>
  <c r="S9" i="1"/>
  <c r="E9" i="70" s="1"/>
  <c r="C49" i="79"/>
  <c r="C48" i="79" s="1"/>
  <c r="C66" i="79" s="1"/>
  <c r="J18" i="79"/>
  <c r="J24" i="79"/>
  <c r="O7" i="1"/>
  <c r="Q61" i="79"/>
  <c r="Q74" i="79"/>
  <c r="L56" i="79"/>
  <c r="F1" i="79"/>
  <c r="Q52" i="79"/>
  <c r="C38" i="79"/>
  <c r="C32" i="79"/>
  <c r="Q60" i="80"/>
  <c r="Q73" i="80"/>
  <c r="E7" i="70"/>
  <c r="Q60" i="79"/>
  <c r="Q73" i="79"/>
  <c r="F1" i="80"/>
  <c r="Q52" i="80"/>
  <c r="J18" i="80"/>
  <c r="J24" i="80"/>
  <c r="Q61" i="80"/>
  <c r="Q74" i="80"/>
  <c r="C38" i="80"/>
  <c r="C32" i="80"/>
  <c r="C49" i="80"/>
  <c r="C48" i="80" s="1"/>
  <c r="F24" i="79"/>
  <c r="C24" i="79" s="1"/>
  <c r="F24" i="80"/>
  <c r="E39" i="78"/>
  <c r="G39" i="78"/>
  <c r="I39" i="78" s="1"/>
  <c r="M21" i="6"/>
  <c r="I21" i="6" s="1"/>
  <c r="S21" i="6" s="1"/>
  <c r="S8" i="1"/>
  <c r="M19" i="6"/>
  <c r="M27" i="6" s="1"/>
  <c r="AQ7" i="1"/>
  <c r="AR6" i="1"/>
  <c r="K16" i="1"/>
  <c r="K4" i="4"/>
  <c r="B46" i="48" s="1"/>
  <c r="E36" i="78"/>
  <c r="G36" i="78"/>
  <c r="I36" i="78" s="1"/>
  <c r="E34" i="78"/>
  <c r="G34" i="78"/>
  <c r="I34" i="78" s="1"/>
  <c r="E37" i="78"/>
  <c r="G37" i="78"/>
  <c r="I37" i="78" s="1"/>
  <c r="E38" i="78"/>
  <c r="G38" i="78"/>
  <c r="I38" i="78" s="1"/>
  <c r="E35" i="78"/>
  <c r="G35" i="78"/>
  <c r="I35" i="78" s="1"/>
  <c r="E33" i="78"/>
  <c r="G33" i="78"/>
  <c r="I33" i="78"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7"/>
  <c r="C32" i="67" s="1"/>
  <c r="F10" i="40"/>
  <c r="AA10" i="40" s="1"/>
  <c r="S20" i="6"/>
  <c r="I19" i="6"/>
  <c r="H10" i="39"/>
  <c r="J10" i="39"/>
  <c r="C49" i="15"/>
  <c r="Q60" i="15"/>
  <c r="M16" i="1"/>
  <c r="N16" i="1" s="1"/>
  <c r="Q60" i="67"/>
  <c r="Q73" i="67"/>
  <c r="F27" i="11"/>
  <c r="Q61" i="67"/>
  <c r="Q74" i="67"/>
  <c r="C49" i="67"/>
  <c r="F1" i="67"/>
  <c r="Q52" i="67"/>
  <c r="AE9" i="1"/>
  <c r="C17" i="80"/>
  <c r="C14" i="81"/>
  <c r="C17" i="15"/>
  <c r="C14" i="79"/>
  <c r="B4" i="72" l="1"/>
  <c r="C60" i="81"/>
  <c r="C15" i="79"/>
  <c r="C18" i="79"/>
  <c r="C15" i="81"/>
  <c r="C18" i="81"/>
  <c r="C19" i="81" s="1"/>
  <c r="AR9" i="1"/>
  <c r="AQ9" i="1"/>
  <c r="T9" i="1"/>
  <c r="C60" i="79"/>
  <c r="C66" i="80"/>
  <c r="C60" i="80"/>
  <c r="E8" i="70"/>
  <c r="C24" i="80"/>
  <c r="G39" i="43"/>
  <c r="I39" i="43"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0"/>
  <c r="C19" i="79" l="1"/>
  <c r="C20" i="79" s="1"/>
  <c r="C26" i="79" s="1"/>
  <c r="C20" i="81"/>
  <c r="C26" i="81" s="1"/>
  <c r="C15" i="80"/>
  <c r="C18" i="80"/>
  <c r="J19" i="79"/>
  <c r="C33" i="79"/>
  <c r="C34" i="11"/>
  <c r="C38" i="11" s="1"/>
  <c r="R20" i="6"/>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3" i="79" l="1"/>
  <c r="C29" i="79" s="1"/>
  <c r="C57" i="79" s="1"/>
  <c r="C64" i="79" s="1"/>
  <c r="C23" i="81"/>
  <c r="C29" i="81" s="1"/>
  <c r="J14" i="81" s="1"/>
  <c r="J22" i="81" s="1"/>
  <c r="J59" i="81"/>
  <c r="J60" i="81" s="1"/>
  <c r="Q48" i="81" s="1"/>
  <c r="L46" i="81"/>
  <c r="C19" i="80"/>
  <c r="C20" i="80" s="1"/>
  <c r="C26" i="80" s="1"/>
  <c r="R8" i="1"/>
  <c r="R10" i="1"/>
  <c r="R7" i="1"/>
  <c r="R9" i="1"/>
  <c r="J19" i="80"/>
  <c r="B29" i="1"/>
  <c r="C35" i="11"/>
  <c r="C33" i="11" s="1"/>
  <c r="C42" i="11" s="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80"/>
  <c r="M21" i="81"/>
  <c r="F35" i="81"/>
  <c r="M21" i="15"/>
  <c r="F35" i="15"/>
  <c r="M21" i="80"/>
  <c r="F35" i="67"/>
  <c r="M21" i="67"/>
  <c r="M21" i="79"/>
  <c r="F35" i="79"/>
  <c r="J59" i="79" l="1"/>
  <c r="J60" i="79" s="1"/>
  <c r="Q48" i="79" s="1"/>
  <c r="C36" i="81"/>
  <c r="C61" i="79"/>
  <c r="C13" i="79"/>
  <c r="C36" i="79"/>
  <c r="Q49" i="79"/>
  <c r="J14" i="79"/>
  <c r="J13" i="79" s="1"/>
  <c r="J23" i="79" s="1"/>
  <c r="C57" i="81"/>
  <c r="C61" i="81" s="1"/>
  <c r="C13" i="81"/>
  <c r="C75" i="81" s="1"/>
  <c r="Q49" i="81"/>
  <c r="J13" i="81"/>
  <c r="J23" i="81" s="1"/>
  <c r="C23" i="80"/>
  <c r="C29" i="80" s="1"/>
  <c r="J20" i="81"/>
  <c r="J17" i="81" s="1"/>
  <c r="F63" i="81"/>
  <c r="C62" i="81" s="1"/>
  <c r="C34" i="81"/>
  <c r="C31" i="81" s="1"/>
  <c r="G3" i="78"/>
  <c r="G3" i="43"/>
  <c r="J20" i="80"/>
  <c r="J17" i="80" s="1"/>
  <c r="F63" i="80"/>
  <c r="C62" i="80" s="1"/>
  <c r="C34" i="80"/>
  <c r="F63" i="79"/>
  <c r="C62" i="79" s="1"/>
  <c r="C34" i="79"/>
  <c r="C31" i="79" s="1"/>
  <c r="J20" i="79"/>
  <c r="J17" i="79" s="1"/>
  <c r="C8" i="68"/>
  <c r="C18" i="12"/>
  <c r="C21" i="12" s="1"/>
  <c r="C22" i="12" s="1"/>
  <c r="C30" i="12" s="1"/>
  <c r="C28" i="12" s="1"/>
  <c r="I5" i="6"/>
  <c r="C49" i="21"/>
  <c r="F63" i="67"/>
  <c r="C62" i="67" s="1"/>
  <c r="C34" i="67"/>
  <c r="J20" i="67"/>
  <c r="C24" i="68"/>
  <c r="J20" i="15"/>
  <c r="F63" i="15"/>
  <c r="C62" i="15" s="1"/>
  <c r="C34" i="15"/>
  <c r="R16" i="1"/>
  <c r="C33" i="68"/>
  <c r="I63" i="40"/>
  <c r="H65" i="40"/>
  <c r="C39" i="11"/>
  <c r="C43" i="11" s="1"/>
  <c r="C41" i="11" s="1"/>
  <c r="I70" i="39"/>
  <c r="C59" i="79" l="1"/>
  <c r="Q70" i="79"/>
  <c r="C56" i="79"/>
  <c r="C65" i="79" s="1"/>
  <c r="C75" i="79"/>
  <c r="C37" i="79"/>
  <c r="C30" i="79" s="1"/>
  <c r="C39" i="79" s="1"/>
  <c r="J22" i="79"/>
  <c r="J16" i="79" s="1"/>
  <c r="J25" i="79" s="1"/>
  <c r="C64" i="81"/>
  <c r="Q70" i="81"/>
  <c r="C37" i="81"/>
  <c r="C30" i="81" s="1"/>
  <c r="C39" i="81" s="1"/>
  <c r="C56" i="81"/>
  <c r="C65" i="81" s="1"/>
  <c r="J16" i="81"/>
  <c r="J25" i="81" s="1"/>
  <c r="C59" i="81"/>
  <c r="C57" i="80"/>
  <c r="C61" i="80" s="1"/>
  <c r="C59" i="80" s="1"/>
  <c r="C33" i="80"/>
  <c r="C31" i="80" s="1"/>
  <c r="C36" i="80"/>
  <c r="J14" i="80"/>
  <c r="J13" i="80" s="1"/>
  <c r="J23" i="80" s="1"/>
  <c r="C13" i="80"/>
  <c r="Q70" i="80" s="1"/>
  <c r="J59" i="80"/>
  <c r="J60" i="80" s="1"/>
  <c r="Q48" i="80" s="1"/>
  <c r="Q49" i="80"/>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L101" i="43"/>
  <c r="D101" i="43"/>
  <c r="I101" i="43"/>
  <c r="G22" i="43"/>
  <c r="AH11" i="43"/>
  <c r="AH13" i="43" s="1"/>
  <c r="AD11" i="43"/>
  <c r="AD13" i="43" s="1"/>
  <c r="Z11" i="43"/>
  <c r="Z13" i="43" s="1"/>
  <c r="AI11" i="43"/>
  <c r="AI13" i="43" s="1"/>
  <c r="AE11" i="43"/>
  <c r="AE13" i="43" s="1"/>
  <c r="AA11" i="43"/>
  <c r="AA13" i="43" s="1"/>
  <c r="B113" i="43"/>
  <c r="F101" i="43"/>
  <c r="E22" i="43"/>
  <c r="C101" i="43"/>
  <c r="N104" i="46"/>
  <c r="S5" i="43"/>
  <c r="T5" i="43" s="1"/>
  <c r="V5" i="43" s="1"/>
  <c r="C23" i="43"/>
  <c r="S4" i="43"/>
  <c r="T4" i="43" s="1"/>
  <c r="V4" i="43" s="1"/>
  <c r="S3" i="43"/>
  <c r="T3" i="43" s="1"/>
  <c r="V3" i="43" s="1"/>
  <c r="S7" i="43"/>
  <c r="T7" i="43" s="1"/>
  <c r="V7" i="43" s="1"/>
  <c r="S6" i="43"/>
  <c r="T6" i="43" s="1"/>
  <c r="V6" i="43" s="1"/>
  <c r="S2" i="43"/>
  <c r="T2" i="43" s="1"/>
  <c r="V2" i="43" s="1"/>
  <c r="Z11" i="78"/>
  <c r="Z13" i="78" s="1"/>
  <c r="AH11" i="78"/>
  <c r="AH13" i="78" s="1"/>
  <c r="N101" i="78"/>
  <c r="F101" i="78"/>
  <c r="G101" i="78"/>
  <c r="E101" i="78"/>
  <c r="AA11" i="78"/>
  <c r="AA13" i="78" s="1"/>
  <c r="AI11" i="78"/>
  <c r="AI13" i="78" s="1"/>
  <c r="AB11" i="78"/>
  <c r="AB13" i="78" s="1"/>
  <c r="AJ11" i="78"/>
  <c r="AJ13" i="78" s="1"/>
  <c r="J22" i="78"/>
  <c r="H101" i="78"/>
  <c r="C101" i="78"/>
  <c r="Y11" i="78"/>
  <c r="Y13" i="78" s="1"/>
  <c r="AG11" i="78"/>
  <c r="AG13" i="78" s="1"/>
  <c r="D101" i="78"/>
  <c r="AD11" i="78"/>
  <c r="AD13" i="78" s="1"/>
  <c r="G22" i="78"/>
  <c r="J101" i="78"/>
  <c r="B113" i="78"/>
  <c r="M101" i="78"/>
  <c r="Z7" i="78"/>
  <c r="AE11" i="78"/>
  <c r="AE13" i="78" s="1"/>
  <c r="F22" i="78"/>
  <c r="AF11" i="78"/>
  <c r="AF13" i="78" s="1"/>
  <c r="E22" i="78"/>
  <c r="L101" i="78"/>
  <c r="K101" i="78"/>
  <c r="I101" i="78"/>
  <c r="AC11" i="78"/>
  <c r="AC13" i="78" s="1"/>
  <c r="H22" i="78"/>
  <c r="C23" i="78"/>
  <c r="C21" i="78" s="1"/>
  <c r="S7" i="78"/>
  <c r="T7" i="78" s="1"/>
  <c r="V7" i="78" s="1"/>
  <c r="S5" i="78"/>
  <c r="T5" i="78" s="1"/>
  <c r="V5" i="78" s="1"/>
  <c r="S3" i="78"/>
  <c r="T3" i="78" s="1"/>
  <c r="S6" i="78"/>
  <c r="T6" i="78" s="1"/>
  <c r="V6" i="78" s="1"/>
  <c r="S2" i="78"/>
  <c r="T2" i="78" s="1"/>
  <c r="V2" i="78" s="1"/>
  <c r="S4" i="78"/>
  <c r="T4" i="78" s="1"/>
  <c r="V4" i="78" s="1"/>
  <c r="J22" i="80"/>
  <c r="L57" i="79"/>
  <c r="L60" i="79" s="1"/>
  <c r="L46" i="79" s="1"/>
  <c r="C27" i="12"/>
  <c r="C25" i="12" s="1"/>
  <c r="C32" i="12" s="1"/>
  <c r="B2" i="12" s="1"/>
  <c r="B3" i="12" s="1"/>
  <c r="C39" i="68"/>
  <c r="C43" i="68" s="1"/>
  <c r="C42" i="68"/>
  <c r="J63" i="40"/>
  <c r="I65" i="40"/>
  <c r="C46" i="11"/>
  <c r="C45" i="11" s="1"/>
  <c r="C49" i="11" s="1"/>
  <c r="C51" i="11" s="1"/>
  <c r="C52" i="11" s="1"/>
  <c r="B2" i="11" s="1"/>
  <c r="B3" i="11" s="1"/>
  <c r="J70" i="39"/>
  <c r="L51" i="81"/>
  <c r="L51" i="79"/>
  <c r="C58" i="79" l="1"/>
  <c r="C67" i="79" s="1"/>
  <c r="Q67" i="79"/>
  <c r="C80" i="79"/>
  <c r="C79" i="79" s="1"/>
  <c r="Q69" i="79"/>
  <c r="Q68" i="79" s="1"/>
  <c r="C58" i="81"/>
  <c r="C67" i="81" s="1"/>
  <c r="Q67" i="81"/>
  <c r="Q69" i="81"/>
  <c r="Q68" i="81" s="1"/>
  <c r="C80" i="81"/>
  <c r="C79" i="81" s="1"/>
  <c r="D22" i="43"/>
  <c r="C21" i="43" s="1"/>
  <c r="C29" i="43" s="1"/>
  <c r="C37" i="80"/>
  <c r="C30" i="80" s="1"/>
  <c r="C39" i="80" s="1"/>
  <c r="C64" i="80"/>
  <c r="C75" i="80"/>
  <c r="C56" i="80"/>
  <c r="C65" i="80" s="1"/>
  <c r="D22" i="78"/>
  <c r="C40" i="78"/>
  <c r="E40" i="78" s="1"/>
  <c r="V3" i="78"/>
  <c r="C29" i="78"/>
  <c r="K107" i="78"/>
  <c r="K103" i="78"/>
  <c r="K106" i="78"/>
  <c r="K104" i="78"/>
  <c r="K105" i="78"/>
  <c r="K109" i="78"/>
  <c r="K102" i="78"/>
  <c r="B118" i="78"/>
  <c r="C118" i="78" s="1"/>
  <c r="I117" i="78"/>
  <c r="J117" i="78" s="1"/>
  <c r="K117" i="78" s="1"/>
  <c r="L117" i="78" s="1"/>
  <c r="M117" i="78" s="1"/>
  <c r="B117" i="78"/>
  <c r="C117" i="78" s="1"/>
  <c r="D117" i="78"/>
  <c r="E117" i="78" s="1"/>
  <c r="F117" i="78" s="1"/>
  <c r="G117" i="78" s="1"/>
  <c r="H117" i="78" s="1"/>
  <c r="G118" i="78"/>
  <c r="H118" i="78" s="1"/>
  <c r="B116" i="78"/>
  <c r="C116" i="78" s="1"/>
  <c r="D116" i="78"/>
  <c r="E116" i="78" s="1"/>
  <c r="F116" i="78" s="1"/>
  <c r="G116" i="78" s="1"/>
  <c r="H116" i="78" s="1"/>
  <c r="I118" i="78"/>
  <c r="J118" i="78" s="1"/>
  <c r="K118" i="78" s="1"/>
  <c r="L118" i="78" s="1"/>
  <c r="M118" i="78" s="1"/>
  <c r="I115" i="78"/>
  <c r="J115" i="78" s="1"/>
  <c r="K115" i="78" s="1"/>
  <c r="L115" i="78" s="1"/>
  <c r="M115" i="78" s="1"/>
  <c r="B115" i="78"/>
  <c r="C115" i="78" s="1"/>
  <c r="D115" i="78"/>
  <c r="E115" i="78" s="1"/>
  <c r="F115" i="78" s="1"/>
  <c r="G115" i="78" s="1"/>
  <c r="H115" i="78" s="1"/>
  <c r="I116" i="78"/>
  <c r="J116" i="78" s="1"/>
  <c r="K116" i="78" s="1"/>
  <c r="L116" i="78" s="1"/>
  <c r="M116" i="78" s="1"/>
  <c r="D118" i="78"/>
  <c r="E118" i="78" s="1"/>
  <c r="F118" i="78" s="1"/>
  <c r="D109" i="78"/>
  <c r="D107" i="78"/>
  <c r="D103" i="78"/>
  <c r="D102" i="78"/>
  <c r="D104" i="78"/>
  <c r="D105" i="78"/>
  <c r="D106" i="78"/>
  <c r="H106" i="78"/>
  <c r="H107" i="78"/>
  <c r="H103" i="78"/>
  <c r="H109" i="78"/>
  <c r="H102" i="78"/>
  <c r="H105" i="78"/>
  <c r="H104" i="78"/>
  <c r="E102" i="78"/>
  <c r="E105" i="78"/>
  <c r="E109" i="78"/>
  <c r="E104" i="78"/>
  <c r="E107" i="78"/>
  <c r="E103" i="78"/>
  <c r="E106" i="78"/>
  <c r="F103" i="78"/>
  <c r="F106" i="78"/>
  <c r="F102" i="78"/>
  <c r="F105" i="78"/>
  <c r="F109" i="78"/>
  <c r="F104" i="78"/>
  <c r="F107" i="78"/>
  <c r="C104" i="43"/>
  <c r="C107" i="43"/>
  <c r="C103" i="43"/>
  <c r="C109" i="43"/>
  <c r="C106" i="43"/>
  <c r="C105" i="43"/>
  <c r="C102" i="43"/>
  <c r="F104" i="43"/>
  <c r="F102" i="43"/>
  <c r="F103" i="43"/>
  <c r="F107" i="43"/>
  <c r="F106" i="43"/>
  <c r="F105" i="43"/>
  <c r="F109" i="43"/>
  <c r="D109" i="43"/>
  <c r="D105" i="43"/>
  <c r="D106" i="43"/>
  <c r="D102" i="43"/>
  <c r="D103" i="43"/>
  <c r="D104" i="43"/>
  <c r="D107" i="43"/>
  <c r="M109" i="43"/>
  <c r="M102" i="43"/>
  <c r="M106" i="43"/>
  <c r="M103" i="43"/>
  <c r="M104" i="43"/>
  <c r="M107" i="43"/>
  <c r="M105" i="43"/>
  <c r="G105" i="43"/>
  <c r="G102" i="43"/>
  <c r="G107" i="43"/>
  <c r="G104" i="43"/>
  <c r="G106" i="43"/>
  <c r="G103" i="43"/>
  <c r="G109" i="43"/>
  <c r="K103" i="43"/>
  <c r="K102" i="43"/>
  <c r="K105" i="43"/>
  <c r="K107" i="43"/>
  <c r="K104" i="43"/>
  <c r="K106" i="43"/>
  <c r="K109" i="43"/>
  <c r="I109" i="78"/>
  <c r="I105" i="78"/>
  <c r="I106" i="78"/>
  <c r="I102" i="78"/>
  <c r="I107" i="78"/>
  <c r="I103" i="78"/>
  <c r="I104" i="78"/>
  <c r="L104" i="78"/>
  <c r="L107" i="78"/>
  <c r="L103" i="78"/>
  <c r="L102" i="78"/>
  <c r="L109" i="78"/>
  <c r="L105" i="78"/>
  <c r="L106" i="78"/>
  <c r="M107" i="78"/>
  <c r="M103" i="78"/>
  <c r="M104" i="78"/>
  <c r="M109" i="78"/>
  <c r="M105" i="78"/>
  <c r="M106" i="78"/>
  <c r="M102" i="78"/>
  <c r="J103" i="78"/>
  <c r="J104" i="78"/>
  <c r="J107" i="78"/>
  <c r="J109" i="78"/>
  <c r="J106" i="78"/>
  <c r="J102" i="78"/>
  <c r="J105" i="78"/>
  <c r="C109" i="78"/>
  <c r="C105" i="78"/>
  <c r="C106" i="78"/>
  <c r="C102" i="78"/>
  <c r="C107" i="78"/>
  <c r="C103" i="78"/>
  <c r="C104" i="78"/>
  <c r="G102" i="78"/>
  <c r="G105" i="78"/>
  <c r="G106" i="78"/>
  <c r="G109" i="78"/>
  <c r="G107" i="78"/>
  <c r="G103" i="78"/>
  <c r="G104" i="78"/>
  <c r="N105" i="78"/>
  <c r="N104" i="78"/>
  <c r="N107" i="78"/>
  <c r="N109" i="78"/>
  <c r="N106" i="78"/>
  <c r="N102" i="78"/>
  <c r="N103" i="78"/>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09" i="43"/>
  <c r="I104" i="43"/>
  <c r="I107" i="43"/>
  <c r="I105" i="43"/>
  <c r="I102" i="43"/>
  <c r="I106" i="43"/>
  <c r="I103" i="43"/>
  <c r="L109" i="43"/>
  <c r="L106" i="43"/>
  <c r="L107" i="43"/>
  <c r="L103" i="43"/>
  <c r="L102" i="43"/>
  <c r="L105" i="43"/>
  <c r="L104" i="43"/>
  <c r="E102" i="43"/>
  <c r="E106" i="43"/>
  <c r="E103" i="43"/>
  <c r="E104" i="43"/>
  <c r="E107" i="43"/>
  <c r="E105" i="43"/>
  <c r="E109" i="43"/>
  <c r="H102" i="43"/>
  <c r="H103" i="43"/>
  <c r="H104" i="43"/>
  <c r="H109" i="43"/>
  <c r="H107" i="43"/>
  <c r="H106" i="43"/>
  <c r="H105" i="43"/>
  <c r="J104" i="43"/>
  <c r="J105" i="43"/>
  <c r="J107" i="43"/>
  <c r="J102" i="43"/>
  <c r="J106" i="43"/>
  <c r="J103" i="43"/>
  <c r="J109" i="43"/>
  <c r="N102" i="43"/>
  <c r="N105" i="43"/>
  <c r="N107" i="43"/>
  <c r="N109" i="43"/>
  <c r="N103" i="43"/>
  <c r="N106" i="43"/>
  <c r="N104" i="43"/>
  <c r="J16" i="80"/>
  <c r="J25" i="80" s="1"/>
  <c r="L57" i="80"/>
  <c r="L60" i="80" s="1"/>
  <c r="L46" i="80" s="1"/>
  <c r="Q66" i="79"/>
  <c r="Q57" i="79"/>
  <c r="C41" i="68"/>
  <c r="C46" i="68"/>
  <c r="C45" i="68" s="1"/>
  <c r="K63" i="40"/>
  <c r="J65" i="40"/>
  <c r="K70" i="39"/>
  <c r="C56" i="11"/>
  <c r="C57" i="11" s="1"/>
  <c r="L51" i="80"/>
  <c r="C30" i="43" l="1"/>
  <c r="E30" i="43" s="1"/>
  <c r="C27" i="43" s="1"/>
  <c r="E29" i="43"/>
  <c r="C26" i="43" s="1"/>
  <c r="B2" i="43" s="1"/>
  <c r="B3" i="43" s="1"/>
  <c r="C58" i="80"/>
  <c r="C67" i="80" s="1"/>
  <c r="Q67" i="80"/>
  <c r="Q69" i="80"/>
  <c r="Q68" i="80" s="1"/>
  <c r="C80" i="80"/>
  <c r="C79" i="80" s="1"/>
  <c r="D113" i="78"/>
  <c r="C115" i="43"/>
  <c r="D113" i="43"/>
  <c r="J22" i="43" s="1"/>
  <c r="C30" i="78"/>
  <c r="E30" i="78" s="1"/>
  <c r="C27" i="78" s="1"/>
  <c r="E29" i="78"/>
  <c r="Q66" i="80"/>
  <c r="Q57" i="80"/>
  <c r="C49" i="68"/>
  <c r="C51" i="68" s="1"/>
  <c r="L63" i="40"/>
  <c r="K65" i="40"/>
  <c r="L70" i="39"/>
  <c r="E2" i="70"/>
  <c r="C34" i="69"/>
  <c r="C17" i="67"/>
  <c r="C26" i="78" l="1"/>
  <c r="E41" i="78"/>
  <c r="C6" i="68" s="1"/>
  <c r="C7" i="68" s="1"/>
  <c r="C5" i="68" s="1"/>
  <c r="M63" i="40"/>
  <c r="L65" i="40"/>
  <c r="M70" i="39"/>
  <c r="C35" i="69"/>
  <c r="C38" i="69"/>
  <c r="D10" i="69"/>
  <c r="E6" i="76"/>
  <c r="E2" i="76" l="1"/>
  <c r="B2" i="78"/>
  <c r="C23" i="68"/>
  <c r="C20" i="68"/>
  <c r="C28" i="68" s="1"/>
  <c r="C27" i="68" s="1"/>
  <c r="N63" i="40"/>
  <c r="M65" i="40"/>
  <c r="O70" i="39"/>
  <c r="N70" i="39"/>
  <c r="D19" i="69"/>
  <c r="C10" i="69"/>
  <c r="C8" i="69" s="1"/>
  <c r="C5" i="69" s="1"/>
  <c r="B6" i="76"/>
  <c r="B2" i="76" l="1"/>
  <c r="B3" i="76" s="1"/>
  <c r="C25" i="68"/>
  <c r="C22" i="68" s="1"/>
  <c r="C31" i="68" s="1"/>
  <c r="C52" i="68" s="1"/>
  <c r="C57" i="68" s="1"/>
  <c r="C56" i="68" s="1"/>
  <c r="B3" i="78"/>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F41" i="81"/>
  <c r="AE7" i="1"/>
  <c r="C14" i="15"/>
  <c r="L51" i="67"/>
  <c r="AG7" i="1" l="1"/>
  <c r="F69" i="81"/>
  <c r="C68" i="81" s="1"/>
  <c r="J29" i="81"/>
  <c r="C40" i="81"/>
  <c r="L57" i="67"/>
  <c r="L60" i="67" s="1"/>
  <c r="L46" i="67" s="1"/>
  <c r="C80" i="67"/>
  <c r="C79" i="67" s="1"/>
  <c r="Q69" i="67"/>
  <c r="Q68" i="67" s="1"/>
  <c r="Q67" i="67"/>
  <c r="C59" i="67"/>
  <c r="C66" i="67"/>
  <c r="T16" i="1"/>
  <c r="C18" i="15"/>
  <c r="C15" i="15"/>
  <c r="B2" i="81" l="1"/>
  <c r="B3" i="81" s="1"/>
  <c r="Q47" i="81"/>
  <c r="Q53" i="81" s="1"/>
  <c r="C43" i="81"/>
  <c r="Q56" i="81"/>
  <c r="Q62" i="81" s="1"/>
  <c r="Q65" i="81"/>
  <c r="Q75" i="81" s="1"/>
  <c r="C83" i="81"/>
  <c r="C82" i="81" s="1"/>
  <c r="C71" i="81"/>
  <c r="C46" i="8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F41" i="80"/>
  <c r="F41" i="79"/>
  <c r="AE6" i="1"/>
  <c r="AE8" i="1"/>
  <c r="AG8" i="1" l="1"/>
  <c r="F69" i="80"/>
  <c r="C68" i="80" s="1"/>
  <c r="C40" i="80"/>
  <c r="F69" i="79"/>
  <c r="C68" i="79" s="1"/>
  <c r="C40" i="79"/>
  <c r="C66" i="15"/>
  <c r="C60" i="15"/>
  <c r="C59" i="15" s="1"/>
  <c r="AG6" i="1"/>
  <c r="C80" i="15"/>
  <c r="C79" i="15" s="1"/>
  <c r="C65" i="15"/>
  <c r="Q68" i="15"/>
  <c r="L57" i="15"/>
  <c r="L60" i="15" s="1"/>
  <c r="L51" i="15"/>
  <c r="F41" i="67"/>
  <c r="F41" i="15"/>
  <c r="M27" i="67"/>
  <c r="M27" i="79"/>
  <c r="M27" i="15"/>
  <c r="M27" i="80"/>
  <c r="Q67" i="15" l="1"/>
  <c r="J26" i="79"/>
  <c r="J29" i="79" s="1"/>
  <c r="Q56" i="79" s="1"/>
  <c r="Q62" i="79" s="1"/>
  <c r="J26" i="80"/>
  <c r="J29" i="80" s="1"/>
  <c r="Q47" i="80" s="1"/>
  <c r="Q53" i="80" s="1"/>
  <c r="C43" i="80"/>
  <c r="C83" i="80"/>
  <c r="C82" i="80" s="1"/>
  <c r="C71" i="80"/>
  <c r="C46" i="80"/>
  <c r="C43" i="79"/>
  <c r="C83" i="79"/>
  <c r="C82" i="79" s="1"/>
  <c r="C71" i="79"/>
  <c r="C46" i="79"/>
  <c r="J26" i="15"/>
  <c r="J29" i="15" s="1"/>
  <c r="J26" i="67"/>
  <c r="J29" i="67" s="1"/>
  <c r="C58" i="15"/>
  <c r="C67" i="15" s="1"/>
  <c r="F69" i="15"/>
  <c r="C40" i="15"/>
  <c r="C43" i="15" s="1"/>
  <c r="L46" i="15"/>
  <c r="Q57" i="15"/>
  <c r="Q66" i="15"/>
  <c r="F69" i="67"/>
  <c r="C68" i="67" s="1"/>
  <c r="C71" i="67" s="1"/>
  <c r="C40" i="67"/>
  <c r="C83" i="67" s="1"/>
  <c r="C82" i="67" s="1"/>
  <c r="B2" i="79" l="1"/>
  <c r="B3" i="79" s="1"/>
  <c r="Q47" i="79"/>
  <c r="Q53" i="79" s="1"/>
  <c r="Q65" i="79"/>
  <c r="Q75" i="79" s="1"/>
  <c r="Q65" i="80"/>
  <c r="Q75" i="80" s="1"/>
  <c r="Q56" i="80"/>
  <c r="Q62" i="80" s="1"/>
  <c r="B2" i="80"/>
  <c r="B3"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8" i="1"/>
  <c r="AO6" i="1"/>
  <c r="AO9" i="1"/>
  <c r="B9" i="70" l="1"/>
  <c r="B3" i="15"/>
  <c r="B8" i="70"/>
  <c r="B7" i="70"/>
  <c r="B6" i="70"/>
  <c r="C46" i="15"/>
  <c r="B2" i="69"/>
  <c r="B3" i="69" s="1"/>
  <c r="B2" i="68"/>
  <c r="B3" i="67"/>
  <c r="D2" i="37"/>
  <c r="E2" i="68"/>
  <c r="D2" i="21"/>
  <c r="F20" i="31"/>
  <c r="C19" i="9"/>
  <c r="D2" i="34"/>
  <c r="D2" i="33"/>
  <c r="D2" i="35"/>
  <c r="D2" i="36"/>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I118" i="9"/>
  <c r="C105" i="9" s="1"/>
  <c r="H119" i="9"/>
  <c r="H5" i="52" s="1"/>
  <c r="F4" i="52"/>
  <c r="F119" i="9"/>
  <c r="F5" i="52" s="1"/>
  <c r="D14" i="74"/>
  <c r="H4" i="52"/>
  <c r="D4" i="52"/>
  <c r="H107" i="9"/>
  <c r="B53" i="72" l="1"/>
  <c r="B47" i="72"/>
  <c r="B51" i="72"/>
  <c r="M48" i="9"/>
  <c r="H109" i="9"/>
  <c r="D45" i="9"/>
  <c r="D53" i="9" s="1"/>
  <c r="I4" i="52"/>
  <c r="D5" i="53"/>
  <c r="H102" i="9"/>
  <c r="D7" i="53" s="1"/>
  <c r="E118" i="9"/>
  <c r="E4" i="52" s="1"/>
  <c r="D122" i="9"/>
  <c r="H108" i="9"/>
  <c r="D15" i="53" s="1"/>
  <c r="B31" i="72" s="1"/>
  <c r="D13" i="53"/>
  <c r="E14" i="74"/>
  <c r="B5" i="74"/>
  <c r="F14" i="74"/>
  <c r="B21" i="72" l="1"/>
  <c r="B48" i="72"/>
  <c r="B20" i="72"/>
  <c r="D124" i="9"/>
  <c r="H110" i="9"/>
  <c r="D18" i="53" s="1"/>
  <c r="D16" i="53"/>
  <c r="M49" i="9"/>
  <c r="C93" i="9"/>
  <c r="C86" i="9" s="1"/>
  <c r="D52" i="9"/>
  <c r="C78" i="9"/>
  <c r="C73" i="9" s="1"/>
  <c r="C85" i="9"/>
  <c r="C72" i="9"/>
  <c r="D55" i="9"/>
  <c r="M53" i="9" s="1"/>
  <c r="C64" i="9"/>
  <c r="C63" i="9" s="1"/>
  <c r="D6" i="53"/>
  <c r="D5" i="74"/>
  <c r="C5" i="74"/>
  <c r="D14" i="53"/>
  <c r="B32" i="72" s="1"/>
  <c r="B30" i="72"/>
  <c r="G14" i="74"/>
  <c r="B6" i="74" s="1"/>
  <c r="D123" i="9"/>
  <c r="D9" i="52" s="1"/>
  <c r="D8" i="52"/>
  <c r="B22" i="72" l="1"/>
  <c r="B35" i="72"/>
  <c r="L65" i="9"/>
  <c r="M65" i="9" s="1"/>
  <c r="L67" i="9"/>
  <c r="M67" i="9" s="1"/>
  <c r="L63" i="9"/>
  <c r="M63" i="9" s="1"/>
  <c r="L68" i="9"/>
  <c r="M68" i="9" s="1"/>
  <c r="L64" i="9"/>
  <c r="M64" i="9" s="1"/>
  <c r="L66" i="9"/>
  <c r="M66" i="9" s="1"/>
  <c r="B34" i="72"/>
  <c r="D17" i="53"/>
  <c r="H14" i="74"/>
  <c r="B7" i="74" s="1"/>
  <c r="D125" i="9"/>
  <c r="D11" i="52" s="1"/>
  <c r="D10" i="52"/>
  <c r="C95" i="9"/>
  <c r="C67" i="9"/>
  <c r="C68" i="9" s="1"/>
  <c r="D54" i="9" s="1"/>
  <c r="C79" i="9"/>
  <c r="D6" i="74"/>
  <c r="C6" i="74"/>
  <c r="B36" i="72" l="1"/>
  <c r="M69" i="9"/>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<sst xmlns="http://schemas.openxmlformats.org/spreadsheetml/2006/main" count="9017" uniqueCount="3215">
  <si>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</si>
  <si>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</si>
  <si>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</si>
  <si>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</si>
  <si>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</si>
  <si>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</si>
  <si>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</si>
  <si>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</si>
  <si>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</si>
  <si>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</si>
  <si>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</si>
  <si>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</si>
  <si>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</si>
  <si>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</si>
  <si>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</si>
  <si>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</si>
  <si>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</si>
  <si>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</si>
  <si>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</si>
  <si>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</si>
  <si>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</si>
  <si>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</si>
  <si>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</si>
  <si>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</si>
  <si>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</si>
  <si>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</si>
  <si>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</si>
  <si>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</si>
  <si>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</si>
  <si>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</si>
  <si>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</si>
  <si>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</si>
  <si>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</si>
  <si>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</si>
  <si>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</si>
  <si>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</si>
  <si>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</si>
  <si>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</si>
  <si>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</si>
  <si>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</si>
  <si>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</si>
  <si>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</si>
  <si>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</si>
  <si>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</si>
  <si>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</si>
  <si>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</si>
  <si>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</si>
  <si>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</si>
  <si>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</si>
  <si>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</si>
  <si>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</si>
  <si>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</si>
  <si>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</si>
  <si>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</si>
  <si>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</si>
  <si>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</si>
  <si>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</si>
  <si>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</si>
  <si>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</si>
  <si>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</si>
  <si>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</si>
  <si>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</si>
  <si>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</si>
  <si>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</si>
  <si>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</si>
  <si>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</si>
  <si>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</si>
  <si>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</si>
  <si>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</si>
  <si>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</si>
  <si>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</si>
  <si>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</si>
  <si>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</si>
  <si>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</si>
  <si>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</si>
  <si>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</si>
  <si>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</si>
  <si>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</si>
  <si>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</si>
  <si>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</si>
  <si>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</si>
  <si>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</si>
  <si>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</si>
  <si>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</si>
  <si>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</si>
  <si>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</si>
  <si>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</si>
  <si>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</si>
  <si>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</si>
  <si>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</si>
  <si>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</si>
  <si>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</si>
  <si>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</si>
  <si>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</si>
  <si>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</si>
  <si>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</si>
  <si>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</si>
  <si>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</si>
  <si>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</si>
  <si>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</si>
  <si>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</si>
  <si>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</si>
  <si>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</si>
  <si>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</si>
  <si>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</si>
  <si>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</si>
  <si>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</si>
  <si>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</si>
  <si>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</si>
  <si>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</si>
  <si>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</si>
  <si>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</si>
  <si>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</si>
  <si>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</si>
  <si>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</si>
  <si>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</si>
  <si>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</si>
  <si>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</si>
  <si>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</si>
  <si>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</si>
  <si>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</si>
  <si>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</si>
  <si>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</si>
  <si>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</si>
  <si>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</si>
  <si>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</si>
  <si>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</si>
  <si>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</si>
  <si>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</si>
  <si>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</si>
  <si>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</si>
  <si>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</si>
  <si>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</si>
  <si>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</si>
  <si>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</si>
  <si>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</si>
  <si>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</si>
  <si>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</si>
  <si>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</si>
  <si>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</si>
  <si>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</si>
  <si>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</si>
  <si>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</si>
  <si>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</si>
  <si>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</si>
  <si>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</si>
  <si>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</si>
  <si>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</si>
  <si>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</si>
  <si>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</si>
  <si>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</si>
  <si>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</si>
  <si>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</si>
  <si>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</si>
  <si>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</si>
  <si>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</si>
  <si>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</si>
  <si>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</si>
  <si>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</si>
  <si>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</si>
  <si>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</si>
  <si>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</si>
  <si>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</si>
  <si>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</si>
  <si>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</si>
  <si>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</si>
  <si>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</si>
  <si>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</si>
  <si>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</si>
  <si>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</si>
  <si>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</si>
  <si>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</si>
  <si>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</si>
  <si>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</si>
  <si>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</si>
  <si>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</si>
  <si>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</si>
  <si>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</si>
  <si>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</si>
  <si>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</si>
  <si>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</si>
  <si>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</si>
  <si>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</si>
  <si>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</si>
  <si>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</si>
  <si>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</si>
  <si>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</si>
  <si>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</si>
  <si>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</si>
  <si>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</si>
  <si>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</si>
  <si>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</si>
  <si>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</si>
  <si>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</si>
  <si>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</si>
  <si>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</si>
  <si>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</si>
  <si>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</si>
  <si>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</si>
  <si>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</si>
  <si>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</si>
  <si>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</si>
  <si>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</si>
  <si>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</si>
  <si>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</si>
  <si>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</si>
  <si>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</si>
  <si>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</si>
  <si>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</si>
  <si>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</si>
  <si>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</si>
  <si>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</si>
  <si>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</si>
  <si>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</si>
  <si>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</si>
  <si>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</si>
  <si>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</si>
  <si>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</si>
  <si>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</si>
  <si>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</si>
  <si>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</si>
  <si>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</si>
  <si>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</si>
  <si>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</si>
  <si>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</si>
  <si>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</si>
  <si>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</si>
  <si>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</si>
  <si>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</si>
  <si>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</si>
  <si>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</si>
  <si>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</si>
  <si>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</si>
  <si>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</si>
  <si>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</si>
  <si>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</si>
  <si>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</si>
  <si>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</si>
  <si>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</si>
  <si>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</si>
  <si>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</si>
  <si>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</si>
  <si>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</si>
  <si>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</si>
  <si>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</si>
  <si>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</si>
  <si>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</si>
  <si>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</si>
  <si>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</si>
  <si>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</si>
  <si>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</si>
  <si>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</si>
  <si>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</si>
  <si>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</si>
  <si>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</si>
  <si>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</si>
  <si>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</si>
  <si>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</si>
  <si>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</si>
  <si>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</si>
  <si>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</si>
  <si>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</si>
  <si>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</si>
  <si>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</si>
  <si>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</si>
  <si>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</si>
  <si>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</si>
  <si>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</si>
  <si>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</si>
  <si>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</si>
  <si>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</si>
  <si>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</si>
  <si>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</si>
  <si>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</si>
  <si>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</si>
  <si>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</si>
  <si>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</si>
  <si>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</si>
  <si>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</si>
  <si>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</si>
  <si>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</si>
  <si>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</si>
  <si>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</si>
  <si>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</si>
  <si>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</si>
  <si>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</si>
  <si>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</si>
  <si>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</si>
  <si>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</si>
  <si>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</si>
  <si>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</si>
  <si>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</si>
  <si>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</si>
  <si>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</si>
  <si>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</si>
  <si>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</si>
  <si>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</si>
  <si>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</si>
  <si>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</si>
  <si>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</si>
  <si>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</si>
  <si>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</si>
  <si>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</si>
  <si>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</si>
  <si>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</si>
  <si>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</si>
  <si>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</si>
  <si>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</si>
  <si>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</si>
  <si>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</si>
  <si>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</si>
  <si>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</si>
  <si>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</si>
  <si>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</si>
  <si>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</si>
  <si>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</si>
  <si>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</si>
  <si>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</si>
  <si>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</si>
  <si>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</si>
  <si>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</si>
  <si>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</si>
  <si>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</si>
  <si>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</si>
  <si>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</si>
  <si>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</si>
  <si>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</si>
  <si>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</si>
  <si>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</si>
  <si>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</si>
  <si>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</si>
  <si>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</si>
  <si>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</si>
  <si>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</si>
  <si>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</si>
  <si>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</si>
  <si>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</si>
  <si>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</si>
  <si>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</si>
  <si>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</si>
  <si>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</si>
  <si>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</si>
  <si>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</si>
  <si>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</si>
  <si>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</si>
  <si>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</si>
  <si>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</si>
  <si>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</si>
  <si>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</si>
  <si>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</si>
  <si>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</si>
  <si>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</si>
  <si>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</si>
  <si>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</si>
  <si>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</si>
  <si>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</si>
  <si>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</si>
  <si>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</si>
  <si>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</si>
  <si>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</si>
  <si>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</si>
  <si>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</si>
  <si>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</si>
  <si>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</si>
  <si>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</si>
  <si>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</si>
  <si>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</si>
  <si>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</si>
  <si>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</si>
  <si>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</si>
  <si>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</si>
  <si>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</si>
  <si>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</si>
  <si>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</si>
  <si>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</si>
  <si>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</si>
  <si>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</si>
  <si>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</si>
  <si>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</si>
  <si>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</si>
  <si>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</si>
  <si>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</si>
  <si>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</si>
  <si>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</si>
  <si>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</si>
  <si>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</si>
  <si>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</si>
  <si>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</si>
  <si>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</si>
  <si>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</si>
  <si>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</si>
  <si>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</si>
  <si>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</si>
  <si>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</si>
  <si>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</si>
  <si>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</si>
  <si>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</si>
  <si>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</si>
  <si>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</si>
  <si>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</si>
  <si>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</si>
  <si>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</si>
  <si>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</si>
  <si>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</si>
  <si>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</si>
  <si>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</si>
  <si>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</si>
  <si>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</si>
  <si>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</si>
  <si>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</si>
  <si>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</si>
  <si>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</si>
  <si>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</si>
  <si>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</si>
  <si>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</si>
  <si>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</si>
  <si>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</si>
  <si>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</si>
  <si>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</si>
  <si>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</si>
  <si>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</si>
  <si>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</si>
  <si>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</si>
  <si>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</si>
  <si>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</si>
  <si>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</si>
  <si>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</si>
  <si>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</si>
  <si>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</si>
  <si>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</si>
  <si>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</si>
  <si>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</si>
  <si>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</si>
  <si>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</si>
  <si>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</si>
  <si>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</si>
  <si>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</si>
  <si>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</si>
  <si>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</si>
  <si>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</si>
  <si>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</si>
  <si>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</si>
  <si>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</si>
  <si>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</si>
  <si>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</si>
  <si>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</si>
  <si>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</si>
  <si>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</si>
  <si>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</si>
  <si>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</si>
  <si>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</si>
  <si>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</si>
  <si>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</si>
  <si>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</si>
  <si>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</si>
  <si>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</si>
  <si>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</si>
  <si>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</si>
  <si>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</si>
  <si>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</si>
  <si>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</si>
  <si>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</si>
  <si>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</si>
  <si>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</si>
  <si>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</si>
  <si>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</si>
  <si>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</si>
  <si>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</si>
  <si>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</si>
  <si>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</si>
  <si>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</si>
  <si>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</si>
  <si>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</si>
  <si>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</si>
  <si>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</si>
  <si>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</si>
  <si>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</si>
  <si>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</si>
  <si>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</si>
  <si>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</si>
  <si>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</si>
  <si>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</si>
  <si>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</si>
  <si>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</si>
  <si>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</si>
  <si>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</si>
  <si>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</si>
  <si>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</si>
  <si>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</si>
  <si>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</si>
  <si>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</si>
  <si>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</si>
  <si>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</si>
  <si>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</si>
  <si>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</si>
  <si>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</si>
  <si>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</si>
  <si>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</si>
  <si>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</si>
  <si>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</si>
  <si>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</si>
  <si>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</si>
  <si>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</si>
  <si>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</si>
  <si>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</si>
  <si>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</si>
  <si>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</si>
  <si>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</si>
  <si>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</si>
  <si>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</si>
  <si>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</si>
  <si>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</si>
  <si>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</si>
  <si>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</si>
  <si>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</si>
  <si>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</si>
  <si>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</si>
  <si>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</si>
  <si>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</si>
  <si>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</si>
  <si>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</si>
  <si>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</si>
  <si>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</si>
  <si>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</si>
  <si>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</si>
  <si>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</si>
  <si>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</si>
  <si>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</si>
  <si>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</si>
  <si>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</si>
  <si>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</si>
  <si>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</si>
  <si>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</si>
  <si>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</si>
  <si>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</si>
  <si>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</si>
  <si>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</si>
  <si>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</si>
  <si>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</si>
  <si>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</si>
  <si>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</si>
  <si>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</si>
  <si>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</si>
  <si>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</si>
  <si>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</si>
  <si>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</si>
  <si>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</si>
  <si>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</si>
  <si>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</si>
  <si>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</si>
  <si>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</si>
  <si>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</si>
  <si>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</si>
  <si>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</si>
  <si>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</si>
  <si>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</si>
  <si>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</si>
  <si>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</si>
  <si>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</si>
  <si>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</si>
  <si>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</si>
  <si>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</si>
  <si>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</si>
  <si>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</si>
  <si>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</si>
  <si>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</si>
  <si>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</si>
  <si>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</si>
  <si>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</si>
  <si>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</si>
  <si>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</si>
  <si>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</si>
  <si>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</si>
  <si>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</si>
  <si>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</si>
  <si>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</si>
  <si>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</si>
  <si>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</si>
  <si>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</si>
  <si>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</si>
  <si>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</si>
  <si>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</si>
  <si>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</si>
  <si>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</si>
  <si>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</si>
  <si>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</si>
  <si>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</si>
  <si>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</si>
  <si>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</si>
  <si>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</si>
  <si>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</si>
  <si>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</si>
  <si>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</si>
  <si>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</si>
  <si>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</si>
  <si>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</si>
  <si>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</si>
  <si>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</si>
  <si>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</si>
  <si>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</si>
  <si>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</si>
  <si>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</si>
  <si>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</si>
  <si>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</si>
  <si>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</si>
  <si>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</si>
  <si>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</si>
  <si>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</si>
  <si>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</si>
  <si>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</si>
  <si>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</si>
  <si>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</si>
  <si>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</si>
  <si>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</si>
  <si>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</si>
  <si>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</si>
  <si>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</si>
  <si>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</si>
  <si>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</si>
  <si>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</si>
  <si>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</si>
  <si>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</si>
  <si>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</si>
  <si>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</si>
  <si>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</si>
  <si>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</si>
  <si>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</si>
  <si>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</si>
  <si>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</si>
  <si>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</si>
  <si>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</si>
  <si>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</si>
  <si>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</si>
  <si>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</si>
  <si>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</si>
  <si>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</si>
  <si>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</si>
  <si>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</si>
  <si>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</si>
  <si>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</si>
  <si>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</si>
  <si>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</si>
  <si>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</si>
  <si>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</si>
  <si>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</si>
  <si>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</si>
  <si>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</si>
  <si>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</si>
  <si>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</si>
  <si>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</si>
  <si>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</si>
  <si>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</si>
  <si>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</si>
  <si>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</si>
  <si>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</si>
  <si>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</si>
  <si>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</si>
  <si>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</si>
  <si>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</si>
  <si>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</si>
  <si>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</si>
  <si>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</si>
  <si>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</si>
  <si>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</si>
  <si>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</si>
  <si>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</si>
  <si>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</si>
  <si>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</si>
  <si>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</si>
  <si>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</si>
  <si>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</si>
  <si>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</si>
  <si>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</si>
  <si>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</si>
  <si>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</si>
  <si>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</si>
  <si>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</si>
  <si>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</si>
  <si>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</si>
  <si>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</si>
  <si>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</si>
  <si>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</si>
  <si>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</si>
  <si>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</si>
  <si>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</si>
  <si>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</si>
  <si>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</si>
  <si>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</si>
  <si>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</si>
  <si>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</si>
  <si>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</si>
  <si>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</si>
  <si>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</si>
  <si>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</si>
  <si>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</si>
  <si>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</si>
  <si>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</si>
  <si>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</si>
  <si>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</si>
  <si>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</si>
  <si>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</si>
  <si>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</si>
  <si>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</si>
  <si>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</si>
  <si>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</si>
  <si>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</si>
  <si>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</si>
  <si>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</si>
  <si>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</si>
  <si>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</si>
  <si>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</si>
  <si>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</si>
  <si>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</si>
  <si>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</si>
  <si>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</si>
  <si>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</si>
  <si>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</si>
  <si>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</si>
  <si>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</si>
  <si>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</si>
  <si>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</si>
  <si>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</si>
  <si>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</si>
  <si>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</si>
  <si>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</si>
  <si>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</si>
  <si>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</si>
  <si>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</si>
  <si>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</si>
  <si>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</si>
  <si>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</si>
  <si>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</si>
  <si>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</si>
  <si>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</si>
  <si>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</si>
  <si>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</si>
  <si>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</si>
  <si>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</si>
  <si>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</si>
  <si>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</si>
  <si>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</si>
  <si>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</si>
  <si>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</si>
  <si>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</si>
  <si>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</si>
  <si>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</si>
  <si>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</si>
  <si>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</si>
  <si>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</si>
  <si>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</si>
  <si>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</si>
  <si>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</si>
  <si>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</si>
  <si>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</si>
  <si>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</si>
  <si>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</si>
  <si>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</si>
  <si>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</si>
  <si>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</si>
  <si>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</si>
  <si>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</si>
  <si>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</si>
  <si>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</si>
  <si>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</si>
  <si>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</si>
  <si>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</si>
  <si>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</si>
  <si>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</si>
  <si>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</si>
  <si>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</si>
  <si>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</si>
  <si>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</si>
  <si>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</si>
  <si>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</si>
  <si>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</si>
  <si>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</si>
  <si>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</si>
  <si>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</si>
  <si>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</si>
  <si>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</si>
  <si>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</si>
  <si>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</si>
  <si>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</si>
  <si>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</si>
  <si>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</si>
  <si>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</si>
  <si>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</si>
  <si>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</si>
  <si>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</si>
  <si>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</si>
  <si>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</si>
  <si>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</si>
  <si>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</si>
  <si>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</si>
  <si>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</si>
  <si>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</si>
  <si>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</si>
  <si>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</si>
  <si>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</si>
  <si>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</si>
  <si>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</si>
  <si>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</si>
  <si>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</si>
  <si>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</si>
  <si>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</si>
  <si>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</si>
  <si>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</si>
  <si>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</si>
  <si>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</si>
  <si>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</si>
  <si>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</si>
  <si>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</si>
  <si>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</si>
  <si>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</si>
  <si>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</si>
  <si>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</si>
  <si>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</si>
  <si>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</si>
  <si>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</si>
  <si>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</si>
  <si>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</si>
  <si>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</si>
  <si>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</si>
  <si>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</si>
  <si>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</si>
  <si>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</si>
  <si>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</si>
  <si>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</si>
  <si>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</si>
  <si>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</si>
  <si>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</si>
  <si>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</si>
  <si>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</si>
  <si>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</si>
  <si>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</si>
  <si>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</si>
  <si>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</si>
  <si>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</si>
  <si>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</si>
  <si>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</si>
  <si>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</si>
  <si>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</si>
  <si>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</si>
  <si>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</si>
  <si>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</si>
  <si>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</si>
  <si>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</si>
  <si>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</si>
  <si>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</si>
  <si>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</si>
  <si>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</si>
  <si>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</si>
  <si>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</si>
  <si>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</si>
  <si>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</si>
  <si>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</si>
  <si>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</si>
  <si>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</si>
  <si>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</si>
  <si>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</si>
  <si>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</si>
  <si>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</si>
  <si>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</si>
  <si>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</si>
  <si>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</si>
  <si>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</si>
  <si>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</si>
  <si>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</si>
  <si>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</si>
  <si>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</si>
  <si>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</si>
  <si>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</si>
  <si>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</si>
  <si>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</si>
  <si>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</si>
  <si>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</si>
  <si>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</si>
  <si>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</si>
  <si>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</si>
  <si>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</si>
  <si>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</si>
  <si>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</si>
  <si>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</si>
  <si>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</si>
  <si>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</si>
  <si>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</si>
  <si>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</si>
  <si>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</si>
  <si>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</si>
  <si>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</si>
  <si>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</si>
  <si>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</si>
  <si>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</si>
  <si>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</si>
  <si>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</si>
  <si>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</si>
  <si>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</si>
  <si>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</si>
  <si>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</si>
  <si>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</si>
  <si>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</si>
  <si>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</si>
  <si>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</si>
  <si>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</si>
  <si>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</si>
  <si>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</si>
  <si>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</si>
  <si>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</si>
  <si>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</si>
  <si>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</si>
  <si>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</si>
  <si>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</si>
  <si>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</si>
  <si>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</si>
  <si>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</si>
  <si>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</si>
  <si>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</si>
  <si>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</si>
  <si>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</si>
  <si>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</si>
  <si>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</si>
  <si>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</si>
  <si>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</si>
  <si>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</si>
  <si>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</si>
  <si>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</si>
  <si>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</si>
  <si>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</si>
  <si>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</si>
  <si>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</si>
  <si>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</si>
  <si>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</si>
  <si>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</si>
  <si>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</si>
  <si>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</si>
  <si>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</si>
  <si>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</si>
  <si>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</si>
  <si>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</si>
  <si>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</si>
  <si>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</si>
  <si>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</si>
  <si>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</si>
  <si>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</si>
  <si>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</si>
  <si>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</si>
  <si>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</si>
  <si>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</si>
  <si>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</si>
  <si>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</si>
  <si>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</si>
  <si>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</si>
  <si>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</si>
  <si>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</si>
  <si>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</si>
  <si>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</si>
  <si>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</si>
  <si>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</si>
  <si>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</si>
  <si>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</si>
  <si>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</si>
  <si>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</si>
  <si>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</si>
  <si>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</si>
  <si>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</si>
  <si>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</si>
  <si>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</si>
  <si>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</si>
  <si>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</si>
  <si>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</si>
  <si>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</si>
  <si>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</si>
  <si>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</si>
  <si>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</si>
  <si>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</si>
  <si>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</si>
  <si>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</si>
  <si>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</si>
  <si>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</si>
  <si>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</si>
  <si>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</si>
  <si>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</si>
  <si>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</si>
  <si>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</si>
  <si>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</si>
  <si>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</si>
  <si>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</si>
  <si>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</si>
  <si>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</si>
  <si>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</si>
  <si>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</si>
  <si>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</si>
  <si>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</si>
  <si>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</si>
  <si>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</si>
  <si>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</si>
  <si>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</si>
  <si>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</si>
  <si>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</si>
  <si>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</si>
  <si>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</si>
  <si>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</si>
  <si>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</si>
  <si>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</si>
  <si>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</si>
  <si>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</si>
  <si>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</si>
  <si>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</si>
  <si>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</si>
  <si>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</si>
  <si>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</si>
  <si>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</si>
  <si>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</si>
  <si>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</si>
  <si>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</si>
  <si>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</si>
  <si>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</si>
  <si>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</si>
  <si>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</si>
  <si>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</si>
  <si>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</si>
  <si>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</si>
  <si>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</si>
  <si>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</si>
  <si>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</si>
  <si>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</si>
  <si>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</si>
  <si>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</si>
  <si>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</si>
  <si>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</si>
  <si>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</si>
  <si>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</si>
  <si>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</si>
  <si>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</si>
  <si>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</si>
  <si>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</si>
  <si>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</si>
  <si>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</si>
  <si>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</si>
  <si>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</si>
  <si>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</si>
  <si>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</si>
  <si>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</si>
  <si>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</si>
  <si>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</si>
  <si>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</si>
  <si>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</si>
  <si>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</si>
  <si>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</si>
  <si>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</si>
  <si>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</si>
  <si>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</si>
  <si>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</si>
  <si>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</si>
  <si>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</si>
  <si>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</si>
  <si>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</si>
  <si>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</si>
  <si>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</si>
  <si>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</si>
  <si>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</si>
  <si>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</si>
  <si>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</si>
  <si>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</si>
  <si>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</si>
  <si>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</si>
  <si>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</si>
  <si>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</si>
  <si>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</si>
  <si>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</si>
  <si>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</si>
  <si>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</si>
  <si>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</si>
  <si>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</si>
  <si>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</si>
  <si>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</si>
  <si>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</si>
  <si>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</si>
  <si>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</si>
  <si>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</si>
  <si>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</si>
  <si>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</si>
  <si>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</si>
  <si>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</si>
  <si>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</si>
  <si>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</si>
  <si>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</si>
  <si>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</si>
  <si>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</si>
  <si>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</si>
  <si>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</si>
  <si>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</si>
  <si>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</si>
  <si>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</si>
  <si>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</si>
  <si>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</si>
  <si>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</si>
  <si>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</si>
  <si>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</si>
  <si>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</si>
  <si>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</si>
  <si>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</si>
  <si>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</si>
  <si>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</si>
  <si>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</si>
  <si>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</si>
  <si>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</si>
  <si>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</si>
  <si>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</si>
  <si>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</si>
  <si>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</si>
  <si>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</si>
  <si>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</si>
  <si>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</si>
  <si>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</si>
  <si>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</si>
  <si>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</si>
  <si>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</si>
  <si>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</si>
  <si>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</si>
  <si>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</si>
  <si>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</si>
  <si>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</si>
  <si>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</si>
  <si>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</si>
  <si>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</si>
  <si>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</si>
  <si>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</si>
  <si>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</si>
  <si>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</si>
  <si>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</si>
  <si>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</si>
  <si>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</si>
  <si>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</si>
  <si>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</si>
  <si>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</si>
  <si>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</si>
  <si>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</si>
  <si>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</si>
  <si>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</si>
  <si>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</si>
  <si>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</si>
  <si>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</si>
  <si>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</si>
  <si>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</si>
  <si>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</si>
  <si>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</si>
  <si>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</si>
  <si>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</si>
  <si>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</si>
  <si>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</si>
  <si>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</si>
  <si>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</si>
  <si>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</si>
  <si>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</si>
  <si>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</si>
  <si>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</si>
  <si>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</si>
  <si>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</si>
  <si>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</si>
  <si>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</si>
  <si>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</si>
  <si>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</si>
  <si>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</si>
  <si>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</si>
  <si>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</si>
  <si>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</si>
  <si>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</si>
  <si>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</si>
  <si>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</si>
  <si>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</si>
  <si>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</si>
  <si>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</si>
  <si>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</si>
  <si>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</si>
  <si>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</si>
  <si>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</si>
  <si>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</si>
  <si>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</si>
  <si>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</si>
  <si>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</si>
  <si>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</si>
  <si>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</si>
  <si>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</si>
  <si>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</si>
  <si>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</si>
  <si>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</si>
  <si>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</si>
  <si>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</si>
  <si>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</si>
  <si>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</si>
  <si>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</si>
  <si>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</si>
  <si>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</si>
  <si>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</si>
  <si>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</si>
  <si>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</si>
  <si>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</si>
  <si>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</si>
  <si>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</si>
  <si>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</si>
  <si>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</si>
  <si>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</si>
  <si>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</si>
  <si>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</si>
  <si>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</si>
  <si>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</si>
  <si>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</si>
  <si>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</si>
  <si>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</si>
  <si>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</si>
  <si>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</si>
  <si>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</si>
  <si>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</si>
  <si>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</si>
  <si>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</si>
  <si>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</si>
  <si>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</si>
  <si>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</si>
  <si>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</si>
  <si>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</si>
  <si>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</si>
  <si>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</si>
  <si>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</si>
  <si>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</si>
  <si>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</si>
  <si>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</si>
  <si>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</si>
  <si>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</si>
  <si>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</si>
  <si>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</si>
  <si>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</si>
  <si>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</si>
  <si>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</si>
  <si>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</si>
  <si>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</si>
  <si>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</si>
  <si>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</si>
  <si>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</si>
  <si>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</si>
  <si>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</si>
  <si>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</si>
  <si>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</si>
  <si>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</si>
  <si>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</si>
  <si>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</si>
  <si>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</si>
  <si>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</si>
  <si>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</si>
  <si>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</si>
  <si>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</si>
  <si>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</si>
  <si>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</si>
  <si>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</si>
  <si>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</si>
  <si>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</si>
  <si>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</si>
  <si>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</si>
  <si>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</si>
  <si>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</si>
  <si>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</si>
  <si>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</si>
  <si>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</si>
  <si>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</si>
  <si>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</si>
  <si>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</si>
  <si>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</si>
  <si>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</si>
  <si>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</si>
  <si>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</si>
  <si>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</si>
  <si>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</si>
  <si>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</si>
  <si>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</si>
  <si>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</si>
  <si>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</si>
  <si>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</si>
  <si>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</si>
  <si>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</si>
  <si>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</si>
  <si>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</si>
  <si>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</si>
  <si>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</si>
  <si>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</si>
  <si>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</si>
  <si>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</si>
  <si>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</si>
  <si>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</si>
  <si>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</si>
  <si>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</si>
  <si>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</si>
  <si>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</si>
  <si>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</si>
  <si>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</si>
  <si>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</si>
  <si>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</si>
  <si>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</si>
  <si>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</si>
  <si>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</si>
  <si>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</si>
  <si>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</si>
  <si>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</si>
  <si>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</si>
  <si>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</si>
  <si>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</si>
  <si>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</si>
  <si>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</si>
  <si>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</si>
  <si>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</si>
  <si>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</si>
  <si>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</si>
  <si>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</si>
  <si>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</si>
  <si>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</si>
  <si>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</si>
  <si>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</si>
  <si>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</si>
  <si>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</si>
  <si>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</si>
  <si>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</si>
  <si>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</si>
  <si>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</si>
  <si>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</si>
  <si>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</si>
  <si>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</si>
  <si>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</si>
  <si>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</si>
  <si>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</si>
  <si>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</si>
  <si>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</si>
  <si>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</si>
  <si>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</si>
  <si>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</si>
  <si>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</si>
  <si>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</si>
  <si>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</si>
  <si>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</si>
  <si>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</si>
  <si>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</si>
  <si>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</si>
  <si>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</si>
  <si>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</si>
  <si>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</si>
  <si>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</si>
  <si>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</si>
  <si>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</si>
  <si>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</si>
  <si>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</si>
  <si>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</si>
  <si>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</si>
  <si>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</si>
  <si>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</si>
  <si>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</si>
  <si>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</si>
  <si>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</si>
  <si>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</si>
  <si>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</si>
  <si>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</si>
  <si>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</si>
  <si>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</si>
  <si>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</si>
  <si>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</si>
  <si>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</si>
  <si>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</si>
  <si>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</si>
  <si>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</si>
  <si>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</si>
  <si>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</si>
  <si>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</si>
  <si>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</si>
  <si>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</si>
  <si>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</si>
  <si>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</si>
  <si>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</si>
  <si>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</si>
  <si>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</si>
  <si>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</si>
  <si>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</si>
  <si>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</si>
  <si>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</si>
  <si>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</si>
  <si>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</si>
  <si>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</si>
  <si>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</si>
  <si>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</si>
  <si>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</si>
  <si>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</si>
  <si>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</si>
  <si>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</si>
  <si>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</si>
  <si>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</si>
  <si>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</si>
  <si>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</si>
  <si>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</si>
  <si>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</si>
  <si>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</si>
  <si>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</si>
  <si>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</si>
  <si>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</si>
  <si>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</si>
  <si>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</si>
  <si>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</si>
  <si>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</si>
  <si>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</si>
  <si>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</si>
  <si>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</si>
  <si>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</si>
  <si>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</si>
  <si>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</si>
  <si>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</si>
  <si>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</si>
  <si>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</si>
  <si>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</si>
  <si>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</si>
  <si>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</si>
  <si>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</si>
  <si>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</si>
  <si>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</si>
  <si>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</si>
  <si>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</si>
  <si>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</si>
  <si>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</si>
  <si>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</si>
  <si>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</si>
  <si>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</si>
  <si>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</si>
  <si>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</si>
  <si>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</si>
  <si>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</si>
  <si>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</si>
  <si>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</si>
  <si>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</si>
  <si>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</si>
  <si>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</si>
  <si>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</si>
  <si>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</si>
  <si>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</si>
  <si>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</si>
  <si>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</si>
  <si>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</si>
  <si>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</si>
  <si>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</si>
  <si>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</si>
  <si>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</si>
  <si>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</si>
  <si>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</si>
  <si>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</si>
  <si>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</si>
  <si>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</si>
  <si>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</si>
  <si>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</si>
  <si>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</si>
  <si>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</si>
  <si>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</si>
  <si>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</si>
  <si>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</si>
  <si>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</si>
  <si>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</si>
  <si>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</si>
  <si>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</si>
  <si>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</si>
  <si>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</si>
  <si>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</si>
  <si>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</si>
  <si>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</si>
  <si>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</si>
  <si>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</si>
  <si>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</si>
  <si>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</si>
  <si>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</si>
  <si>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</si>
  <si>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</si>
  <si>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</si>
  <si>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</si>
  <si>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</si>
  <si>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</si>
  <si>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</si>
  <si>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</si>
  <si>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</si>
  <si>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</si>
  <si>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</si>
  <si>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</si>
  <si>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</si>
  <si>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</si>
  <si>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</si>
  <si>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</si>
  <si>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</si>
  <si>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</si>
  <si>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</si>
  <si>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</si>
  <si>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</si>
  <si>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</si>
  <si>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</si>
  <si>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</si>
  <si>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</si>
  <si>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</si>
  <si>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</si>
  <si>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</si>
  <si>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</si>
  <si>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</si>
  <si>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</si>
  <si>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</si>
  <si>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</si>
  <si>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</si>
  <si>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</si>
  <si>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</si>
  <si>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</si>
  <si>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</si>
  <si>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</si>
  <si>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</si>
  <si>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</si>
  <si>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</si>
  <si>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</si>
  <si>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</si>
  <si>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</si>
  <si>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</si>
  <si>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</si>
  <si>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</si>
  <si>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</si>
  <si>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</si>
  <si>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</si>
  <si>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</si>
  <si>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</si>
  <si>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</si>
  <si>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</si>
  <si>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</si>
  <si>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</si>
  <si>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</si>
  <si>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</si>
  <si>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</si>
  <si>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</si>
  <si>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</si>
  <si>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</si>
  <si>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</si>
  <si>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</si>
  <si>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</si>
  <si>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</si>
  <si>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</si>
  <si>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</si>
  <si>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</si>
  <si>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</si>
  <si>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</si>
  <si>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</si>
  <si>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</si>
  <si>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</si>
  <si>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</si>
  <si>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</si>
  <si>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</si>
  <si>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</si>
  <si>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</si>
  <si>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</si>
  <si>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</si>
  <si>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</si>
  <si>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</si>
  <si>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</si>
  <si>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</si>
  <si>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</si>
  <si>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</si>
  <si>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</si>
  <si>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</si>
  <si>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</si>
  <si>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</si>
  <si>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</si>
  <si>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</si>
  <si>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</si>
  <si>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</si>
  <si>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</si>
  <si>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</si>
  <si>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</si>
  <si>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</si>
  <si>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</si>
  <si>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</si>
  <si>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</si>
  <si>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</si>
  <si>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</si>
  <si>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</si>
  <si>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</si>
  <si>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</si>
  <si>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</si>
  <si>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</si>
  <si>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</si>
  <si>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</si>
  <si>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</si>
  <si>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</si>
  <si>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</si>
  <si>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</si>
  <si>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</si>
  <si>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</si>
  <si>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</si>
  <si>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</si>
  <si>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</si>
  <si>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</si>
  <si>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</si>
  <si>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</si>
  <si>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</si>
  <si>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</si>
  <si>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</si>
  <si>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</si>
  <si>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</si>
  <si>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</si>
  <si>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</si>
  <si>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</si>
  <si>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</si>
  <si>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</si>
  <si>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</si>
  <si>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</si>
  <si>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</si>
  <si>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</si>
  <si>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</si>
  <si>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</si>
  <si>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</si>
  <si>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</si>
  <si>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</si>
  <si>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</si>
  <si>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</si>
  <si>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</si>
  <si>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</si>
  <si>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</si>
  <si>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</si>
  <si>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</si>
  <si>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</si>
  <si>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</si>
  <si>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</si>
  <si>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</si>
  <si>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</si>
  <si>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</si>
  <si>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</si>
  <si>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</si>
  <si>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</si>
  <si>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</si>
  <si>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</si>
  <si>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</si>
  <si>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</si>
  <si>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</si>
  <si>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</si>
  <si>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</si>
  <si>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</si>
  <si>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</si>
  <si>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</si>
  <si>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</si>
  <si>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</si>
  <si>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</si>
  <si>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</si>
  <si>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</si>
  <si>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</si>
  <si>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</si>
  <si>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</si>
  <si>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</si>
  <si>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</si>
  <si>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</si>
  <si>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</si>
  <si>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</si>
  <si>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</si>
  <si>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</si>
  <si>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</si>
  <si>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</si>
  <si>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</si>
  <si>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</si>
  <si>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</si>
  <si>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</si>
  <si>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</si>
  <si>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</si>
  <si>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</si>
  <si>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</si>
  <si>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</si>
  <si>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</si>
  <si>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</si>
  <si>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</si>
  <si>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</si>
  <si>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</si>
  <si>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</si>
  <si>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</si>
  <si>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</si>
  <si>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</si>
  <si>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</si>
  <si>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</si>
  <si>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</si>
  <si>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</si>
  <si>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</si>
  <si>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</si>
  <si>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</si>
  <si>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</si>
  <si>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</si>
  <si>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</si>
  <si>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</si>
  <si>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</si>
  <si>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</si>
  <si>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</si>
  <si>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</si>
  <si>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</si>
  <si>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</si>
  <si>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</si>
  <si>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</si>
  <si>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</si>
  <si>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</si>
  <si>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</si>
  <si>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</si>
  <si>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</si>
  <si>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</si>
  <si>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</si>
  <si>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</si>
  <si>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</si>
  <si>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</si>
  <si>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</si>
  <si>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</si>
  <si>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</si>
  <si>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</si>
  <si>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</si>
  <si>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</si>
  <si>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</si>
  <si>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</si>
  <si>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</si>
  <si>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</si>
  <si>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</si>
  <si>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</si>
  <si>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</si>
  <si>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</si>
  <si>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</si>
  <si>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</si>
  <si>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</si>
  <si>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</si>
  <si>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</si>
  <si>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</si>
  <si>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</si>
  <si>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</si>
  <si>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</si>
  <si>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</si>
  <si>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</si>
  <si>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</si>
  <si>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</si>
  <si>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</si>
  <si>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</si>
  <si>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</si>
  <si>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</si>
  <si>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</si>
  <si>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</si>
  <si>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</si>
  <si>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</si>
  <si>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</si>
  <si>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</si>
  <si>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</si>
  <si>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</si>
  <si>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</si>
  <si>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</si>
  <si>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</si>
  <si>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</si>
  <si>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</si>
  <si>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</si>
  <si>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</si>
  <si>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</si>
  <si>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</si>
  <si>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</si>
  <si>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</si>
  <si>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</si>
  <si>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</si>
  <si>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</si>
  <si>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</si>
  <si>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</si>
  <si>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</si>
  <si>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</si>
  <si>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</si>
  <si>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</si>
  <si>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</si>
  <si>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</si>
  <si>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</si>
  <si>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</si>
  <si>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</si>
  <si>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</si>
  <si>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</si>
  <si>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</si>
  <si>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</si>
  <si>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</si>
  <si>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</si>
  <si>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</si>
  <si>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</si>
  <si>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</si>
  <si>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</si>
  <si>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</si>
  <si>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</si>
  <si>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</si>
  <si>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</si>
  <si>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</si>
  <si>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</si>
  <si>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</si>
  <si>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</si>
  <si>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</si>
  <si>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</si>
  <si>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</si>
  <si>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</si>
  <si>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</si>
  <si>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</si>
  <si>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</si>
  <si>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</si>
  <si>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</si>
  <si>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</si>
  <si>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</si>
  <si>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</si>
  <si>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</si>
  <si>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</si>
  <si>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</si>
  <si>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</si>
  <si>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</si>
  <si>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</si>
  <si>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</si>
  <si>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</si>
  <si>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</si>
  <si>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</si>
  <si>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</si>
  <si>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</si>
  <si>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</si>
  <si>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</si>
  <si>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</si>
  <si>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</si>
  <si>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</si>
  <si>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</si>
  <si>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</si>
  <si>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</si>
  <si>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</si>
  <si>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</si>
  <si>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</si>
  <si>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</si>
  <si>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</si>
  <si>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</si>
  <si>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</si>
  <si>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</si>
  <si>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</si>
  <si>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</si>
  <si>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</si>
  <si>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</si>
  <si>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</si>
  <si>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</si>
  <si>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</si>
  <si>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</si>
  <si>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</si>
  <si>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</si>
  <si>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</si>
  <si>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</si>
  <si>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</si>
  <si>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</si>
  <si>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</si>
  <si>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</si>
  <si>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</si>
  <si>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</si>
  <si>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</si>
  <si>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</si>
  <si>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</si>
  <si>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</si>
  <si>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</si>
  <si>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</si>
  <si>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</si>
  <si>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</si>
  <si>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</si>
  <si>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</si>
  <si>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</si>
  <si>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</si>
  <si>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</si>
  <si>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</si>
  <si>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</si>
  <si>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</si>
  <si>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</si>
  <si>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</si>
  <si>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</si>
  <si>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</si>
  <si>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</si>
  <si>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</si>
  <si>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</si>
  <si>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</si>
  <si>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</si>
  <si>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</si>
  <si>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</si>
  <si>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</si>
  <si>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</si>
  <si>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</si>
  <si>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</si>
  <si>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</si>
  <si>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</si>
  <si>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</si>
  <si>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</si>
  <si>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</si>
  <si>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</si>
  <si>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</si>
  <si>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</si>
  <si>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</si>
  <si>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</si>
  <si>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</si>
  <si>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</si>
  <si>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</si>
  <si>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</si>
  <si>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</si>
  <si>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</si>
  <si>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</si>
  <si>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</si>
  <si>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</si>
  <si>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</si>
  <si>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</si>
  <si>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</si>
  <si>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</si>
  <si>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</si>
  <si>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</si>
  <si>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</si>
  <si>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</si>
  <si>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</si>
  <si>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</si>
  <si>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</si>
  <si>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</si>
  <si>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</si>
  <si>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</si>
  <si>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</si>
  <si>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</si>
  <si>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</si>
  <si>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</si>
  <si>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</si>
  <si>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</si>
  <si>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</si>
  <si>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</si>
  <si>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</si>
  <si>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</si>
  <si>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</si>
  <si>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</si>
  <si>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</si>
  <si>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</si>
  <si>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</si>
  <si>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</si>
  <si>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</si>
  <si>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</si>
  <si>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</si>
  <si>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</si>
  <si>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</si>
  <si>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</si>
  <si>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</si>
  <si>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</si>
  <si>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</si>
  <si>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</si>
  <si>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</si>
  <si>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</si>
  <si>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</si>
  <si>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</si>
  <si>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</si>
  <si>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</si>
  <si>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</si>
  <si>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</si>
  <si>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</si>
  <si>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</si>
  <si>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</si>
  <si>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</si>
  <si>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</si>
  <si>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</si>
  <si>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</si>
  <si>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</si>
  <si>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</si>
  <si>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</si>
  <si>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</si>
  <si>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</si>
  <si>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</si>
  <si>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</si>
  <si>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</si>
  <si>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</si>
  <si>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</si>
  <si>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</si>
  <si>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</si>
  <si>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</si>
  <si>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</si>
  <si>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</si>
  <si>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</si>
  <si>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</si>
  <si>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</si>
  <si>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</si>
  <si>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</si>
  <si>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</si>
  <si>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</si>
  <si>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</si>
  <si>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</si>
  <si>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</si>
  <si>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</si>
  <si>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</si>
  <si>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</si>
  <si>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</si>
  <si>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</si>
  <si>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</si>
  <si>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</si>
  <si>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</si>
  <si>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</si>
  <si>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</si>
  <si>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</si>
  <si>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</si>
  <si>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</si>
  <si>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</si>
  <si>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</si>
  <si>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</si>
  <si>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</si>
  <si>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</si>
  <si>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</si>
  <si>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</si>
  <si>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</si>
  <si>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</si>
  <si>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</si>
  <si>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</si>
  <si>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</si>
  <si>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</si>
  <si>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</si>
  <si>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</si>
  <si>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</si>
  <si>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</si>
  <si>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</si>
  <si>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</si>
  <si>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</si>
  <si>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</si>
  <si>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</si>
  <si>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</si>
  <si>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</si>
  <si>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</si>
  <si>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</si>
  <si>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</si>
  <si>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</si>
  <si>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</si>
  <si>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</si>
  <si>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</si>
  <si>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</si>
  <si>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</si>
  <si>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</si>
  <si>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</si>
  <si>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</si>
  <si>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</si>
  <si>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</si>
  <si>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</si>
  <si>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</si>
  <si>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</si>
  <si>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</si>
  <si>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</si>
  <si>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</si>
  <si>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</si>
  <si>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</si>
  <si>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</si>
  <si>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</si>
  <si>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</si>
  <si>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</si>
  <si>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</si>
  <si>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</si>
  <si>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</si>
  <si>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</si>
  <si>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</si>
  <si>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</si>
  <si>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</si>
  <si>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</si>
  <si>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</si>
  <si>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</si>
  <si>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</si>
  <si>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</si>
  <si>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</si>
  <si>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</si>
  <si>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</si>
  <si>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</si>
  <si>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</si>
  <si>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</si>
  <si>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</si>
  <si>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</si>
  <si>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</si>
  <si>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</si>
  <si>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</si>
  <si>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</si>
  <si>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</si>
  <si>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</si>
  <si>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</si>
  <si>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</si>
  <si>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</si>
  <si>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</si>
  <si>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</si>
  <si>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</si>
  <si>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</si>
  <si>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</si>
  <si>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</si>
  <si>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</si>
  <si>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</si>
  <si>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</si>
  <si>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</si>
  <si>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</si>
  <si>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</si>
  <si>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</si>
  <si>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</si>
  <si>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</si>
  <si>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</si>
  <si>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</si>
  <si>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</si>
  <si>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</si>
  <si>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</si>
  <si>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</si>
  <si>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</si>
  <si>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</si>
  <si>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</si>
  <si>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</si>
  <si>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</si>
  <si>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</si>
  <si>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</si>
  <si>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</si>
  <si>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</si>
  <si>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</si>
  <si>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</si>
  <si>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</si>
  <si>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</si>
  <si>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</si>
  <si>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</si>
  <si>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</si>
  <si>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</si>
  <si>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</si>
  <si>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</si>
  <si>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</si>
  <si>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</si>
  <si>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</si>
  <si>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</si>
  <si>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</si>
  <si>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</si>
  <si>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</si>
  <si>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</si>
  <si>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</si>
  <si>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</si>
  <si>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</si>
  <si>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</si>
  <si>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</si>
  <si>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</si>
  <si>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</si>
  <si>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</si>
  <si>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</si>
  <si>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</si>
  <si>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</si>
  <si>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</si>
  <si>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</si>
  <si>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</si>
  <si>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</si>
  <si>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</si>
  <si>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</si>
  <si>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</si>
  <si>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</si>
  <si>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</si>
  <si>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</si>
  <si>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</si>
  <si>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</si>
  <si>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</si>
  <si>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</si>
  <si>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</si>
  <si>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</si>
  <si>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</si>
  <si>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</si>
  <si>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</si>
  <si>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</si>
  <si>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</si>
  <si>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</si>
  <si>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</si>
  <si>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</si>
  <si>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</si>
  <si>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</si>
  <si>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</si>
  <si>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</si>
  <si>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</si>
  <si>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</si>
  <si>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</si>
  <si>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</si>
  <si>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</si>
  <si>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</si>
  <si>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</si>
  <si>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</si>
  <si>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</si>
  <si>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</si>
  <si>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</si>
  <si>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</si>
  <si>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</si>
  <si>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</si>
  <si>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</si>
  <si>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</si>
  <si>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</si>
  <si>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</si>
  <si>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</si>
  <si>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</si>
  <si>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</si>
  <si>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</si>
  <si>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</si>
  <si>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</si>
  <si>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</si>
  <si>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</si>
  <si>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</si>
  <si>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</si>
  <si>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</si>
  <si>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</si>
  <si>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</si>
  <si>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</si>
  <si>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</si>
  <si>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</si>
  <si>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</si>
  <si>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</si>
  <si>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</si>
  <si>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</si>
  <si>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</si>
  <si>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</si>
  <si>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</si>
  <si>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</si>
  <si>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</si>
  <si>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</si>
  <si>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</si>
  <si>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</si>
  <si>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</si>
  <si>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</si>
  <si>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</si>
  <si>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</si>
  <si>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</si>
  <si>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</si>
  <si>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</si>
  <si>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</si>
  <si>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</si>
  <si>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</si>
  <si>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</si>
  <si>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</si>
  <si>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</si>
  <si>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</si>
  <si>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</si>
  <si>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</si>
  <si>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</si>
  <si>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</si>
  <si>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</si>
  <si>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</si>
  <si>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</si>
  <si>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</si>
  <si>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</si>
  <si>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</si>
  <si>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</si>
  <si>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</si>
  <si>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</si>
  <si>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</si>
  <si>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</si>
  <si>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</si>
  <si>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</si>
  <si>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</si>
  <si>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</si>
  <si>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</si>
  <si>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</si>
  <si>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</si>
  <si>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</si>
  <si>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</si>
  <si>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</si>
  <si>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</si>
  <si>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</si>
  <si>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</si>
  <si>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</si>
  <si>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</si>
  <si>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</si>
  <si>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</si>
  <si>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</si>
  <si>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</si>
  <si>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</si>
  <si>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</si>
  <si>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</si>
  <si>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</si>
  <si>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</si>
  <si>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</si>
  <si>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</si>
  <si>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</si>
  <si>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</si>
  <si>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</si>
  <si>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</si>
  <si>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</si>
  <si>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</si>
  <si>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</si>
  <si>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</si>
  <si>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</si>
  <si>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</si>
  <si>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</si>
  <si>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</si>
  <si>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</si>
  <si>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</si>
  <si>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</si>
  <si>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</si>
  <si>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</si>
  <si>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</si>
  <si>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</si>
  <si>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</si>
  <si>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</si>
  <si>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</si>
  <si>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</si>
  <si>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</si>
  <si>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</si>
  <si>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</si>
  <si>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</si>
  <si>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</si>
  <si>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</si>
  <si>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</si>
  <si>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</si>
  <si>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</si>
  <si>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</si>
  <si>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</si>
  <si>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</si>
  <si>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</si>
  <si>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</si>
  <si>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</si>
  <si>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</si>
  <si>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</si>
  <si>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</si>
  <si>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</si>
  <si>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</si>
  <si>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</si>
  <si>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</si>
  <si>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</si>
  <si>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</si>
  <si>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</si>
  <si>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</si>
  <si>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</si>
  <si>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</si>
  <si>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</si>
  <si>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</si>
  <si>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</si>
  <si>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</si>
  <si>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</si>
  <si>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</si>
  <si>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</si>
  <si>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</si>
  <si>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</si>
  <si>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</si>
  <si>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</si>
  <si>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</si>
  <si>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</si>
  <si>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</si>
  <si>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</si>
  <si>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</si>
  <si>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</si>
  <si>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</si>
  <si>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</si>
  <si>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</si>
  <si>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</si>
  <si>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</si>
  <si>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</si>
  <si>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</si>
  <si>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</si>
  <si>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</si>
  <si>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</si>
  <si>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</si>
  <si>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</si>
  <si>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</si>
  <si>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</si>
  <si>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</si>
  <si>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</si>
  <si>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</si>
  <si>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</si>
  <si>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</si>
  <si>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</si>
  <si>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</si>
  <si>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</si>
  <si>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</si>
  <si>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</si>
  <si>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</si>
  <si>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</si>
  <si>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</si>
  <si>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</si>
  <si>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</si>
  <si>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</si>
  <si>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</si>
  <si>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</si>
  <si>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</si>
  <si>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</si>
  <si>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</si>
  <si>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</si>
  <si>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</si>
  <si>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</si>
  <si>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</si>
  <si>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</si>
  <si>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</si>
  <si>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</si>
  <si>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</si>
  <si>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</si>
  <si>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</si>
  <si>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</si>
  <si>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</si>
  <si>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</si>
  <si>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</si>
  <si>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</si>
  <si>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</si>
  <si>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</si>
  <si>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</si>
  <si>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</si>
  <si>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</si>
  <si>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</si>
  <si>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</si>
  <si>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</si>
  <si>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</si>
  <si>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</si>
  <si>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</si>
  <si>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</si>
  <si>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</si>
  <si>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</si>
  <si>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</si>
  <si>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</si>
  <si>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</si>
  <si>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</si>
  <si>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</si>
  <si>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</si>
  <si>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</si>
  <si>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</si>
  <si>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</si>
  <si>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</si>
  <si>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</si>
  <si>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</si>
  <si>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</si>
  <si>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</si>
  <si>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</si>
  <si>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</si>
  <si>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</si>
  <si>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</si>
  <si>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</si>
  <si>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</si>
  <si>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</si>
  <si>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</si>
  <si>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</si>
  <si>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</si>
  <si>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</si>
  <si>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</si>
  <si>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</si>
  <si>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</si>
  <si>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</si>
  <si>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</si>
  <si>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</si>
  <si>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</si>
  <si>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</si>
  <si>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</si>
  <si>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</si>
  <si>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</si>
  <si>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</si>
  <si>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</si>
  <si>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</si>
  <si>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</si>
  <si>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</si>
  <si>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</si>
  <si>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</si>
  <si>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</si>
  <si>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</si>
  <si>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</si>
  <si>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</si>
  <si>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</si>
  <si>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</si>
  <si>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</si>
  <si>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</si>
  <si>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</si>
  <si>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</si>
  <si>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</si>
  <si>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</si>
  <si>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</si>
  <si>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</si>
  <si>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</si>
  <si>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</si>
  <si>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</si>
  <si>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</si>
  <si>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</si>
  <si>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</si>
  <si>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</si>
  <si>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</si>
  <si>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</si>
  <si>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</si>
  <si>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</si>
  <si>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</si>
  <si>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</si>
  <si>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</si>
  <si>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</si>
  <si>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</si>
  <si>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</si>
  <si>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</si>
  <si>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</si>
  <si>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</si>
  <si>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</si>
  <si>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</si>
  <si>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</si>
  <si>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</si>
  <si>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</si>
  <si>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</si>
  <si>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</si>
  <si>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</si>
  <si>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</si>
  <si>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</si>
  <si>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</si>
  <si>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</si>
  <si>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</si>
  <si>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</si>
  <si>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</si>
  <si>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</si>
  <si>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</si>
  <si>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</si>
  <si>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</si>
  <si>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</si>
  <si>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</si>
  <si>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</si>
  <si>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</si>
  <si>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</si>
  <si>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</si>
  <si>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</si>
  <si>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</si>
  <si>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</si>
  <si>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</si>
  <si>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</si>
  <si>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</si>
  <si>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</si>
  <si>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</si>
  <si>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</si>
  <si>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</si>
  <si>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</si>
  <si>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</si>
  <si>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</si>
  <si>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</si>
  <si>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</si>
  <si>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</si>
  <si>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</si>
  <si>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</si>
  <si>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</si>
  <si>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</si>
  <si>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</si>
  <si>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</si>
  <si>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</si>
  <si>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</si>
  <si>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</si>
  <si>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</si>
  <si>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</si>
  <si>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</si>
  <si>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</si>
  <si>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</si>
  <si>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</si>
  <si>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</si>
  <si>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</si>
  <si>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</si>
  <si>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</si>
  <si>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</si>
  <si>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</si>
  <si>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</si>
  <si>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</si>
  <si>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</si>
  <si>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</si>
  <si>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</si>
  <si>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</si>
  <si>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</si>
  <si>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</si>
  <si>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</si>
  <si>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</si>
  <si>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</si>
  <si>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</si>
  <si>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</si>
  <si>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</si>
  <si>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</si>
  <si>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</si>
  <si>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</si>
  <si>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</si>
  <si>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</si>
  <si>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</si>
  <si>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</si>
  <si>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</si>
  <si>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</si>
  <si>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</si>
  <si>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</si>
  <si>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</si>
  <si>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</si>
  <si>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</si>
  <si>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</si>
  <si>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</si>
  <si>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</si>
  <si>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</si>
  <si>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</si>
  <si>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</si>
  <si>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</si>
  <si>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</si>
  <si>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</si>
  <si>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</si>
  <si>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</si>
  <si>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</si>
  <si>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</si>
  <si>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</si>
  <si>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</si>
  <si>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</si>
  <si>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</si>
  <si>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</si>
  <si>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</si>
  <si>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</si>
  <si>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</si>
  <si>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</si>
  <si>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</si>
  <si>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</si>
  <si>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</si>
  <si>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</si>
  <si>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</si>
  <si>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</si>
  <si>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</si>
  <si>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</si>
  <si>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</si>
  <si>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</si>
  <si>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</si>
  <si>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</si>
  <si>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</si>
  <si>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</si>
  <si>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</si>
  <si>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</si>
  <si>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</si>
  <si>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</si>
  <si>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</si>
  <si>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</si>
  <si>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</si>
  <si>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</si>
  <si>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</si>
  <si>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</si>
  <si>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</si>
  <si>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</si>
  <si>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</si>
  <si>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</si>
  <si>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</si>
  <si>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</si>
  <si>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</si>
  <si>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</si>
  <si>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</si>
  <si>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</si>
  <si>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</si>
  <si>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</si>
  <si>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</si>
  <si>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</si>
  <si>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</si>
  <si>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</si>
  <si>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</si>
  <si>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</si>
  <si>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</si>
  <si>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</si>
  <si>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</si>
  <si>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</si>
  <si>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</si>
  <si>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</si>
  <si>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</si>
  <si>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</si>
  <si>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</si>
  <si>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</si>
  <si>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</si>
  <si>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</si>
  <si>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</si>
  <si>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</si>
  <si>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</si>
  <si>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</si>
  <si>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</si>
  <si>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</si>
  <si>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</si>
  <si>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</si>
  <si>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</si>
  <si>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</si>
  <si>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</si>
  <si>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</si>
  <si>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</si>
  <si>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</si>
  <si>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</si>
  <si>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</si>
  <si>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</si>
  <si>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</si>
  <si>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</si>
  <si>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</si>
  <si>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</si>
  <si>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</si>
  <si>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</si>
  <si>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</si>
  <si>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</si>
  <si>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</si>
  <si>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</si>
  <si>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</si>
  <si>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</si>
  <si>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</si>
  <si>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</si>
  <si>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</si>
  <si>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</si>
  <si>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</si>
  <si>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</si>
  <si>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</si>
  <si>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</si>
  <si>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</si>
  <si>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</si>
  <si>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</si>
  <si>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</si>
  <si>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</si>
  <si>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</si>
  <si>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</si>
  <si>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</si>
  <si>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</si>
  <si>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</si>
  <si>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</si>
  <si>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</si>
  <si>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</si>
  <si>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</si>
  <si>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</si>
  <si>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</si>
  <si>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</si>
  <si>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</si>
  <si>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</si>
  <si>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</si>
  <si>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</si>
  <si>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</si>
  <si>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</si>
  <si>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</si>
  <si>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</si>
  <si>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</si>
  <si>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</si>
  <si>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</si>
  <si>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</si>
  <si>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</si>
  <si>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</si>
  <si>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</si>
  <si>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</si>
  <si>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</si>
  <si>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</si>
  <si>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</si>
  <si>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</si>
  <si>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</si>
  <si>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</si>
  <si>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</si>
  <si>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</si>
  <si>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</si>
  <si>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</si>
  <si>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</si>
  <si>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</si>
  <si>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</si>
  <si>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</si>
  <si>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</si>
  <si>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</si>
  <si>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</si>
  <si>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</si>
  <si>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</si>
  <si>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</si>
  <si>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</si>
  <si>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</si>
  <si>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</si>
  <si>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</si>
  <si>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</si>
  <si>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</si>
  <si>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</si>
  <si>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</si>
  <si>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</si>
  <si>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</si>
  <si>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</si>
  <si>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</si>
  <si>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</si>
  <si>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</si>
  <si>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</si>
  <si>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</si>
  <si>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</si>
  <si>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</si>
  <si>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</si>
  <si>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</si>
  <si>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</si>
  <si>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</si>
  <si>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</si>
  <si>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</si>
  <si>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</si>
  <si>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</si>
  <si>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</si>
  <si>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</si>
  <si>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</si>
  <si>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</si>
  <si>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</si>
  <si>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</si>
  <si>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</si>
  <si>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</si>
  <si>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</si>
  <si>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</si>
  <si>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</si>
  <si>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</si>
  <si>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</si>
  <si>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</si>
  <si>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</si>
  <si>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</si>
  <si>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</si>
  <si>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</si>
  <si>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</si>
  <si>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</si>
  <si>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</si>
  <si>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</si>
  <si>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</si>
  <si>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</si>
  <si>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</si>
  <si>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</si>
  <si>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</si>
  <si>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</si>
  <si>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</si>
  <si>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</si>
  <si>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</si>
  <si>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</si>
  <si>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</si>
  <si>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</si>
  <si>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</si>
  <si>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</si>
  <si>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</si>
  <si>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</si>
  <si>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</si>
  <si>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</si>
  <si>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</si>
  <si>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</si>
  <si>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</si>
  <si>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</si>
  <si>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</si>
  <si>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</si>
  <si>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</si>
  <si>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</si>
  <si>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</si>
  <si>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</si>
  <si>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</si>
  <si>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</si>
  <si>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</si>
  <si>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</si>
  <si>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</si>
  <si>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</si>
  <si>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</si>
  <si>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</si>
  <si>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</si>
  <si>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</si>
  <si>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</si>
  <si>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</si>
  <si>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</si>
  <si>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</si>
  <si>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</si>
  <si>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</si>
  <si>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</si>
  <si>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</si>
  <si>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</si>
  <si>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</si>
  <si>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</si>
  <si>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</si>
  <si>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</si>
  <si>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</si>
  <si>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</si>
  <si>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</si>
  <si>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</si>
  <si>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</si>
  <si>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</si>
  <si>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</si>
  <si>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</si>
  <si>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</si>
  <si>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</si>
  <si>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</si>
  <si>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</si>
  <si>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</si>
  <si>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</si>
  <si>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</si>
  <si>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</si>
  <si>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</si>
  <si>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</si>
  <si>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</si>
  <si>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</si>
  <si>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</si>
  <si>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</si>
  <si>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</si>
  <si>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</si>
  <si>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</si>
  <si>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</si>
  <si>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</si>
  <si>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</si>
  <si>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</si>
  <si>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</si>
  <si>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</si>
  <si>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</si>
  <si>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</si>
  <si>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</si>
  <si>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</si>
  <si>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</si>
  <si>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</si>
  <si>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</si>
  <si>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</si>
  <si>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</si>
  <si>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</si>
  <si>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</si>
  <si>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</si>
  <si>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</si>
  <si>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</si>
  <si>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</si>
  <si>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</si>
  <si>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</si>
  <si>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</si>
  <si>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</si>
  <si>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</si>
  <si>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</si>
  <si>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</si>
  <si>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</si>
  <si>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</si>
  <si>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</si>
  <si>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</si>
  <si>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</si>
  <si>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</si>
  <si>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</si>
  <si>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</si>
  <si>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</si>
  <si>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</si>
  <si>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</si>
  <si>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</si>
  <si>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</si>
  <si>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</si>
  <si>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</si>
  <si>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</si>
  <si>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</si>
  <si>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</si>
  <si>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</si>
  <si>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</si>
  <si>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</si>
  <si>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</si>
  <si>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</si>
  <si>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</si>
  <si>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</si>
  <si>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</si>
  <si>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</si>
  <si>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</si>
  <si>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</si>
  <si>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</si>
  <si>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</si>
  <si>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</si>
  <si>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</si>
  <si>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</si>
  <si>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</si>
  <si>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</si>
  <si>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</si>
  <si>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</si>
  <si>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</si>
  <si>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</si>
  <si>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</si>
  <si>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</si>
  <si>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</si>
  <si>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</si>
  <si>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</si>
  <si>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</si>
  <si>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</si>
  <si>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</si>
  <si>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</si>
  <si>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</si>
  <si>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</si>
  <si>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</si>
  <si>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</si>
  <si>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</si>
  <si>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</si>
  <si>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</si>
  <si>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</si>
  <si>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</si>
  <si>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</si>
  <si>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</si>
  <si>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</si>
  <si>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</si>
  <si>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</si>
  <si>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</si>
  <si>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</si>
  <si>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</si>
  <si>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</si>
  <si>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</si>
  <si>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</si>
  <si>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</si>
  <si>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</si>
  <si>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</si>
  <si>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</si>
  <si>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</si>
  <si>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</si>
  <si>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</si>
  <si>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</si>
  <si>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</si>
  <si>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</si>
  <si>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</si>
  <si>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</si>
  <si>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</si>
  <si>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</si>
  <si>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</si>
  <si>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</si>
  <si>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</si>
  <si>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</si>
  <si>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</si>
  <si>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</si>
  <si>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</si>
  <si>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</si>
  <si>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</si>
  <si>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</si>
  <si>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</si>
  <si>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</si>
  <si>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</si>
  <si>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</si>
  <si>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</si>
  <si>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</si>
  <si>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</si>
  <si>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</si>
  <si>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</si>
  <si>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</si>
  <si>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</si>
  <si>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</si>
  <si>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</si>
  <si>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</si>
  <si>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</si>
  <si>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</si>
  <si>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</si>
  <si>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</si>
  <si>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</si>
  <si>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</si>
  <si>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</si>
  <si>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</si>
  <si>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</si>
  <si>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</si>
  <si>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</si>
  <si>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</si>
  <si>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</si>
  <si>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</si>
  <si>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</si>
  <si>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</si>
  <si>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</si>
  <si>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</si>
  <si>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</si>
  <si>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</si>
  <si>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</si>
  <si>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</si>
  <si>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</si>
  <si>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</si>
  <si>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</si>
  <si>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</si>
  <si>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</si>
  <si>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</si>
  <si>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</si>
  <si>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</si>
  <si>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</si>
  <si>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</si>
  <si>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</si>
  <si>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</si>
  <si>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</si>
  <si>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</si>
  <si>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</si>
  <si>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</si>
  <si>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</si>
  <si>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</si>
  <si>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</si>
  <si>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</si>
  <si>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</si>
  <si>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</si>
  <si>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</si>
  <si>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</si>
  <si>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</si>
  <si>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</si>
  <si>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</si>
  <si>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</si>
  <si>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</si>
  <si>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</si>
  <si>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</si>
  <si>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</si>
  <si>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</si>
  <si>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</si>
  <si>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</si>
  <si>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</si>
  <si>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</si>
  <si>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</si>
  <si>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茂华大厦租金统计表</t>
    <phoneticPr fontId="3" type="noConversion"/>
  </si>
  <si>
    <t>单位：元</t>
    <phoneticPr fontId="3" type="noConversion"/>
  </si>
  <si>
    <t>序</t>
    <phoneticPr fontId="3" type="noConversion"/>
  </si>
  <si>
    <t>客户名称</t>
  </si>
  <si>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</si>
  <si>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</si>
  <si>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</si>
  <si>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</si>
  <si>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</si>
  <si>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</si>
  <si>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</si>
  <si>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</si>
  <si>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中国人民财产保险保险股份有限公司北京市石景山支公司</t>
  </si>
  <si>
    <t>101南侧、2层201</t>
    <phoneticPr fontId="3" type="noConversion"/>
  </si>
  <si>
    <t>美伊美韩（北京）国际医疗投资管理有限公司</t>
  </si>
  <si>
    <t>1层商业配楼101北侧、地下一层101北侧</t>
    <phoneticPr fontId="3" type="noConversion"/>
  </si>
  <si>
    <t>中信建投证券有限责任公司</t>
  </si>
  <si>
    <t>西侧、1层102</t>
    <phoneticPr fontId="3" type="noConversion"/>
  </si>
  <si>
    <t>北京东方泰格工程项目管理有限公司</t>
  </si>
  <si>
    <t>北京迪浩永辉技术有限公司</t>
  </si>
  <si>
    <t>北京日益盛投资管理有限公司</t>
    <phoneticPr fontId="3" type="noConversion"/>
  </si>
  <si>
    <r>
      <t>302、30</t>
    </r>
    <r>
      <rPr>
        <sz val="10"/>
        <rFont val="宋体"/>
        <family val="3"/>
        <charset val="134"/>
      </rPr>
      <t>3</t>
    </r>
    <r>
      <rPr>
        <sz val="10"/>
        <rFont val="宋体"/>
        <family val="3"/>
        <charset val="134"/>
      </rPr>
      <t>、30</t>
    </r>
    <r>
      <rPr>
        <sz val="10"/>
        <rFont val="宋体"/>
        <family val="3"/>
        <charset val="134"/>
      </rPr>
      <t>4</t>
    </r>
    <r>
      <rPr>
        <sz val="10"/>
        <rFont val="宋体"/>
        <family val="3"/>
        <charset val="134"/>
      </rPr>
      <t>、30</t>
    </r>
    <r>
      <rPr>
        <sz val="10"/>
        <rFont val="宋体"/>
        <family val="3"/>
        <charset val="134"/>
      </rPr>
      <t>5</t>
    </r>
    <phoneticPr fontId="3" type="noConversion"/>
  </si>
  <si>
    <t>北京中祥泰达贸易有限公司</t>
  </si>
  <si>
    <t>3、5</t>
    <phoneticPr fontId="3" type="noConversion"/>
  </si>
  <si>
    <t>306、307、501</t>
    <phoneticPr fontId="3" type="noConversion"/>
  </si>
  <si>
    <t>中京国际保险销售（北京）有限公司</t>
    <phoneticPr fontId="3" type="noConversion"/>
  </si>
  <si>
    <t>石景山区八角街道办事处</t>
  </si>
  <si>
    <t>北京磐石之爱文化发展有限公司</t>
    <phoneticPr fontId="3" type="noConversion"/>
  </si>
  <si>
    <t>北京金紫荆房地产经纪有限责任公司</t>
  </si>
  <si>
    <t>北京联众华禹环保科技有限公司</t>
    <phoneticPr fontId="3" type="noConversion"/>
  </si>
  <si>
    <r>
      <t>601、</t>
    </r>
    <r>
      <rPr>
        <sz val="10"/>
        <rFont val="宋体"/>
        <family val="3"/>
        <charset val="134"/>
      </rPr>
      <t>602</t>
    </r>
    <phoneticPr fontId="3" type="noConversion"/>
  </si>
  <si>
    <t>604、605</t>
    <phoneticPr fontId="3" type="noConversion"/>
  </si>
  <si>
    <t>北京高泽科技有限公司</t>
  </si>
  <si>
    <t>北京四维祥泰科技有限公司</t>
    <phoneticPr fontId="3" type="noConversion"/>
  </si>
  <si>
    <t>上海领安生物科技有限公司</t>
    <phoneticPr fontId="3" type="noConversion"/>
  </si>
  <si>
    <t>Triotech Amusement Inc.</t>
    <phoneticPr fontId="3" type="noConversion"/>
  </si>
  <si>
    <t>801、809</t>
    <phoneticPr fontId="3" type="noConversion"/>
  </si>
  <si>
    <t>北京利君瑞通智能设备有限公司</t>
  </si>
  <si>
    <t>北京沃特瑞斯科技发展有限公司</t>
  </si>
  <si>
    <t>湖南邵阳商会，暂无合同</t>
    <phoneticPr fontId="3" type="noConversion"/>
  </si>
  <si>
    <t>北京天舟上元信息技术有限公司</t>
    <phoneticPr fontId="3" type="noConversion"/>
  </si>
  <si>
    <t>中能新源（北京）投资有限公司</t>
  </si>
  <si>
    <t>北京恒固防腐工程有限公司</t>
    <phoneticPr fontId="3" type="noConversion"/>
  </si>
  <si>
    <r>
      <t>F</t>
    </r>
    <r>
      <rPr>
        <sz val="10"/>
        <rFont val="宋体"/>
        <family val="3"/>
        <charset val="134"/>
      </rPr>
      <t>OS服务式办公空间</t>
    </r>
    <phoneticPr fontId="3" type="noConversion"/>
  </si>
  <si>
    <t>10层</t>
    <phoneticPr fontId="3" type="noConversion"/>
  </si>
  <si>
    <t>北京麦格天宝科技发展集团有限公司</t>
  </si>
  <si>
    <t>11、12、15</t>
  </si>
  <si>
    <t>1101、1102、1103部分、1104部分、1109、12层、15层</t>
    <phoneticPr fontId="3" type="noConversion"/>
  </si>
  <si>
    <t>国正华泽资产管理（天津自贸区）有限公司</t>
    <phoneticPr fontId="3" type="noConversion"/>
  </si>
  <si>
    <t>北京中嘉君豪投资管理有限公司</t>
    <phoneticPr fontId="3" type="noConversion"/>
  </si>
  <si>
    <t>16-18层等</t>
  </si>
  <si>
    <t>长期</t>
    <phoneticPr fontId="3" type="noConversion"/>
  </si>
  <si>
    <t>地下一层职工食堂</t>
    <phoneticPr fontId="3" type="noConversion"/>
  </si>
  <si>
    <t>地下二层车库（107个，500元/月）</t>
    <phoneticPr fontId="3" type="noConversion"/>
  </si>
  <si>
    <t>长期</t>
    <phoneticPr fontId="3" type="noConversion"/>
  </si>
  <si>
    <t>202、203</t>
    <phoneticPr fontId="143" type="noConversion"/>
  </si>
  <si>
    <t>盘锦辽河投资控股有限公司</t>
    <phoneticPr fontId="3" type="noConversion"/>
  </si>
  <si>
    <t>301、308、309</t>
    <phoneticPr fontId="3" type="noConversion"/>
  </si>
  <si>
    <t>北京润阳新能源投资有限公司</t>
    <phoneticPr fontId="3" type="noConversion"/>
  </si>
  <si>
    <t>空置</t>
    <phoneticPr fontId="3" type="noConversion"/>
  </si>
  <si>
    <t>北京铸成博信国防科技发展中心</t>
    <phoneticPr fontId="143" type="noConversion"/>
  </si>
  <si>
    <t>北京华夏后土文化交流中心</t>
    <phoneticPr fontId="3" type="noConversion"/>
  </si>
  <si>
    <t>北京金航线教育科技有限公司</t>
    <phoneticPr fontId="3" type="noConversion"/>
  </si>
  <si>
    <t>周海兴</t>
    <phoneticPr fontId="3" type="noConversion"/>
  </si>
  <si>
    <t>7层</t>
    <phoneticPr fontId="143" type="noConversion"/>
  </si>
  <si>
    <t>北京漠海奇珍科技有限公司</t>
    <phoneticPr fontId="3" type="noConversion"/>
  </si>
  <si>
    <t>北京迪声数字娱乐科技股份有限公司</t>
    <phoneticPr fontId="3" type="noConversion"/>
  </si>
  <si>
    <t>901、902部分、908、909</t>
    <phoneticPr fontId="143" type="noConversion"/>
  </si>
  <si>
    <t>903、904、905、906</t>
    <phoneticPr fontId="3" type="noConversion"/>
  </si>
  <si>
    <t>北京骏天资本管理有限公司</t>
    <phoneticPr fontId="3" type="noConversion"/>
  </si>
  <si>
    <t>1103、1104部分</t>
    <phoneticPr fontId="143" type="noConversion"/>
  </si>
  <si>
    <t>北京奥润顺达窗业有限公司</t>
    <phoneticPr fontId="3" type="noConversion"/>
  </si>
  <si>
    <t>北京近仁基业科技发展有限公司</t>
    <phoneticPr fontId="3" type="noConversion"/>
  </si>
  <si>
    <t>北京天舟上元信息技术有限公司</t>
    <phoneticPr fontId="3" type="noConversion"/>
  </si>
  <si>
    <t>法讯参考（北京）影视文化传媒有限公司</t>
    <phoneticPr fontId="3" type="noConversion"/>
  </si>
  <si>
    <t>1601、1609</t>
    <phoneticPr fontId="3" type="noConversion"/>
  </si>
  <si>
    <t>《人民法治》杂志有限公司</t>
    <phoneticPr fontId="143" type="noConversion"/>
  </si>
  <si>
    <t>1701、1709</t>
    <phoneticPr fontId="143" type="noConversion"/>
  </si>
  <si>
    <t>北京沸腾伟业科技发展有限公司</t>
    <phoneticPr fontId="143" type="noConversion"/>
  </si>
  <si>
    <t>基准地价修正-商业</t>
  </si>
  <si>
    <t>基准地价修正-办公</t>
    <phoneticPr fontId="16" type="noConversion"/>
  </si>
  <si>
    <t>王鹏</t>
  </si>
  <si>
    <t>郑燚</t>
  </si>
  <si>
    <t>北京北辰万通国际投资有限公司</t>
    <phoneticPr fontId="6" type="noConversion"/>
  </si>
  <si>
    <t>企业</t>
  </si>
  <si>
    <t>北京市</t>
  </si>
  <si>
    <t>抵押</t>
  </si>
  <si>
    <t>房地产抵押价值</t>
  </si>
  <si>
    <t>华夏银行股份有限公司北京北沙滩支行</t>
    <phoneticPr fontId="6" type="noConversion"/>
  </si>
  <si>
    <t>出让</t>
  </si>
  <si>
    <t>商业、办公、车库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</si>
  <si>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年、办公</t>
    </r>
    <r>
      <rPr>
        <sz val="12"/>
        <color theme="9" tint="-0.249977111117893"/>
        <rFont val="Arial"/>
        <family val="2"/>
      </rPr>
      <t>36.6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</si>
  <si>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《房屋所有权证》[X京房权证石字第074929号]</t>
    <phoneticPr fontId="6" type="noConversion"/>
  </si>
  <si>
    <t>《国有土地使用证》[京石国用（2009出）第0022号]</t>
    <phoneticPr fontId="6" type="noConversion"/>
  </si>
  <si>
    <t>是</t>
  </si>
  <si>
    <t>否</t>
  </si>
  <si>
    <t>复印件</t>
  </si>
  <si>
    <t>办公项目</t>
  </si>
  <si>
    <t>无</t>
  </si>
  <si>
    <t>现房</t>
  </si>
  <si>
    <t>通路</t>
  </si>
  <si>
    <t>通电</t>
  </si>
  <si>
    <t>通上水</t>
  </si>
  <si>
    <t>通下水</t>
  </si>
  <si>
    <t>通讯</t>
  </si>
  <si>
    <t>通热</t>
  </si>
  <si>
    <t>燃气</t>
  </si>
  <si>
    <t>地上办公</t>
  </si>
  <si>
    <t>地上</t>
  </si>
  <si>
    <t>底商</t>
  </si>
  <si>
    <t>办公楼</t>
  </si>
  <si>
    <t>地下</t>
  </si>
  <si>
    <t>车库</t>
  </si>
  <si>
    <t>车库—办公</t>
  </si>
  <si>
    <t>办公</t>
    <phoneticPr fontId="7" type="noConversion"/>
  </si>
  <si>
    <t>车库</t>
    <phoneticPr fontId="7" type="noConversion"/>
  </si>
  <si>
    <t>成新度</t>
  </si>
  <si>
    <t>收益法-车库</t>
  </si>
  <si>
    <t>收益法-车库</t>
    <phoneticPr fontId="16" type="noConversion"/>
  </si>
  <si>
    <t>收益法-办公</t>
  </si>
  <si>
    <t>收益法-办公</t>
    <phoneticPr fontId="16" type="noConversion"/>
  </si>
  <si>
    <t>收益法-商业</t>
  </si>
  <si>
    <t>收益法-商业</t>
    <phoneticPr fontId="16" type="noConversion"/>
  </si>
  <si>
    <t>商务金融用地（商业类）</t>
  </si>
  <si>
    <t>估价对象容积率</t>
  </si>
  <si>
    <t>不临58条商业街</t>
  </si>
  <si>
    <t>有</t>
  </si>
  <si>
    <t>1000米以外</t>
  </si>
  <si>
    <t>按公示增长率计算</t>
  </si>
  <si>
    <t>地上二层商业</t>
    <phoneticPr fontId="3" type="noConversion"/>
  </si>
  <si>
    <t>总价</t>
    <phoneticPr fontId="3" type="noConversion"/>
  </si>
  <si>
    <t>较好</t>
  </si>
  <si>
    <t>一般</t>
  </si>
  <si>
    <t>商务金融用地（办公类）</t>
  </si>
  <si>
    <t>容积率修正</t>
  </si>
  <si>
    <t>未包含在土地购买价格中</t>
  </si>
  <si>
    <t>已包含在土地取得成本中</t>
  </si>
  <si>
    <t>全部缴纳</t>
  </si>
  <si>
    <t>押一</t>
  </si>
  <si>
    <t>按租金收入计税</t>
  </si>
  <si>
    <t>钢混</t>
  </si>
  <si>
    <t>非生产用房</t>
  </si>
  <si>
    <t>到期分布</t>
    <phoneticPr fontId="257" type="noConversion"/>
  </si>
  <si>
    <t>面积</t>
    <phoneticPr fontId="257" type="noConversion"/>
  </si>
  <si>
    <t>合计</t>
    <phoneticPr fontId="257" type="noConversion"/>
  </si>
  <si>
    <t>租约期外日均</t>
  </si>
  <si>
    <t>市调租金</t>
    <phoneticPr fontId="257" type="noConversion"/>
  </si>
  <si>
    <t>增长率</t>
    <phoneticPr fontId="257" type="noConversion"/>
  </si>
  <si>
    <t>最长租约</t>
    <phoneticPr fontId="257" type="noConversion"/>
  </si>
  <si>
    <t>办公</t>
    <phoneticPr fontId="143" type="noConversion"/>
  </si>
  <si>
    <t>合计</t>
    <phoneticPr fontId="143" type="noConversion"/>
  </si>
  <si>
    <t>办公合计</t>
    <phoneticPr fontId="143" type="noConversion"/>
  </si>
  <si>
    <t>地上商业合计</t>
    <phoneticPr fontId="143" type="noConversion"/>
  </si>
  <si>
    <t>地下商业合计</t>
    <phoneticPr fontId="143" type="noConversion"/>
  </si>
  <si>
    <t>车库合计</t>
    <phoneticPr fontId="143" type="noConversion"/>
  </si>
  <si>
    <t>地下商业</t>
  </si>
  <si>
    <t>收益法-地下商业</t>
    <phoneticPr fontId="16" type="noConversion"/>
  </si>
  <si>
    <t>年收益</t>
    <phoneticPr fontId="257" type="noConversion"/>
  </si>
  <si>
    <t>项目全部</t>
  </si>
  <si>
    <t>成本法</t>
  </si>
  <si>
    <t>收益法（汇总）</t>
  </si>
  <si>
    <t>地下车库</t>
    <phoneticPr fontId="257" type="noConversion"/>
  </si>
  <si>
    <t>长期</t>
    <phoneticPr fontId="257" type="noConversion"/>
  </si>
  <si>
    <t>个数</t>
    <phoneticPr fontId="257" type="noConversion"/>
  </si>
  <si>
    <t>月租金</t>
    <phoneticPr fontId="257" type="noConversion"/>
  </si>
  <si>
    <t>租约期内日均</t>
    <phoneticPr fontId="257" type="noConversion"/>
  </si>
  <si>
    <t>商业</t>
    <phoneticPr fontId="7" type="noConversion"/>
  </si>
  <si>
    <t>成本比率</t>
  </si>
  <si>
    <t>2.估价师知悉的除抵押担保权以外的法定优先受偿款</t>
  </si>
  <si>
    <t>建筑面积</t>
  </si>
  <si>
    <t>土地面积</t>
  </si>
  <si>
    <t>出让国有建设用地使用权价值</t>
  </si>
  <si>
    <t>建筑物价值</t>
  </si>
  <si>
    <t>商业</t>
    <phoneticPr fontId="143" type="noConversion"/>
  </si>
  <si>
    <t>七通一平</t>
  </si>
  <si>
    <t>一致</t>
  </si>
  <si>
    <t>同一抵押权人同一抵押物续贷</t>
  </si>
  <si>
    <r>
      <rPr>
        <sz val="12"/>
        <color theme="9" tint="-0.249977111117893"/>
        <rFont val="宋体"/>
        <family val="3"/>
        <charset val="134"/>
      </rPr>
      <t>石景山区时代花园南路</t>
    </r>
    <r>
      <rPr>
        <sz val="12"/>
        <color theme="9" tint="-0.249977111117893"/>
        <rFont val="Arial"/>
        <family val="2"/>
      </rPr>
      <t>17</t>
    </r>
    <r>
      <rPr>
        <sz val="12"/>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</si>
</sst>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楷体_GB2312"/>
      <family val="3"/>
      <charset val="134"/>
    </font>
    <font>
      <b/>
      <sz val="10"/>
      <color theme="1"/>
      <name val="楷体_GB2312"/>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9" fillId="0" borderId="1" xfId="0" applyFont="1" applyFill="1" applyBorder="1" applyAlignment="1">
      <alignment vertical="center"/>
    </xf>
    <xf numFmtId="0" fontId="83" fillId="0" borderId="1" xfId="0" applyFont="1" applyFill="1" applyBorder="1" applyAlignment="1">
      <alignment horizontal="center" vertical="center"/>
    </xf>
    <xf numFmtId="0" fontId="83" fillId="0" borderId="1" xfId="13" applyNumberFormat="1" applyFont="1" applyFill="1" applyBorder="1" applyAlignment="1">
      <alignment horizontal="center" vertical="center"/>
    </xf>
    <xf numFmtId="0" fontId="83" fillId="0" borderId="1" xfId="13" applyNumberFormat="1" applyFont="1" applyFill="1" applyBorder="1" applyAlignment="1">
      <alignment horizontal="center" vertical="center" wrapText="1"/>
    </xf>
    <xf numFmtId="0" fontId="83" fillId="0" borderId="1" xfId="0" applyFont="1" applyFill="1" applyBorder="1" applyAlignment="1">
      <alignment horizontal="center" vertical="center" wrapText="1"/>
    </xf>
    <xf numFmtId="43" fontId="83" fillId="0" borderId="1" xfId="13" applyFont="1" applyFill="1" applyBorder="1" applyAlignment="1">
      <alignment horizontal="center" vertical="center"/>
    </xf>
    <xf numFmtId="43" fontId="83" fillId="0" borderId="1" xfId="13" applyFont="1" applyFill="1" applyBorder="1" applyAlignment="1">
      <alignment horizontal="center" vertical="center" wrapText="1"/>
    </xf>
    <xf numFmtId="198" fontId="83" fillId="0" borderId="1" xfId="0" applyNumberFormat="1" applyFont="1" applyFill="1" applyBorder="1" applyAlignment="1">
      <alignment horizontal="center" vertical="center"/>
    </xf>
    <xf numFmtId="43" fontId="84" fillId="0" borderId="1" xfId="13" applyFont="1" applyFill="1" applyBorder="1" applyAlignment="1">
      <alignment horizontal="center" vertical="center"/>
    </xf>
    <xf numFmtId="0" fontId="19" fillId="5" borderId="1" xfId="0" applyFont="1" applyFill="1" applyBorder="1" applyAlignment="1">
      <alignment horizontal="center" vertical="center"/>
    </xf>
    <xf numFmtId="0" fontId="19" fillId="5" borderId="1" xfId="0" applyFont="1" applyFill="1" applyBorder="1" applyAlignment="1">
      <alignment vertical="center"/>
    </xf>
    <xf numFmtId="0" fontId="19" fillId="5" borderId="1" xfId="13" applyNumberFormat="1" applyFont="1" applyFill="1" applyBorder="1" applyAlignment="1">
      <alignment horizontal="center" vertical="center"/>
    </xf>
    <xf numFmtId="0" fontId="19" fillId="5" borderId="1" xfId="13" applyNumberFormat="1" applyFont="1" applyFill="1" applyBorder="1" applyAlignment="1">
      <alignment horizontal="left" vertical="center"/>
    </xf>
    <xf numFmtId="14" fontId="19" fillId="5" borderId="1" xfId="0" applyNumberFormat="1" applyFont="1" applyFill="1" applyBorder="1" applyAlignment="1">
      <alignment horizontal="center" vertical="center"/>
    </xf>
    <xf numFmtId="14" fontId="19" fillId="5" borderId="1" xfId="13" applyNumberFormat="1" applyFont="1" applyFill="1" applyBorder="1" applyAlignment="1">
      <alignment horizontal="center" vertical="center"/>
    </xf>
    <xf numFmtId="43" fontId="19" fillId="5" borderId="1" xfId="13" applyFont="1" applyFill="1" applyBorder="1" applyAlignment="1">
      <alignment vertical="center"/>
    </xf>
    <xf numFmtId="43" fontId="19" fillId="5" borderId="1" xfId="13" applyFont="1" applyFill="1" applyBorder="1" applyAlignment="1">
      <alignment horizontal="center" vertical="center"/>
    </xf>
    <xf numFmtId="198" fontId="19" fillId="5" borderId="1" xfId="0" applyNumberFormat="1" applyFont="1" applyFill="1" applyBorder="1" applyAlignment="1">
      <alignment horizontal="right" vertical="center"/>
    </xf>
    <xf numFmtId="0" fontId="19" fillId="5" borderId="1" xfId="13" applyNumberFormat="1" applyFont="1" applyFill="1" applyBorder="1" applyAlignment="1">
      <alignment horizontal="left" vertical="center" wrapText="1"/>
    </xf>
    <xf numFmtId="0" fontId="19" fillId="5" borderId="1" xfId="0" applyFont="1" applyFill="1" applyBorder="1" applyAlignment="1">
      <alignment horizontal="left" vertical="center"/>
    </xf>
    <xf numFmtId="0" fontId="19" fillId="5" borderId="1" xfId="0" applyNumberFormat="1" applyFont="1" applyFill="1" applyBorder="1" applyAlignment="1">
      <alignment horizontal="center" vertical="center" wrapText="1"/>
    </xf>
    <xf numFmtId="0" fontId="19" fillId="5" borderId="1" xfId="0" applyNumberFormat="1" applyFont="1" applyFill="1" applyBorder="1" applyAlignment="1">
      <alignment vertical="center" wrapText="1"/>
    </xf>
    <xf numFmtId="43" fontId="19" fillId="5" borderId="1" xfId="13" applyFont="1" applyFill="1" applyBorder="1">
      <alignment vertical="center"/>
    </xf>
    <xf numFmtId="0" fontId="19" fillId="0" borderId="1" xfId="13" applyNumberFormat="1" applyFont="1" applyFill="1" applyBorder="1" applyAlignment="1">
      <alignment horizontal="center" vertical="center"/>
    </xf>
    <xf numFmtId="0" fontId="19" fillId="0" borderId="1" xfId="13" applyNumberFormat="1" applyFont="1" applyFill="1" applyBorder="1" applyAlignment="1">
      <alignment horizontal="left" vertical="center"/>
    </xf>
    <xf numFmtId="14" fontId="19" fillId="0" borderId="1" xfId="0" applyNumberFormat="1" applyFont="1" applyFill="1" applyBorder="1" applyAlignment="1">
      <alignment horizontal="center" vertical="center"/>
    </xf>
    <xf numFmtId="14" fontId="19" fillId="0" borderId="1" xfId="13" applyNumberFormat="1" applyFont="1" applyFill="1" applyBorder="1" applyAlignment="1">
      <alignment horizontal="center" vertical="center"/>
    </xf>
    <xf numFmtId="43" fontId="19" fillId="0" borderId="1" xfId="13" applyFont="1" applyFill="1" applyBorder="1" applyAlignment="1">
      <alignment vertical="center"/>
    </xf>
    <xf numFmtId="43" fontId="19" fillId="0" borderId="1" xfId="13" applyFont="1" applyFill="1" applyBorder="1" applyAlignment="1">
      <alignment horizontal="center" vertical="center"/>
    </xf>
    <xf numFmtId="198" fontId="19" fillId="0" borderId="1" xfId="0" applyNumberFormat="1" applyFont="1" applyFill="1" applyBorder="1" applyAlignment="1">
      <alignment horizontal="right" vertical="center"/>
    </xf>
    <xf numFmtId="0" fontId="19" fillId="0" borderId="1" xfId="13" applyNumberFormat="1"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1" xfId="1" applyFont="1" applyFill="1" applyBorder="1" applyAlignment="1">
      <alignment horizontal="left" vertical="center"/>
    </xf>
    <xf numFmtId="0" fontId="19" fillId="0" borderId="1" xfId="0" applyFont="1" applyFill="1" applyBorder="1" applyAlignment="1">
      <alignment horizontal="left" vertical="center" wrapText="1"/>
    </xf>
    <xf numFmtId="0" fontId="19" fillId="0" borderId="1" xfId="1" applyFont="1" applyFill="1" applyBorder="1" applyAlignment="1">
      <alignment vertical="center"/>
    </xf>
    <xf numFmtId="198" fontId="19" fillId="0" borderId="1" xfId="1" applyNumberFormat="1" applyFont="1" applyFill="1" applyBorder="1" applyAlignment="1">
      <alignment horizontal="right" vertical="center"/>
    </xf>
    <xf numFmtId="43" fontId="145" fillId="0" borderId="1" xfId="13" applyFont="1" applyFill="1" applyBorder="1" applyAlignment="1">
      <alignment horizontal="center" vertical="center"/>
    </xf>
    <xf numFmtId="0" fontId="99" fillId="0" borderId="0" xfId="0" applyFont="1">
      <alignment vertical="center"/>
    </xf>
    <xf numFmtId="43" fontId="0" fillId="0" borderId="0" xfId="0" applyNumberFormat="1">
      <alignment vertical="center"/>
    </xf>
    <xf numFmtId="0" fontId="19" fillId="0" borderId="15" xfId="0" applyFont="1" applyFill="1" applyBorder="1" applyAlignment="1">
      <alignment vertical="center"/>
    </xf>
    <xf numFmtId="0" fontId="19" fillId="0" borderId="15" xfId="13" applyNumberFormat="1" applyFont="1" applyFill="1" applyBorder="1" applyAlignment="1">
      <alignment horizontal="center" vertical="center"/>
    </xf>
    <xf numFmtId="0" fontId="19" fillId="0" borderId="15" xfId="13" applyNumberFormat="1" applyFont="1" applyFill="1" applyBorder="1" applyAlignment="1">
      <alignment horizontal="left" vertical="center"/>
    </xf>
    <xf numFmtId="43" fontId="19" fillId="0" borderId="15" xfId="13" applyFont="1" applyFill="1" applyBorder="1" applyAlignment="1">
      <alignment vertical="center"/>
    </xf>
    <xf numFmtId="43" fontId="19" fillId="0" borderId="15" xfId="13" applyFont="1" applyFill="1" applyBorder="1" applyAlignment="1">
      <alignment horizontal="center" vertical="center"/>
    </xf>
    <xf numFmtId="198" fontId="19" fillId="0" borderId="15" xfId="0"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8" fontId="80" fillId="0" borderId="1" xfId="1" applyNumberFormat="1" applyFont="1" applyFill="1" applyBorder="1" applyAlignment="1" applyProtection="1">
      <alignment vertical="center"/>
      <protection locked="0" hidden="1"/>
    </xf>
    <xf numFmtId="0" fontId="255" fillId="6" borderId="7"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protection locked="0"/>
    </xf>
    <xf numFmtId="0" fontId="256" fillId="6" borderId="7" xfId="0" applyFont="1" applyFill="1" applyBorder="1" applyAlignment="1" applyProtection="1">
      <alignment horizontal="center" vertical="center" wrapText="1"/>
      <protection locked="0"/>
    </xf>
    <xf numFmtId="0" fontId="0" fillId="0" borderId="0" xfId="0" applyFill="1">
      <alignment vertical="center"/>
    </xf>
    <xf numFmtId="0" fontId="19" fillId="0" borderId="15" xfId="0" applyFont="1" applyFill="1" applyBorder="1" applyAlignment="1">
      <alignment horizontal="center" vertical="center"/>
    </xf>
    <xf numFmtId="14" fontId="119" fillId="0" borderId="0" xfId="0" applyNumberFormat="1" applyFont="1" applyAlignment="1">
      <alignment horizontal="center" vertical="center"/>
    </xf>
    <xf numFmtId="0" fontId="113" fillId="0" borderId="0" xfId="0" applyFont="1" applyAlignment="1">
      <alignment horizontal="center" vertical="center"/>
    </xf>
    <xf numFmtId="0" fontId="99" fillId="0" borderId="0" xfId="0" applyFont="1" applyFill="1">
      <alignment vertical="center"/>
    </xf>
    <xf numFmtId="43" fontId="145" fillId="5" borderId="1" xfId="13" applyFont="1" applyFill="1" applyBorder="1" applyAlignment="1">
      <alignment horizontal="center" vertical="center"/>
    </xf>
    <xf numFmtId="9" fontId="113" fillId="0" borderId="0" xfId="0" applyNumberFormat="1" applyFont="1" applyAlignment="1">
      <alignment horizontal="center" vertical="center"/>
    </xf>
    <xf numFmtId="0" fontId="99" fillId="0" borderId="0" xfId="0" applyFont="1" applyFill="1" applyBorder="1">
      <alignment vertical="center"/>
    </xf>
    <xf numFmtId="0" fontId="113" fillId="0" borderId="0" xfId="0" applyFont="1" applyFill="1" applyAlignment="1">
      <alignment horizontal="center" vertical="center"/>
    </xf>
    <xf numFmtId="14" fontId="119" fillId="0" borderId="0" xfId="0" applyNumberFormat="1" applyFont="1" applyFill="1" applyBorder="1" applyAlignment="1">
      <alignment horizontal="center" vertical="center"/>
    </xf>
    <xf numFmtId="14" fontId="0" fillId="0" borderId="0" xfId="0" applyNumberFormat="1" applyFill="1">
      <alignment vertical="center"/>
    </xf>
    <xf numFmtId="43" fontId="113" fillId="0" borderId="0" xfId="0" applyNumberFormat="1" applyFont="1" applyAlignment="1">
      <alignment horizontal="center" vertical="center"/>
    </xf>
    <xf numFmtId="176" fontId="113" fillId="0" borderId="0" xfId="0" applyNumberFormat="1" applyFont="1" applyAlignment="1">
      <alignment horizontal="center" vertical="center"/>
    </xf>
    <xf numFmtId="0" fontId="113" fillId="0" borderId="0" xfId="0" applyNumberFormat="1"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67" fillId="0" borderId="1" xfId="0" applyFont="1" applyFill="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北京市石景山区时代花园南路17号房地产抵押价值预评估</v>
      </c>
    </row>
    <row r="3" spans="1:2" s="1593" customFormat="1">
      <c r="A3" s="1591" t="s">
        <v>1221</v>
      </c>
      <c r="B3" s="1592" t="str">
        <f>'预评函-封皮'!B40</f>
        <v>北京北辰万通国际投资有限公司</v>
      </c>
    </row>
    <row r="4" spans="1:2" s="1593" customFormat="1">
      <c r="A4" s="1591" t="s">
        <v>1222</v>
      </c>
      <c r="B4" s="1592" t="str">
        <f ca="1">'预评函-封皮'!B46</f>
        <v>王鹏（注册号：1120050019)、郑燚（注册号：1120070131)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受贵公司委托，我公司对北京市石景山区时代花园南路17号房地产抵押价值进行了预评估。</v>
      </c>
    </row>
    <row r="7" spans="1:2" s="1593" customFormat="1">
      <c r="A7" s="1591" t="s">
        <v>1264</v>
      </c>
      <c r="B7" s="1592" t="str">
        <f>'预评函-1'!A7</f>
        <v>估价对象为北京市石景山区时代花园南路17号房地产，为北京北辰万通国际投资有限公司所有。根据《国有土地使用证》[京石国用（2009出）第0022号]，估价对象（分摊）出让国有建设用地使用权面积为11364.7平方米，建筑面积为28872.97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石景山区时代花园南路17号房地产,为北京北辰万通国际投资有限公司开发建设的办公项目，该项目尚在开发建设中。根据《国有土地使用证》[京石国用（2009出）第0022号]，估价对象（分摊）出让国有建设用地使用权面积为11364.7平方米，规划建筑面积为28872.97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为估价委托人在向华夏银行股份有限公司北京北沙滩支行办理贷款手续过程中，确定房地产抵押贷款额度提供参考依据而评估房地产抵押价值。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商业、办公、车库，土地取得方式为出让，出让国有建设用地使用权剩余土地使用年限为商业26.6年、办公36.6年、车库36.6年，假定未设立法定优先受偿款下的房地产市场价值。</v>
      </c>
    </row>
    <row r="14" spans="1:2" s="1593" customFormat="1">
      <c r="A14" s="1591" t="s">
        <v>1228</v>
      </c>
      <c r="B14" s="1592" t="str">
        <f>'预评函-1'!A19</f>
        <v>其中，“出让国有建设用地使用权价值”是指估价对象用途为商业、办公、车库，实际开发程度为宗地红线外“七通”（即通路、通电、通上水、通下水、通讯、通热、燃气）、红线内场地平整条件下，剩余土地使用年限为商业26.6年、办公36.6年、车库36.6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本次评估采用的主估价方法为成本法和收益法。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79569</v>
      </c>
    </row>
    <row r="21" spans="1:2" s="1593" customFormat="1">
      <c r="A21" s="1591" t="s">
        <v>1235</v>
      </c>
      <c r="B21" s="1592">
        <f ca="1">'预评函-2'!D7</f>
        <v>27558</v>
      </c>
    </row>
    <row r="22" spans="1:2" s="1593" customFormat="1">
      <c r="A22" s="1591" t="s">
        <v>1236</v>
      </c>
      <c r="B22" s="1592" t="str">
        <f ca="1">'预评函-2'!D6</f>
        <v>柒亿玖仟伍佰陆拾玖万元整</v>
      </c>
    </row>
    <row r="23" spans="1:2" s="1593" customFormat="1">
      <c r="A23" s="1591" t="s">
        <v>1287</v>
      </c>
      <c r="B23" s="1592" t="str">
        <f>'预评函-2'!B8</f>
        <v>2.估价师知悉的除抵押担保权以外的法定优先受偿款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t="str">
        <f>'预评函-2'!D10</f>
        <v>200000（未扣减，详见特别提示）</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79569</v>
      </c>
    </row>
    <row r="31" spans="1:2" s="1593" customFormat="1">
      <c r="A31" s="1591" t="s">
        <v>1274</v>
      </c>
      <c r="B31" s="1592">
        <f ca="1">'预评函-2'!D15</f>
        <v>27558</v>
      </c>
    </row>
    <row r="32" spans="1:2" s="1593" customFormat="1">
      <c r="A32" s="1591" t="s">
        <v>1241</v>
      </c>
      <c r="B32" s="1592" t="str">
        <f ca="1">'预评函-2'!D14</f>
        <v>柒亿玖仟伍佰陆拾玖万元整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北京市石景山区时代花园南路17号房地产</v>
      </c>
    </row>
    <row r="42" spans="1:2" s="1593" customFormat="1">
      <c r="A42" s="1591" t="s">
        <v>1288</v>
      </c>
      <c r="B42" s="1592" t="str">
        <f>'预评函-3'!B2</f>
        <v>建筑面积</v>
      </c>
    </row>
    <row r="43" spans="1:2" s="1593" customFormat="1">
      <c r="A43" s="1591" t="s">
        <v>1289</v>
      </c>
      <c r="B43" s="1592">
        <f>'预评函-3'!B4</f>
        <v>28872.97</v>
      </c>
    </row>
    <row r="44" spans="1:2" s="1593" customFormat="1">
      <c r="A44" s="1591" t="s">
        <v>1273</v>
      </c>
      <c r="B44" s="1592" t="str">
        <f>'预评函-3'!C2</f>
        <v>(分摊)土地面积</v>
      </c>
    </row>
    <row r="45" spans="1:2" s="1593" customFormat="1">
      <c r="A45" s="1591" t="s">
        <v>1245</v>
      </c>
      <c r="B45" s="1592">
        <f>'预评函-3'!C4</f>
        <v>11364.7</v>
      </c>
    </row>
    <row r="46" spans="1:2" s="1593" customFormat="1">
      <c r="A46" s="1591" t="s">
        <v>1271</v>
      </c>
      <c r="B46" s="1592" t="str">
        <f>'预评函-3'!D2</f>
        <v>出让国有建设用地使用权价值</v>
      </c>
    </row>
    <row r="47" spans="1:2" s="1593" customFormat="1">
      <c r="A47" s="1591" t="s">
        <v>1246</v>
      </c>
      <c r="B47" s="1592">
        <f ca="1">'预评函-3'!D4</f>
        <v>64769</v>
      </c>
    </row>
    <row r="48" spans="1:2" s="1593" customFormat="1">
      <c r="A48" s="1591" t="s">
        <v>1247</v>
      </c>
      <c r="B48" s="1592">
        <f ca="1">'预评函-3'!E4</f>
        <v>22432</v>
      </c>
    </row>
    <row r="49" spans="1:2" s="1593" customFormat="1">
      <c r="A49" s="1591" t="s">
        <v>1248</v>
      </c>
      <c r="B49" s="1592" t="str">
        <f ca="1">'预评函-3'!D5</f>
        <v>陆亿肆仟柒佰陆拾玖万元整</v>
      </c>
    </row>
    <row r="50" spans="1:2" s="1593" customFormat="1">
      <c r="A50" s="1591" t="s">
        <v>1272</v>
      </c>
      <c r="B50" s="1592" t="str">
        <f>'预评函-3'!F2</f>
        <v>建筑物价值</v>
      </c>
    </row>
    <row r="51" spans="1:2" s="1593" customFormat="1">
      <c r="A51" s="1591" t="s">
        <v>1249</v>
      </c>
      <c r="B51" s="1592">
        <f ca="1">'预评函-3'!F4</f>
        <v>14800</v>
      </c>
    </row>
    <row r="52" spans="1:2" s="1593" customFormat="1">
      <c r="A52" s="1591" t="s">
        <v>1250</v>
      </c>
      <c r="B52" s="1592">
        <f ca="1">'预评函-3'!G4</f>
        <v>5126</v>
      </c>
    </row>
    <row r="53" spans="1:2" s="1593" customFormat="1">
      <c r="A53" s="1591" t="s">
        <v>1278</v>
      </c>
      <c r="B53" s="1592" t="str">
        <f ca="1">'预评函-3'!F5</f>
        <v>壹亿肆仟捌佰万元整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估价师知悉的除抵押担保权以外的法定优先受偿款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故，本次评估不存在估价师知悉的除抵押担保权以外的法定优先受偿款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王鹏</v>
      </c>
    </row>
    <row r="71" spans="1:2">
      <c r="A71" s="1591" t="s">
        <v>1261</v>
      </c>
      <c r="B71" s="1592">
        <f ca="1">'预评函-4'!B4</f>
        <v>1120050019</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6" sqref="AB3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3116</v>
      </c>
      <c r="C17" s="2015"/>
    </row>
    <row r="18" spans="1:3">
      <c r="A18" s="2014" t="s">
        <v>1766</v>
      </c>
      <c r="B18" s="2014" t="s">
        <v>3117</v>
      </c>
      <c r="C18" s="2015"/>
    </row>
    <row r="19" spans="1:3">
      <c r="A19" s="2014" t="s">
        <v>1767</v>
      </c>
      <c r="B19" s="2014" t="s">
        <v>3159</v>
      </c>
      <c r="C19" s="2015"/>
    </row>
    <row r="20" spans="1:3">
      <c r="A20" s="2014" t="s">
        <v>1768</v>
      </c>
      <c r="B20" s="2014" t="s">
        <v>3157</v>
      </c>
      <c r="C20" s="2015"/>
    </row>
    <row r="21" spans="1:3">
      <c r="A21" s="2014" t="s">
        <v>1769</v>
      </c>
      <c r="B21" s="2014" t="s">
        <v>3155</v>
      </c>
      <c r="C21" s="2015"/>
    </row>
    <row r="22" spans="1:3">
      <c r="A22" s="2014" t="s">
        <v>1770</v>
      </c>
      <c r="B22" s="2014" t="s">
        <v>3193</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为估价委托人在向华夏银行股份有限公司北京北沙滩支行办理贷款手续过程中，确定房地产抵押贷款额度提供参考依据而评估房地产抵押价值。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房地产作为抵押担保物，向华夏银行股份有限公司北京北沙滩支行办理贷款手续。华夏银行股份有限公司北京北沙滩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商业、办公、车库土地取得方式为出让，出让国有建设用地使用权剩余土地使用年限为XX年(多用途剩余年限尾数不同时，可只体现小数点后一位)，假定未设立法定优先受偿款下的房地产市场价值。</v>
      </c>
    </row>
    <row r="54" spans="1:4">
      <c r="A54" s="3068"/>
      <c r="B54" s="2022" t="s">
        <v>864</v>
      </c>
      <c r="C54" s="2019" t="s">
        <v>1281</v>
      </c>
    </row>
    <row r="55" spans="1:4">
      <c r="A55" s="3068"/>
      <c r="B55" s="2022" t="s">
        <v>865</v>
      </c>
      <c r="C55" s="2019" t="s">
        <v>1282</v>
      </c>
    </row>
    <row r="56" spans="1:4">
      <c r="A56" s="3068"/>
      <c r="B56" s="2022" t="s">
        <v>866</v>
      </c>
      <c r="C56" s="2019" t="s">
        <v>1286</v>
      </c>
    </row>
    <row r="57" spans="1:4">
      <c r="A57" s="306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L36" sqref="L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069" t="str">
        <f>IF(B10="北京市","北京市",C10)&amp;F10&amp;IF(结果表!G1="在建","出让国有建设用地使用权及在建建筑物",IF(结果表!G1="土地","出让国有建设用地使用权",))&amp;B9&amp;"预评估"</f>
        <v>北京市石景山区时代花园南路17号房地产抵押价值预评估</v>
      </c>
      <c r="C1" s="3070"/>
      <c r="D1" s="3070"/>
      <c r="E1" s="3070"/>
      <c r="F1" s="3070"/>
      <c r="G1" s="3070"/>
      <c r="H1" s="3070"/>
      <c r="I1" s="307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北京市石景山区时代花园南路17号房地产抵押价值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北京市石景山区时代花园南路17号房地产</v>
      </c>
    </row>
    <row r="3" spans="1:19" ht="18" customHeight="1">
      <c r="A3" s="2035" t="s">
        <v>1777</v>
      </c>
      <c r="B3" s="2036">
        <v>43222</v>
      </c>
      <c r="C3" s="2037" t="s">
        <v>1778</v>
      </c>
      <c r="D3" s="2036">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3118</v>
      </c>
      <c r="C4" s="1037">
        <f ca="1">SUMIF(注册房地产估价师,B4,估价师及机构信息!B3:B24)</f>
        <v>1120050019</v>
      </c>
      <c r="D4" s="2039" t="s">
        <v>3119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1780</v>
      </c>
      <c r="B5" s="3004" t="s">
        <v>3120</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3005" t="s">
        <v>3125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1782</v>
      </c>
      <c r="B7" s="3005" t="s">
        <v>3120</v>
      </c>
      <c r="C7" s="2048"/>
      <c r="D7" s="2049"/>
      <c r="E7" s="2034"/>
      <c r="F7" s="2042"/>
      <c r="G7" s="2042"/>
      <c r="H7" s="2042"/>
      <c r="I7" s="2042"/>
      <c r="J7" s="2042"/>
      <c r="K7" s="2051"/>
      <c r="L7" s="2028"/>
      <c r="M7" s="2028"/>
      <c r="N7" s="2029"/>
      <c r="O7" s="2030"/>
      <c r="P7" s="2029"/>
      <c r="Q7" s="2029"/>
      <c r="R7" s="2029"/>
    </row>
    <row r="8" spans="1:19" ht="18" customHeight="1">
      <c r="A8" s="2047" t="s">
        <v>1783</v>
      </c>
      <c r="B8" s="2052" t="s">
        <v>3123</v>
      </c>
      <c r="C8" s="2053"/>
      <c r="D8" s="3072" t="s">
        <v>1784</v>
      </c>
      <c r="E8" s="2054" t="s">
        <v>3124</v>
      </c>
      <c r="F8" s="2055"/>
      <c r="G8" s="2026"/>
      <c r="H8" s="2026"/>
      <c r="I8" s="2026"/>
      <c r="J8" s="2042"/>
      <c r="K8" s="2043"/>
      <c r="L8" s="2028"/>
      <c r="M8" s="2028"/>
      <c r="N8" s="2029"/>
      <c r="O8" s="2030"/>
      <c r="P8" s="2029"/>
      <c r="Q8" s="2029"/>
      <c r="R8" s="2029"/>
    </row>
    <row r="9" spans="1:19" ht="18" customHeight="1" thickBot="1">
      <c r="A9" s="2040" t="s">
        <v>1785</v>
      </c>
      <c r="B9" s="2056" t="s">
        <v>3124</v>
      </c>
      <c r="C9" s="2057"/>
      <c r="D9" s="3073"/>
      <c r="E9" s="2056" t="s">
        <v>70</v>
      </c>
      <c r="F9" s="2058"/>
      <c r="G9" s="2059"/>
      <c r="H9" s="2059"/>
      <c r="I9" s="2059"/>
      <c r="J9" s="2042"/>
      <c r="K9" s="2051"/>
      <c r="L9" s="2028"/>
      <c r="M9" s="2028"/>
      <c r="N9" s="2029"/>
      <c r="O9" s="2030"/>
      <c r="P9" s="2029"/>
      <c r="Q9" s="2029"/>
      <c r="R9" s="2029"/>
    </row>
    <row r="10" spans="1:19" ht="18" customHeight="1" thickTop="1">
      <c r="A10" s="2060" t="s">
        <v>1786</v>
      </c>
      <c r="B10" s="2061" t="s">
        <v>3122</v>
      </c>
      <c r="C10" s="2062"/>
      <c r="D10" s="2046"/>
      <c r="E10" s="2063" t="s">
        <v>1787</v>
      </c>
      <c r="F10" s="2064" t="s">
        <v>3214</v>
      </c>
      <c r="G10" s="2065"/>
      <c r="H10" s="2066"/>
      <c r="I10" s="2046"/>
      <c r="J10" s="2042"/>
      <c r="K10" s="2051"/>
      <c r="L10" s="2028"/>
      <c r="M10" s="2028"/>
      <c r="N10" s="2029"/>
      <c r="O10" s="2030"/>
      <c r="P10" s="2029"/>
      <c r="Q10" s="2029"/>
      <c r="R10" s="2029"/>
    </row>
    <row r="11" spans="1:19" ht="18" customHeight="1">
      <c r="A11" s="2067" t="s">
        <v>1788</v>
      </c>
      <c r="B11" s="2068" t="s">
        <v>3121</v>
      </c>
      <c r="C11" s="3006" t="s">
        <v>3120</v>
      </c>
      <c r="D11" s="2069"/>
      <c r="E11" s="2042"/>
      <c r="F11" s="2042"/>
      <c r="G11" s="2042"/>
      <c r="H11" s="2042"/>
      <c r="I11" s="2042"/>
      <c r="J11" s="2042"/>
      <c r="K11" s="2051"/>
      <c r="L11" s="2028"/>
      <c r="M11" s="2028"/>
      <c r="N11" s="2029"/>
      <c r="O11" s="2030"/>
      <c r="P11" s="2029"/>
      <c r="Q11" s="2029"/>
      <c r="R11" s="2029"/>
    </row>
    <row r="12" spans="1:19" ht="18" customHeight="1">
      <c r="A12" s="2070" t="s">
        <v>1789</v>
      </c>
      <c r="B12" s="2068" t="s">
        <v>3126</v>
      </c>
      <c r="C12" s="2071" t="s">
        <v>1790</v>
      </c>
      <c r="D12" s="2072" t="s">
        <v>1791</v>
      </c>
      <c r="E12" s="2072" t="s">
        <v>1792</v>
      </c>
      <c r="F12" s="2072" t="s">
        <v>1793</v>
      </c>
      <c r="G12" s="2072" t="s">
        <v>1794</v>
      </c>
      <c r="H12" s="2072" t="s">
        <v>1795</v>
      </c>
      <c r="I12" s="2072" t="s">
        <v>1796</v>
      </c>
      <c r="J12" s="2042"/>
      <c r="K12" s="2051"/>
      <c r="L12" s="2028"/>
      <c r="M12" s="2028"/>
      <c r="N12" s="2029"/>
      <c r="O12" s="2030"/>
      <c r="P12" s="2029"/>
      <c r="Q12" s="2029"/>
      <c r="R12" s="2029"/>
    </row>
    <row r="13" spans="1:19" ht="18" customHeight="1">
      <c r="A13" s="2073"/>
      <c r="B13" s="2074"/>
      <c r="C13" s="2075" t="s">
        <v>1797</v>
      </c>
      <c r="D13" s="2076"/>
      <c r="E13" s="2076">
        <v>52938</v>
      </c>
      <c r="F13" s="2076">
        <v>56590</v>
      </c>
      <c r="G13" s="2076">
        <v>56590</v>
      </c>
      <c r="H13" s="2076"/>
      <c r="I13" s="1047"/>
      <c r="J13" s="2042"/>
      <c r="K13" s="2051"/>
      <c r="L13" s="2028"/>
      <c r="M13" s="2028"/>
      <c r="N13" s="2029"/>
      <c r="O13" s="2030"/>
      <c r="P13" s="2029"/>
      <c r="Q13" s="2029"/>
      <c r="R13" s="2029"/>
    </row>
    <row r="14" spans="1:19" ht="18" customHeight="1">
      <c r="A14" s="2073"/>
      <c r="B14" s="2074"/>
      <c r="C14" s="2075" t="s">
        <v>1798</v>
      </c>
      <c r="D14" s="1050"/>
      <c r="E14" s="1050">
        <v>40</v>
      </c>
      <c r="F14" s="1050">
        <v>50</v>
      </c>
      <c r="G14" s="1050">
        <v>50</v>
      </c>
      <c r="H14" s="1050"/>
      <c r="I14" s="1050"/>
      <c r="J14" s="2042"/>
      <c r="K14" s="2077"/>
      <c r="L14" s="2028"/>
      <c r="M14" s="2028"/>
      <c r="N14" s="2029"/>
      <c r="O14" s="2030"/>
      <c r="P14" s="2029"/>
      <c r="Q14" s="2029"/>
      <c r="R14" s="2029"/>
    </row>
    <row r="15" spans="1:19" ht="18" customHeight="1">
      <c r="A15" s="2060"/>
      <c r="B15" s="2078"/>
      <c r="C15" s="2075" t="s">
        <v>1799</v>
      </c>
      <c r="D15" s="1049" t="str">
        <f>IF(B12="出让",IF(D13="","",ROUNDDOWN(MIN((D13-$D$3)/365,D14),2)),D14)</f>
        <v/>
      </c>
      <c r="E15" s="1049">
        <f>IF(B12="出让",IF(E13="","",ROUNDDOWN(MIN((E13-$D$3)/365,E14),2)),E14)</f>
        <v>26.61</v>
      </c>
      <c r="F15" s="1049">
        <f>IF(B12="出让",IF(F13="","",ROUNDDOWN(MIN((F13-$D$3)/365,F14),2)),F14)</f>
        <v>36.619999999999997</v>
      </c>
      <c r="G15" s="1049">
        <f>IF(B12="出让",IF(G13="","",ROUNDDOWN(MIN((G13-$D$3)/365,G14),2)),G14)</f>
        <v>36.619999999999997</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1800</v>
      </c>
      <c r="B16" s="3079" t="s">
        <v>3127</v>
      </c>
      <c r="C16" s="3080"/>
      <c r="D16" s="3081"/>
      <c r="E16" s="2082" t="s">
        <v>1801</v>
      </c>
      <c r="F16" s="3082" t="s">
        <v>3128</v>
      </c>
      <c r="G16" s="3083"/>
      <c r="H16" s="3083"/>
      <c r="I16" s="3084"/>
      <c r="J16" s="2029"/>
      <c r="K16" s="2079"/>
      <c r="L16" s="2080"/>
      <c r="M16" s="2080"/>
      <c r="N16" s="2081"/>
      <c r="O16" s="2080"/>
      <c r="P16" s="2081"/>
      <c r="Q16" s="2029"/>
      <c r="R16" s="2029"/>
    </row>
    <row r="17" spans="1:22" ht="18" customHeight="1">
      <c r="A17" s="2083" t="s">
        <v>1802</v>
      </c>
      <c r="B17" s="2035" t="s">
        <v>1803</v>
      </c>
      <c r="C17" s="1054">
        <f>'数据-汇总表'!E3</f>
        <v>28872.97</v>
      </c>
      <c r="D17" s="2084" t="s">
        <v>1804</v>
      </c>
      <c r="E17" s="3085" t="s">
        <v>3129</v>
      </c>
      <c r="F17" s="3086"/>
      <c r="G17" s="3086"/>
      <c r="H17" s="3086"/>
      <c r="I17" s="3087"/>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11364.7</v>
      </c>
      <c r="D18" s="2087" t="s">
        <v>1804</v>
      </c>
      <c r="E18" s="3088" t="s">
        <v>3130</v>
      </c>
      <c r="F18" s="3089"/>
      <c r="G18" s="3089"/>
      <c r="H18" s="3089"/>
      <c r="I18" s="3090"/>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3131</v>
      </c>
      <c r="D19" s="2089" t="s">
        <v>1809</v>
      </c>
      <c r="E19" s="2090" t="s">
        <v>3131</v>
      </c>
      <c r="F19" s="2091" t="str">
        <f>IF(AND(C19="是",E19="否"),"是否提供他项权证或相关说明","")</f>
        <v/>
      </c>
      <c r="G19" s="2092" t="s">
        <v>3132</v>
      </c>
      <c r="H19" s="2042"/>
      <c r="I19" s="2042"/>
      <c r="J19" s="2042"/>
      <c r="K19" s="2051"/>
      <c r="L19" s="2028"/>
      <c r="M19" s="2028"/>
      <c r="N19" s="2081"/>
      <c r="O19" s="2080"/>
      <c r="P19" s="2081"/>
      <c r="Q19" s="2029"/>
      <c r="R19" s="2029"/>
      <c r="S19" s="2029"/>
      <c r="T19" s="2029"/>
      <c r="U19" s="2029"/>
      <c r="V19" s="2029"/>
    </row>
    <row r="20" spans="1:22" ht="18" customHeight="1">
      <c r="A20" s="2093" t="s">
        <v>1810</v>
      </c>
      <c r="B20" s="3075" t="s">
        <v>1811</v>
      </c>
      <c r="C20" s="3076"/>
      <c r="D20" s="3077" t="s">
        <v>1812</v>
      </c>
      <c r="E20" s="3078"/>
      <c r="F20" s="2094" t="s">
        <v>1813</v>
      </c>
      <c r="G20" s="2042"/>
      <c r="H20" s="2042"/>
      <c r="I20" s="2042"/>
      <c r="J20" s="2042"/>
      <c r="K20" s="3074" t="s">
        <v>1814</v>
      </c>
      <c r="L20" s="748"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3133</v>
      </c>
      <c r="D21" s="2097"/>
      <c r="E21" s="2098"/>
      <c r="F21" s="2099"/>
      <c r="G21" s="2042"/>
      <c r="H21" s="2042"/>
      <c r="I21" s="2042"/>
      <c r="J21" s="2042"/>
      <c r="K21" s="307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7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8"/>
      <c r="N22" s="2081"/>
      <c r="O22" s="2080"/>
      <c r="P22" s="2081"/>
      <c r="Q22" s="2029"/>
      <c r="R22" s="2029"/>
      <c r="S22" s="2029"/>
      <c r="T22" s="2029"/>
      <c r="U22" s="2029"/>
      <c r="V22" s="2029"/>
    </row>
    <row r="23" spans="1:22" ht="18" customHeight="1">
      <c r="A23" s="2102" t="s">
        <v>1816</v>
      </c>
      <c r="B23" s="183" t="s">
        <v>1817</v>
      </c>
      <c r="C23" s="2103"/>
      <c r="D23" s="2104" t="s">
        <v>1817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1818</v>
      </c>
      <c r="C24" s="2108"/>
      <c r="D24" s="2102" t="s">
        <v>1818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1819</v>
      </c>
      <c r="C25" s="2108"/>
      <c r="D25" s="2102" t="s">
        <v>1819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1820</v>
      </c>
      <c r="C26" s="2112"/>
      <c r="D26" s="2113" t="s">
        <v>1821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92" t="s">
        <v>1822</v>
      </c>
      <c r="B27" s="2060" t="s">
        <v>1823</v>
      </c>
      <c r="C27" s="2116" t="s">
        <v>3134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92"/>
      <c r="B28" s="2035" t="s">
        <v>1824</v>
      </c>
      <c r="C28" s="2118" t="s">
        <v>3135</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92"/>
      <c r="B29" s="2035" t="s">
        <v>1825</v>
      </c>
      <c r="C29" s="2121" t="s">
        <v>3132</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93"/>
      <c r="B30" s="2035" t="s">
        <v>1826</v>
      </c>
      <c r="C30" s="3094"/>
      <c r="D30" s="309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96" t="s">
        <v>1827</v>
      </c>
      <c r="B31" s="2123" t="s">
        <v>3136</v>
      </c>
      <c r="C31" s="2124" t="str">
        <f>IF(B31="现房","成新及维护状况正常否",IF(B31="在建","工程状态是否正常",IF(B31="土地","是否闲置","-")))</f>
        <v>成新及维护状况正常否</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97"/>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97"/>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1828</v>
      </c>
      <c r="B34" s="2130" t="s">
        <v>3137</v>
      </c>
      <c r="C34" s="2130" t="s">
        <v>3138</v>
      </c>
      <c r="D34" s="2130" t="s">
        <v>3139</v>
      </c>
      <c r="E34" s="2130" t="s">
        <v>3140</v>
      </c>
      <c r="F34" s="2130" t="s">
        <v>3141</v>
      </c>
      <c r="G34" s="2130" t="s">
        <v>3142</v>
      </c>
      <c r="H34" s="2130" t="s">
        <v>3143</v>
      </c>
      <c r="I34" s="2042"/>
      <c r="J34" s="2042"/>
      <c r="K34" s="1795">
        <f>COUNTIF(B34:H34,"——")</f>
        <v>0</v>
      </c>
      <c r="L34" s="2071" t="s">
        <v>1829</v>
      </c>
      <c r="M34" s="2071" t="s">
        <v>1830</v>
      </c>
      <c r="N34" s="2071" t="s">
        <v>1831</v>
      </c>
      <c r="O34" s="2071" t="s">
        <v>1832</v>
      </c>
      <c r="P34" s="2071" t="s">
        <v>1833</v>
      </c>
      <c r="Q34" s="2071" t="s">
        <v>1834</v>
      </c>
      <c r="R34" s="2071" t="s">
        <v>1835</v>
      </c>
      <c r="S34" s="3091" t="s">
        <v>1836</v>
      </c>
      <c r="T34" s="2131" t="str">
        <f>NUMBERSTRING(7-K34,1)&amp;"通"</f>
        <v>七通</v>
      </c>
      <c r="U34" s="2029"/>
      <c r="V34" s="2029"/>
    </row>
    <row r="35" spans="1:22" ht="18" customHeight="1">
      <c r="A35" s="2132"/>
      <c r="B35" s="3098" t="s">
        <v>1837</v>
      </c>
      <c r="C35" s="3098"/>
      <c r="D35" s="3098"/>
      <c r="E35" s="3098"/>
      <c r="F35" s="2133">
        <f>C10</f>
        <v>0</v>
      </c>
      <c r="G35" s="2042"/>
      <c r="H35" s="2042"/>
      <c r="I35" s="2042"/>
      <c r="J35" s="2042"/>
      <c r="K35" s="2071"/>
      <c r="L35" s="2071"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通路、通电、通上水、通下水、通讯、通热、燃气</v>
      </c>
      <c r="S35" s="3091"/>
      <c r="T35" s="48" t="str">
        <f>IF(T34="一通",L35,IF(T34="二通",M35,IF(T34="三通",N35,IF(T34="四通",O35,IF(T34="五通",P35,IF(T34="六通",Q35,R35))))))</f>
        <v>通路、通电、通上水、通下水、通讯、通热、燃气</v>
      </c>
      <c r="U35" s="2029"/>
      <c r="V35" s="2029"/>
    </row>
    <row r="36" spans="1:22" ht="18" customHeight="1">
      <c r="A36" s="2134"/>
      <c r="B36" s="2133" t="s">
        <v>1838</v>
      </c>
      <c r="C36" s="2133" t="s">
        <v>1839</v>
      </c>
      <c r="D36" s="2133" t="s">
        <v>1840</v>
      </c>
      <c r="E36" s="2133" t="s">
        <v>1841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1842</v>
      </c>
      <c r="B37" s="2137" t="s">
        <v>56</v>
      </c>
      <c r="C37" s="2137" t="s">
        <v>56</v>
      </c>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1843</v>
      </c>
      <c r="B38" s="2139" t="s">
        <v>263</v>
      </c>
      <c r="C38" s="2139" t="s">
        <v>263</v>
      </c>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1845</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11364.7</v>
      </c>
      <c r="B3" s="14">
        <f>IF(C3="否",G5-AT5,G5)</f>
        <v>28872.97</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28872.97</v>
      </c>
      <c r="H5" s="16">
        <f t="shared" ref="H5:AT5" si="0">SUM(H13:H656)</f>
        <v>28872.97</v>
      </c>
      <c r="I5" s="16">
        <f t="shared" si="0"/>
        <v>4292.6099999999997</v>
      </c>
      <c r="J5" s="16">
        <f t="shared" si="0"/>
        <v>0</v>
      </c>
      <c r="K5" s="16">
        <f t="shared" si="0"/>
        <v>17274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28872.97</v>
      </c>
      <c r="BA5" s="18">
        <f t="shared" si="1"/>
        <v>28872.97</v>
      </c>
      <c r="BB5" s="18">
        <f t="shared" si="1"/>
        <v>4292.6099999999997</v>
      </c>
      <c r="BC5" s="18">
        <f t="shared" si="1"/>
        <v>17274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3145</v>
      </c>
      <c r="J9" s="981"/>
      <c r="K9" s="2188" t="s">
        <v>3145</v>
      </c>
      <c r="L9" s="981"/>
      <c r="M9" s="2188" t="s">
        <v>3148</v>
      </c>
      <c r="N9" s="981"/>
      <c r="O9" s="2188" t="s">
        <v>3148</v>
      </c>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1377</v>
      </c>
      <c r="J10" s="981"/>
      <c r="K10" s="2194" t="s">
        <v>27</v>
      </c>
      <c r="L10" s="981"/>
      <c r="M10" s="2194" t="s">
        <v>1377</v>
      </c>
      <c r="N10" s="981"/>
      <c r="O10" s="2194" t="s">
        <v>3150</v>
      </c>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3146</v>
      </c>
      <c r="J11" s="2200"/>
      <c r="K11" s="2199" t="s">
        <v>3147</v>
      </c>
      <c r="L11" s="2200"/>
      <c r="M11" s="2199" t="s">
        <v>3146</v>
      </c>
      <c r="N11" s="2200"/>
      <c r="O11" s="2199" t="s">
        <v>3149</v>
      </c>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办公</v>
      </c>
      <c r="BD11" s="2184" t="str">
        <f>M10</f>
        <v>商业</v>
      </c>
      <c r="BE11" s="2184" t="str">
        <f>O10</f>
        <v>车库—办公</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底商</v>
      </c>
      <c r="BC12" s="2209" t="str">
        <f>K11</f>
        <v>办公楼</v>
      </c>
      <c r="BD12" s="2209" t="str">
        <f>M11</f>
        <v>底商</v>
      </c>
      <c r="BE12" s="2184" t="str">
        <f>O11</f>
        <v>车库</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1377</v>
      </c>
      <c r="D13" s="2210" t="s">
        <v>3131</v>
      </c>
      <c r="E13" s="16">
        <f>IF($C$3="是",ROUND($A$3*G13/$B$3,2),ROUND($A$3*(G13-AT13)/$B$3,2))</f>
        <v>2680.6</v>
      </c>
      <c r="F13" s="32"/>
      <c r="G13" s="33">
        <f>H13+AC13+AT13</f>
        <v>6810.2999999999993</v>
      </c>
      <c r="H13" s="20">
        <f>SUMIF(I$12:AB$12,"总值",I13:AB13)</f>
        <v>6810.2999999999993</v>
      </c>
      <c r="I13" s="2211">
        <f>2111.34+475.91+1705.36</f>
        <v>4292.6099999999997</v>
      </c>
      <c r="J13" s="2211"/>
      <c r="K13" s="2211"/>
      <c r="L13" s="2211"/>
      <c r="M13" s="2211">
        <v>2517.69</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商业</v>
      </c>
      <c r="AY13" s="1806">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t="s">
        <v>3144</v>
      </c>
      <c r="D14" s="2210" t="s">
        <v>3131</v>
      </c>
      <c r="E14" s="16">
        <f>IF($C$3="是",ROUND($A$3*G14/$B$3,2),ROUND($A$3*(G14-AT14)/$B$3,2))</f>
        <v>6799.23</v>
      </c>
      <c r="F14" s="32"/>
      <c r="G14" s="33">
        <f>H14+AC14+AT14</f>
        <v>17274</v>
      </c>
      <c r="H14" s="20">
        <f>SUMIF(I$12:AB$12,"总值",I14:AB14)</f>
        <v>17274</v>
      </c>
      <c r="I14" s="2211"/>
      <c r="J14" s="2211"/>
      <c r="K14" s="2211">
        <f>28872.97-I13-M13-O15</f>
        <v>17274</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地上办公</v>
      </c>
      <c r="AY14" s="1806">
        <f>ROUND($AY$6*AZ14/$AZ$5,2)</f>
        <v>6799.23</v>
      </c>
      <c r="AZ14" s="16">
        <f>BA14+BL14</f>
        <v>17274</v>
      </c>
      <c r="BA14" s="16">
        <f>SUM(BB14:BK14)</f>
        <v>17274</v>
      </c>
      <c r="BB14" s="16">
        <f>IF($D14="是",I14-J14,0)</f>
        <v>0</v>
      </c>
      <c r="BC14" s="16">
        <f>IF($D14="是",K14-L14,0)</f>
        <v>17274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t="s">
        <v>48</v>
      </c>
      <c r="D15" s="2210" t="s">
        <v>3131</v>
      </c>
      <c r="E15" s="16">
        <f>IF($C$3="是",ROUND($A$3*G15/$B$3,2),ROUND($A$3*(G15-AT15)/$B$3,2))</f>
        <v>1884.87</v>
      </c>
      <c r="F15" s="32"/>
      <c r="G15" s="33">
        <f>H15+AC15+AT15</f>
        <v>4788.67</v>
      </c>
      <c r="H15" s="20">
        <f>SUMIF(I$12:AB$12,"总值",I15:AB15)</f>
        <v>4788.67</v>
      </c>
      <c r="I15" s="2211"/>
      <c r="J15" s="2211"/>
      <c r="K15" s="2211"/>
      <c r="L15" s="2211"/>
      <c r="M15" s="2211"/>
      <c r="N15" s="2211"/>
      <c r="O15" s="2211">
        <v>4788.67</v>
      </c>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110" t="s">
        <v>1933</v>
      </c>
      <c r="B2" s="3110"/>
      <c r="C2" s="3110"/>
      <c r="D2" s="967" t="s">
        <v>1909</v>
      </c>
      <c r="E2" s="2224" t="s">
        <v>1910</v>
      </c>
      <c r="F2" s="1392"/>
      <c r="G2" s="2225"/>
      <c r="H2" s="2226"/>
      <c r="I2" s="2227" t="s">
        <v>1934</v>
      </c>
      <c r="J2" s="1392"/>
      <c r="K2" s="1392"/>
      <c r="L2" s="1392"/>
      <c r="M2" s="1392"/>
      <c r="N2" s="1427"/>
      <c r="O2" s="1392"/>
      <c r="P2" s="1392"/>
    </row>
    <row r="3" spans="1:16" ht="15.75" thickBot="1">
      <c r="A3" s="3111" t="s">
        <v>1907</v>
      </c>
      <c r="B3" s="3111"/>
      <c r="C3" s="3111"/>
      <c r="D3" s="46">
        <f>'数据-基础表'!AY6</f>
        <v>11364.7</v>
      </c>
      <c r="E3" s="46">
        <f>'数据-基础表'!AZ5</f>
        <v>28872.97</v>
      </c>
      <c r="F3" s="1392"/>
      <c r="G3" s="1399"/>
      <c r="H3" s="1247" t="s">
        <v>1908</v>
      </c>
      <c r="I3" s="55">
        <f>ROUND('数据-基础表'!B3/'数据-基础表'!A3,2)</f>
        <v>2.54</v>
      </c>
      <c r="J3" s="1392"/>
      <c r="K3" s="1392"/>
      <c r="L3" s="1392"/>
      <c r="M3" s="1392"/>
      <c r="N3" s="1427"/>
      <c r="O3" s="1392"/>
      <c r="P3" s="1392"/>
    </row>
    <row r="4" spans="1:16" ht="15">
      <c r="A4" s="3112"/>
      <c r="B4" s="3113"/>
      <c r="C4" s="3114"/>
      <c r="D4" s="2228" t="s">
        <v>1909</v>
      </c>
      <c r="E4" s="2229" t="s">
        <v>1910</v>
      </c>
      <c r="F4" s="1392"/>
      <c r="G4" s="2230" t="s">
        <v>1935</v>
      </c>
      <c r="H4" s="1247" t="s">
        <v>1915</v>
      </c>
      <c r="I4" s="55">
        <f>ROUND(SUMIF('数据-基础表'!I9:AS9,"地上",'数据-基础表'!I5:AS5)/'数据-基础表'!A3,2)</f>
        <v>1.9</v>
      </c>
      <c r="J4" s="1392"/>
      <c r="K4" s="1392"/>
      <c r="L4" s="1392"/>
      <c r="M4" s="1392"/>
      <c r="N4" s="1427"/>
      <c r="O4" s="1392"/>
      <c r="P4" s="1392"/>
    </row>
    <row r="5" spans="1:16">
      <c r="A5" s="47" t="s">
        <v>1911</v>
      </c>
      <c r="B5" s="3115" t="s">
        <v>1912</v>
      </c>
      <c r="C5" s="3115"/>
      <c r="D5" s="48">
        <f>ROUND($D$3*E5/$E$3,2)</f>
        <v>0</v>
      </c>
      <c r="E5" s="49">
        <f>SUMIF('数据-基础表'!$11:$11,"住宅",'数据-基础表'!$5:$5)</f>
        <v>0</v>
      </c>
      <c r="F5" s="1392"/>
      <c r="G5" s="1399"/>
      <c r="H5" s="1247" t="s">
        <v>1908</v>
      </c>
      <c r="I5" s="55">
        <f>ROUND(E31/D31,2)</f>
        <v>2.54</v>
      </c>
      <c r="J5" s="1392"/>
      <c r="K5" s="1392"/>
      <c r="L5" s="1392"/>
      <c r="M5" s="1392"/>
      <c r="N5" s="1392"/>
      <c r="O5" s="1392"/>
      <c r="P5" s="1392"/>
    </row>
    <row r="6" spans="1:16" ht="15" thickBot="1">
      <c r="A6" s="2231"/>
      <c r="B6" s="3115" t="s">
        <v>1913</v>
      </c>
      <c r="C6" s="3115"/>
      <c r="D6" s="48">
        <f>ROUND($D$3*E6/$E$3,2)</f>
        <v>11364.7</v>
      </c>
      <c r="E6" s="49">
        <f>E3-E5</f>
        <v>28872.97</v>
      </c>
      <c r="F6" s="1392"/>
      <c r="G6" s="2232" t="s">
        <v>1914</v>
      </c>
      <c r="H6" s="1399" t="s">
        <v>1915</v>
      </c>
      <c r="I6" s="939">
        <f>ROUND(F31/D31,2)</f>
        <v>1.9</v>
      </c>
      <c r="J6" s="1392"/>
      <c r="K6" s="1392"/>
      <c r="L6" s="1392"/>
      <c r="M6" s="1392"/>
      <c r="N6" s="1392"/>
      <c r="O6" s="1392"/>
      <c r="P6" s="1392"/>
    </row>
    <row r="7" spans="1:16" ht="15">
      <c r="A7" s="3107"/>
      <c r="B7" s="3108"/>
      <c r="C7" s="3109"/>
      <c r="D7" s="2228" t="s">
        <v>1909</v>
      </c>
      <c r="E7" s="2233" t="s">
        <v>1916</v>
      </c>
      <c r="F7" s="1392"/>
      <c r="G7" s="2225" t="s">
        <v>1917</v>
      </c>
      <c r="H7" s="64"/>
      <c r="I7" s="420"/>
      <c r="J7" s="1392"/>
      <c r="K7" s="1392"/>
      <c r="L7" s="1392"/>
      <c r="M7" s="1392"/>
      <c r="N7" s="1392"/>
      <c r="O7" s="1392"/>
      <c r="P7" s="1392"/>
    </row>
    <row r="8" spans="1:16">
      <c r="A8" s="47" t="s">
        <v>1918</v>
      </c>
      <c r="B8" s="50" t="s">
        <v>1919</v>
      </c>
      <c r="C8" s="48" t="s">
        <v>1920</v>
      </c>
      <c r="D8" s="48">
        <f t="shared" ref="D8:D15" si="0">ROUND($D$3*E8/$E$3,2)</f>
        <v>8488.84</v>
      </c>
      <c r="E8" s="51">
        <f>SUMIF('数据-基础表'!BB10:BK10,"地上",'数据-基础表'!BB5:BK5)</f>
        <v>21566.61</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990.99</v>
      </c>
      <c r="E10" s="51">
        <f>SUMPRODUCT(('数据-基础表'!BB10:BK10="地下")*('数据-基础表'!BB11:BK11="商业")*('数据-基础表'!BB5:BK5))</f>
        <v>2517.69</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1884.87</v>
      </c>
      <c r="E15" s="51">
        <f>SUMPRODUCT(('数据-基础表'!BB10:BK10="地下")*('数据-基础表'!BB11:BK11="车库—办公")*('数据-基础表'!BB5:BK5))</f>
        <v>4788.67</v>
      </c>
      <c r="F15" s="1392"/>
      <c r="G15" s="2234"/>
      <c r="H15" s="2234"/>
      <c r="I15" s="1392"/>
      <c r="J15" s="1392"/>
      <c r="K15" s="1392"/>
      <c r="L15" s="1392"/>
      <c r="M15" s="1392"/>
      <c r="N15" s="1392"/>
      <c r="O15" s="1392"/>
      <c r="P15" s="1392"/>
    </row>
    <row r="16" spans="1:16" ht="15.75" thickBot="1">
      <c r="A16" s="2231"/>
      <c r="B16" s="2236"/>
      <c r="C16" s="50" t="s">
        <v>1925</v>
      </c>
      <c r="D16" s="50">
        <f>SUM(D8:D15)</f>
        <v>11364.7</v>
      </c>
      <c r="E16" s="53">
        <f>SUM(E8:E15)</f>
        <v>28872.97</v>
      </c>
      <c r="F16" s="1392"/>
      <c r="G16" s="2234"/>
      <c r="H16" s="2237" t="s">
        <v>1937</v>
      </c>
      <c r="I16" s="2238"/>
      <c r="J16" s="1392"/>
      <c r="K16" s="3104" t="s">
        <v>1937</v>
      </c>
      <c r="L16" s="3105"/>
      <c r="M16" s="3105"/>
      <c r="N16" s="3105"/>
      <c r="O16" s="3105"/>
      <c r="P16" s="3106"/>
    </row>
    <row r="17" spans="1:19" ht="15">
      <c r="A17" s="2239" t="s">
        <v>1938</v>
      </c>
      <c r="B17" s="2240" t="s">
        <v>1939</v>
      </c>
      <c r="C17" s="2241" t="s">
        <v>1940</v>
      </c>
      <c r="D17" s="2242" t="s">
        <v>1928</v>
      </c>
      <c r="E17" s="2243" t="s">
        <v>1929</v>
      </c>
      <c r="F17" s="2244"/>
      <c r="G17" s="2245"/>
      <c r="H17" s="2246" t="s">
        <v>1941</v>
      </c>
      <c r="I17" s="2247" t="s">
        <v>1926</v>
      </c>
      <c r="J17" s="1392"/>
      <c r="K17" s="3101" t="s">
        <v>1942</v>
      </c>
      <c r="L17" s="3102"/>
      <c r="M17" s="3103"/>
      <c r="N17" s="3101" t="s">
        <v>1943</v>
      </c>
      <c r="O17" s="3102"/>
      <c r="P17" s="3103"/>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3007" t="s">
        <v>3203</v>
      </c>
      <c r="D19" s="48">
        <f>ROUND($D$3*E19/$E$3,2)</f>
        <v>2680.6</v>
      </c>
      <c r="E19" s="56">
        <f t="shared" ref="E19:E26" si="1">SUM(F19:G19)</f>
        <v>6810.2999999999993</v>
      </c>
      <c r="F19" s="57">
        <f>'数据-基础表'!I13</f>
        <v>4292.6099999999997</v>
      </c>
      <c r="G19" s="58">
        <f>'数据-基础表'!M13</f>
        <v>2517.69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2680.6</v>
      </c>
      <c r="S19" s="1248">
        <f t="shared" si="5"/>
        <v>6810.2999999999993</v>
      </c>
    </row>
    <row r="20" spans="1:19">
      <c r="A20" s="2259"/>
      <c r="B20" s="50" t="s">
        <v>1955</v>
      </c>
      <c r="C20" s="3007" t="s">
        <v>3151</v>
      </c>
      <c r="D20" s="48">
        <f t="shared" ref="D20:D26" si="6">ROUND($D$3*E20/$E$3,2)</f>
        <v>6799.23</v>
      </c>
      <c r="E20" s="56">
        <f t="shared" si="1"/>
        <v>17274</v>
      </c>
      <c r="F20" s="57">
        <f>'数据-基础表'!K14</f>
        <v>17274</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6799.23</v>
      </c>
      <c r="S20" s="1248">
        <f t="shared" si="5"/>
        <v>17274</v>
      </c>
    </row>
    <row r="21" spans="1:19">
      <c r="A21" s="2259"/>
      <c r="B21" s="50" t="s">
        <v>1955</v>
      </c>
      <c r="C21" s="3007" t="s">
        <v>3152</v>
      </c>
      <c r="D21" s="48">
        <f t="shared" si="6"/>
        <v>1884.87</v>
      </c>
      <c r="E21" s="56">
        <f t="shared" si="1"/>
        <v>4788.67</v>
      </c>
      <c r="F21" s="57"/>
      <c r="G21" s="58">
        <f>'数据-基础表'!O15</f>
        <v>4788.67</v>
      </c>
      <c r="H21" s="723">
        <f t="shared" si="7"/>
        <v>0</v>
      </c>
      <c r="I21" s="51">
        <f t="shared" si="2"/>
        <v>0</v>
      </c>
      <c r="J21" s="1392"/>
      <c r="K21" s="1391">
        <f t="shared" si="3"/>
        <v>0</v>
      </c>
      <c r="L21" s="1247">
        <f t="shared" si="4"/>
        <v>0</v>
      </c>
      <c r="M21" s="1403">
        <f t="shared" si="8"/>
        <v>0</v>
      </c>
      <c r="N21" s="2257"/>
      <c r="O21" s="2258"/>
      <c r="P21" s="1403">
        <f t="shared" si="9"/>
        <v>0</v>
      </c>
      <c r="R21" s="1247">
        <f t="shared" si="5"/>
        <v>1884.87</v>
      </c>
      <c r="S21" s="1248">
        <f t="shared" si="5"/>
        <v>4788.67</v>
      </c>
    </row>
    <row r="22" spans="1:19" hidden="1">
      <c r="A22" s="2259"/>
      <c r="B22" s="50" t="s">
        <v>1955</v>
      </c>
      <c r="C22" s="3007"/>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idden="1">
      <c r="A23" s="2259"/>
      <c r="B23" s="50" t="s">
        <v>1955</v>
      </c>
      <c r="C23" s="3007"/>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idden="1">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idden="1">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idden="1">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11364.7</v>
      </c>
      <c r="E27" s="1394">
        <f>IF(SUM(E19:E26)='数据-基础表'!BA5,SUM(E19:E26),IF(F27="地上面积有误","面积有误","地下面积有误"))</f>
        <v>28872.97</v>
      </c>
      <c r="F27" s="1393">
        <f>IF(SUM(F19:F26)=E8,SUM(F19:F26),"地上面积有误")</f>
        <v>21566.61</v>
      </c>
      <c r="G27" s="1395">
        <f>SUM(G19:G26)</f>
        <v>7306.3600000000006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11364.7</v>
      </c>
      <c r="S27" s="1247">
        <f>IF(SUM(S19:S26)=$E$3,SUM(S19:S26),SUM(S19:S26)&amp;"误差"&amp;ROUND(SUM(S19:S26)-E3,2))</f>
        <v>28872.97</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11364.7</v>
      </c>
      <c r="E31" s="729">
        <f>E27+E30</f>
        <v>28872.97</v>
      </c>
      <c r="F31" s="730">
        <f>F27+F30</f>
        <v>21566.61</v>
      </c>
      <c r="G31" s="731">
        <f>G27+G30</f>
        <v>7306.3600000000006</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7" sqref="G26:H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1963</v>
      </c>
      <c r="B2" s="1266">
        <f>项目基本情况!D3</f>
        <v>43222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3153</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1" t="s">
        <v>2003</v>
      </c>
      <c r="AP5" s="1249" t="s">
        <v>2004</v>
      </c>
      <c r="AQ5" s="2301" t="s">
        <v>2005</v>
      </c>
      <c r="AR5" s="2301"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商业</v>
      </c>
      <c r="B6" s="2303" t="str">
        <f>IF(A6=0,"","经营性")</f>
        <v>经营性</v>
      </c>
      <c r="C6" s="2304" t="s">
        <v>1377</v>
      </c>
      <c r="D6" s="1051">
        <f>SUMIF(项目基本情况!D$12:I$12,C6,项目基本情况!D$14:I$14)</f>
        <v>40</v>
      </c>
      <c r="E6" s="1048">
        <f>IF(B6="","",SUMIF(项目基本情况!D$12:I$12,C6,项目基本情况!D$13:I$13))</f>
        <v>52938</v>
      </c>
      <c r="F6" s="72">
        <f>SUMIF(项目基本情况!D$12:I$12,C6,项目基本情况!D$15:I$15)</f>
        <v>26.61</v>
      </c>
      <c r="G6" s="73">
        <f>IF(ISERROR(ROUND(POWER(1+H6,D6-F6)*(POWER(1+H6,F6)-1)/(POWER(1+H6,D6)-1),3)),0,ROUND(POWER(1+H6,D6-F6)*(POWER(1+H6,F6)-1)/(POWER(1+H6,D6)-1),3))</f>
        <v>0.84699999999999998</v>
      </c>
      <c r="H6" s="802">
        <v>0.05</v>
      </c>
      <c r="I6" s="802">
        <v>0.06</v>
      </c>
      <c r="J6" s="74">
        <v>8.5000000000000006E-2</v>
      </c>
      <c r="K6" s="1251">
        <f>SUMIF('数据-汇总表'!C$19:C$33,A6,'数据-汇总表'!E$19:E$33)</f>
        <v>6810.2999999999993</v>
      </c>
      <c r="L6" s="803">
        <v>4000</v>
      </c>
      <c r="M6" s="75">
        <f t="shared" ref="M6:M14" si="0">ROUND(K6*L6/10000,0)</f>
        <v>2724</v>
      </c>
      <c r="N6" s="801">
        <f>ROUND(1-(2018-2010)/60,2)</f>
        <v>0.87</v>
      </c>
      <c r="O6" s="75" t="str">
        <f>IF($N$5="成新度","——",ROUND(M6*N6,0))</f>
        <v>——</v>
      </c>
      <c r="P6" s="76" t="str">
        <f>IF($N$5="成新度","——",M6-O6)</f>
        <v>——</v>
      </c>
      <c r="Q6" s="804">
        <v>0.25</v>
      </c>
      <c r="R6" s="77">
        <f ca="1">SUMIF('数据-汇总表'!C$19:C$33,A6,'数据-汇总表'!R$19:R$27)</f>
        <v>2680.6</v>
      </c>
      <c r="S6" s="54">
        <f>IF('数据-汇总表'!$I$17="按面积比例",SUMIF('数据-汇总表'!C$19:C$33,A6,'数据-汇总表'!K$19:K$33),SUMIF('数据-汇总表'!C$19:C$33,A6,'数据-汇总表'!N$19:N$33))</f>
        <v>0</v>
      </c>
      <c r="T6" s="1443">
        <f>ROUND($L$14*S6/10000,0)</f>
        <v>0</v>
      </c>
      <c r="U6" s="78">
        <f>租金!M21</f>
        <v>5.57</v>
      </c>
      <c r="V6" s="79">
        <v>0</v>
      </c>
      <c r="W6" s="79">
        <v>0</v>
      </c>
      <c r="X6" s="1261"/>
      <c r="Y6" s="80">
        <f>N6</f>
        <v>0.87</v>
      </c>
      <c r="Z6" s="81">
        <f>租金!M22</f>
        <v>7.8</v>
      </c>
      <c r="AA6" s="74">
        <v>0.03</v>
      </c>
      <c r="AB6" s="74">
        <v>0.1</v>
      </c>
      <c r="AC6" s="1261"/>
      <c r="AD6" s="82">
        <f>ROUND(1-(2024-2010)/60,2)</f>
        <v>0.77</v>
      </c>
      <c r="AE6" s="1262">
        <f ca="1">IF(AN6="",0,SUMIF(INDIRECT("'"&amp;AN6&amp;"'"&amp;"!E:E"),$AE$5,INDIRECT("'"&amp;AN6&amp;"'"&amp;"!F:F")))</f>
        <v>26.61</v>
      </c>
      <c r="AF6" s="1804">
        <f>租金!M25</f>
        <v>6.17</v>
      </c>
      <c r="AG6" s="147">
        <f ca="1">IF(AF6="",0,AE6-AF6)</f>
        <v>20.439999999999998</v>
      </c>
      <c r="AH6" s="83"/>
      <c r="AI6" s="85">
        <v>365</v>
      </c>
      <c r="AJ6" s="86"/>
      <c r="AK6" s="87">
        <v>1.4999999999999999E-2</v>
      </c>
      <c r="AL6" s="88">
        <v>3.0000000000000001E-3</v>
      </c>
      <c r="AM6" s="89">
        <v>0.02</v>
      </c>
      <c r="AN6" s="2305" t="s">
        <v>3158</v>
      </c>
      <c r="AO6" s="55">
        <f ca="1">SUMIF(INDIRECT("'"&amp;AN6&amp;"'"&amp;"!A:A"),"总价",INDIRECT("'"&amp;AN6&amp;"'"&amp;"!B:B"))</f>
        <v>19179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办公</v>
      </c>
      <c r="B7" s="2303" t="str">
        <f t="shared" ref="B7:B13" si="1">IF(A7=0,"","经营性")</f>
        <v>经营性</v>
      </c>
      <c r="C7" s="2304" t="s">
        <v>27</v>
      </c>
      <c r="D7" s="1051">
        <f>SUMIF(项目基本情况!D$12:I$12,C7,项目基本情况!D$14:I$14)</f>
        <v>50</v>
      </c>
      <c r="E7" s="1048">
        <f>IF(B7="","",SUMIF(项目基本情况!D$12:I$12,C7,项目基本情况!D$13:I$13))</f>
        <v>56590</v>
      </c>
      <c r="F7" s="72">
        <f>SUMIF(项目基本情况!D$12:I$12,C7,项目基本情况!D$15:I$15)</f>
        <v>36.619999999999997</v>
      </c>
      <c r="G7" s="73">
        <f t="shared" ref="G7:G11" si="2">IF(ISERROR(ROUND(POWER(1+H7,D7-F7)*(POWER(1+H7,F7)-1)/(POWER(1+H7,D7)-1),3)),0,ROUND(POWER(1+H7,D7-F7)*(POWER(1+H7,F7)-1)/(POWER(1+H7,D7)-1),3))</f>
        <v>0.9</v>
      </c>
      <c r="H7" s="802">
        <v>4.4999999999999998E-2</v>
      </c>
      <c r="I7" s="802">
        <v>0.05</v>
      </c>
      <c r="J7" s="74">
        <v>8.5000000000000006E-2</v>
      </c>
      <c r="K7" s="1251">
        <f>SUMIF('数据-汇总表'!C$19:C$33,A7,'数据-汇总表'!E$19:E$33)</f>
        <v>17274</v>
      </c>
      <c r="L7" s="803">
        <v>3500</v>
      </c>
      <c r="M7" s="75">
        <f t="shared" si="0"/>
        <v>6046</v>
      </c>
      <c r="N7" s="801">
        <f t="shared" ref="N7:N8" si="3">ROUND(1-(2018-2010)/60,2)</f>
        <v>0.87</v>
      </c>
      <c r="O7" s="75" t="str">
        <f t="shared" ref="O7:O14" si="4">IF($N$5="成新度","——",ROUND(M7*N7,0))</f>
        <v>——</v>
      </c>
      <c r="P7" s="76" t="str">
        <f t="shared" ref="P7:P14" si="5">IF($N$5="成新度","——",M7-O7)</f>
        <v>——</v>
      </c>
      <c r="Q7" s="804">
        <v>0.2</v>
      </c>
      <c r="R7" s="77">
        <f ca="1">SUMIF('数据-汇总表'!C$19:C$33,A7,'数据-汇总表'!R$19:R$27)</f>
        <v>6799.23</v>
      </c>
      <c r="S7" s="54">
        <f>IF('数据-汇总表'!$I$17="按面积比例",SUMIF('数据-汇总表'!C$19:C$33,A7,'数据-汇总表'!K$19:K$33),SUMIF('数据-汇总表'!C$19:C$33,A7,'数据-汇总表'!N$19:N$33))</f>
        <v>0</v>
      </c>
      <c r="T7" s="1443">
        <f t="shared" ref="T7:T13" si="6">ROUND($L$14*S7/10000,0)</f>
        <v>0</v>
      </c>
      <c r="U7" s="78">
        <f>租金!M11</f>
        <v>6.13</v>
      </c>
      <c r="V7" s="79">
        <v>0</v>
      </c>
      <c r="W7" s="79">
        <v>0</v>
      </c>
      <c r="X7" s="1261"/>
      <c r="Y7" s="80">
        <f t="shared" ref="Y7:Y8" si="7">N7</f>
        <v>0.87</v>
      </c>
      <c r="Z7" s="81">
        <f>租金!M12</f>
        <v>7.2</v>
      </c>
      <c r="AA7" s="74">
        <v>0.03</v>
      </c>
      <c r="AB7" s="74">
        <v>0.1</v>
      </c>
      <c r="AC7" s="1261"/>
      <c r="AD7" s="82">
        <f>ROUND(1-(2022-2010)/60,2)</f>
        <v>0.8</v>
      </c>
      <c r="AE7" s="1262">
        <f t="shared" ref="AE7:AE13" ca="1" si="8">IF(AN7="",0,SUMIF(INDIRECT("'"&amp;AN7&amp;"'"&amp;"!E:E"),$AE$5,INDIRECT("'"&amp;AN7&amp;"'"&amp;"!F:F")))</f>
        <v>36.619999999999997</v>
      </c>
      <c r="AF7" s="1804">
        <f>租金!M15</f>
        <v>6.17</v>
      </c>
      <c r="AG7" s="147">
        <f t="shared" ref="AG7:AG13" ca="1" si="9">IF(AF7="",0,AE7-AF7)</f>
        <v>30.449999999999996</v>
      </c>
      <c r="AH7" s="83"/>
      <c r="AI7" s="85">
        <v>365</v>
      </c>
      <c r="AJ7" s="86"/>
      <c r="AK7" s="806">
        <v>1.4999999999999999E-2</v>
      </c>
      <c r="AL7" s="807">
        <v>3.0000000000000001E-3</v>
      </c>
      <c r="AM7" s="808">
        <v>0.02</v>
      </c>
      <c r="AN7" s="2305" t="s">
        <v>3156</v>
      </c>
      <c r="AO7" s="55">
        <f t="shared" ref="AO7:AO13" ca="1" si="10">SUMIF(INDIRECT("'"&amp;AN7&amp;"'"&amp;"!A:A"),"总价",INDIRECT("'"&amp;AN7&amp;"'"&amp;"!B:B"))</f>
        <v>66886</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车库</v>
      </c>
      <c r="B8" s="2303" t="str">
        <f t="shared" si="1"/>
        <v>经营性</v>
      </c>
      <c r="C8" s="2304" t="s">
        <v>3149</v>
      </c>
      <c r="D8" s="1051">
        <f>SUMIF(项目基本情况!D$12:I$12,C8,项目基本情况!D$14:I$14)</f>
        <v>50</v>
      </c>
      <c r="E8" s="1048">
        <f>IF(B8="","",SUMIF(项目基本情况!D$12:I$12,C8,项目基本情况!D$13:I$13))</f>
        <v>56590</v>
      </c>
      <c r="F8" s="72">
        <f>SUMIF(项目基本情况!D$12:I$12,C8,项目基本情况!D$15:I$15)</f>
        <v>36.619999999999997</v>
      </c>
      <c r="G8" s="73">
        <f t="shared" si="2"/>
        <v>0.9</v>
      </c>
      <c r="H8" s="802">
        <v>4.4999999999999998E-2</v>
      </c>
      <c r="I8" s="802">
        <v>0.05</v>
      </c>
      <c r="J8" s="74">
        <v>8.5000000000000006E-2</v>
      </c>
      <c r="K8" s="1251">
        <f>SUMIF('数据-汇总表'!C$19:C$33,A8,'数据-汇总表'!E$19:E$33)</f>
        <v>4788.67</v>
      </c>
      <c r="L8" s="803">
        <v>2200</v>
      </c>
      <c r="M8" s="75">
        <f>ROUND(K8*L8/10000,0)</f>
        <v>1054</v>
      </c>
      <c r="N8" s="801">
        <f t="shared" si="3"/>
        <v>0.87</v>
      </c>
      <c r="O8" s="75" t="str">
        <f t="shared" si="4"/>
        <v>——</v>
      </c>
      <c r="P8" s="76" t="str">
        <f t="shared" si="5"/>
        <v>——</v>
      </c>
      <c r="Q8" s="90">
        <v>0.05</v>
      </c>
      <c r="R8" s="77">
        <f ca="1">SUMIF('数据-汇总表'!C$19:C$33,A8,'数据-汇总表'!R$19:R$27)</f>
        <v>1884.87</v>
      </c>
      <c r="S8" s="54">
        <f>IF('数据-汇总表'!$I$17="按面积比例",SUMIF('数据-汇总表'!C$19:C$33,A8,'数据-汇总表'!K$19:K$33),SUMIF('数据-汇总表'!C$19:C$33,A8,'数据-汇总表'!N$19:N$33))</f>
        <v>0</v>
      </c>
      <c r="T8" s="1443">
        <f t="shared" si="6"/>
        <v>0</v>
      </c>
      <c r="U8" s="78">
        <v>500</v>
      </c>
      <c r="V8" s="79">
        <v>0</v>
      </c>
      <c r="W8" s="79">
        <v>0</v>
      </c>
      <c r="X8" s="1261"/>
      <c r="Y8" s="80">
        <f t="shared" si="7"/>
        <v>0.87</v>
      </c>
      <c r="Z8" s="81"/>
      <c r="AA8" s="74">
        <v>0.03</v>
      </c>
      <c r="AB8" s="74">
        <v>0.1</v>
      </c>
      <c r="AC8" s="1261"/>
      <c r="AD8" s="82"/>
      <c r="AE8" s="1262">
        <f t="shared" ca="1" si="8"/>
        <v>36.619999999999997</v>
      </c>
      <c r="AF8" s="1804"/>
      <c r="AG8" s="147">
        <f t="shared" si="9"/>
        <v>0</v>
      </c>
      <c r="AH8" s="805">
        <v>107</v>
      </c>
      <c r="AI8" s="85">
        <v>12</v>
      </c>
      <c r="AJ8" s="86"/>
      <c r="AK8" s="806">
        <v>1.4999999999999999E-2</v>
      </c>
      <c r="AL8" s="807">
        <v>3.0000000000000001E-3</v>
      </c>
      <c r="AM8" s="808">
        <v>0.02</v>
      </c>
      <c r="AN8" s="2305" t="s">
        <v>3154</v>
      </c>
      <c r="AO8" s="55">
        <f t="shared" ca="1" si="10"/>
        <v>425</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802"/>
      <c r="I9" s="802"/>
      <c r="J9" s="74"/>
      <c r="K9" s="1251">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8"/>
        <v>0</v>
      </c>
      <c r="AF9" s="1804"/>
      <c r="AG9" s="147">
        <f t="shared" si="9"/>
        <v>0</v>
      </c>
      <c r="AH9" s="805"/>
      <c r="AI9" s="85"/>
      <c r="AJ9" s="86"/>
      <c r="AK9" s="806"/>
      <c r="AL9" s="807"/>
      <c r="AM9" s="808"/>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f t="shared" ref="N10:N13" si="14">ROUND(1-(2018-2010)/60,2)</f>
        <v>0.87</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8"/>
        <v>0</v>
      </c>
      <c r="AF10" s="1804"/>
      <c r="AG10" s="147">
        <f t="shared" si="9"/>
        <v>0</v>
      </c>
      <c r="AH10" s="83"/>
      <c r="AI10" s="85"/>
      <c r="AJ10" s="86"/>
      <c r="AK10" s="87"/>
      <c r="AL10" s="88"/>
      <c r="AM10" s="89"/>
      <c r="AN10" s="2305"/>
      <c r="AO10" s="55" t="e">
        <f t="shared" ca="1" si="10"/>
        <v>#REF!</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801">
        <f t="shared" si="14"/>
        <v>0.87</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8"/>
        <v>0</v>
      </c>
      <c r="AF11" s="1804"/>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801">
        <f t="shared" si="14"/>
        <v>0.87</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8"/>
        <v>0</v>
      </c>
      <c r="AF12" s="1804"/>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801">
        <f t="shared" si="14"/>
        <v>0.87</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8"/>
        <v>0</v>
      </c>
      <c r="AF13" s="1804"/>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4"/>
        <v>——</v>
      </c>
      <c r="P14" s="76" t="str">
        <f t="shared" si="5"/>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2011</v>
      </c>
      <c r="B16" s="97"/>
      <c r="C16" s="1005"/>
      <c r="D16" s="2310"/>
      <c r="E16" s="97"/>
      <c r="F16" s="97"/>
      <c r="G16" s="98">
        <f>ROUND(SUMPRODUCT(G6:G13,K6:K13)/SUMPRODUCT((G6:G13&gt;0)*(K6:K13)),3)</f>
        <v>0.88700000000000001</v>
      </c>
      <c r="H16" s="99">
        <f>ROUND(SUMPRODUCT(H6:H13,K6:K13)/SUMPRODUCT((H6:H13&gt;0)*(K6:K13)),3)</f>
        <v>4.5999999999999999E-2</v>
      </c>
      <c r="I16" s="100"/>
      <c r="J16" s="100"/>
      <c r="K16" s="101">
        <f>SUM(K6:K15)</f>
        <v>28872.97</v>
      </c>
      <c r="L16" s="102">
        <f>ROUND(M16*10000/SUM(K6:K14),0)</f>
        <v>3402</v>
      </c>
      <c r="M16" s="102">
        <f>SUM(M6:M14)</f>
        <v>9824</v>
      </c>
      <c r="N16" s="103">
        <f>ROUND(SUMPRODUCT(M6:M14,N6:N14)/M16,3)</f>
        <v>0.87</v>
      </c>
      <c r="O16" s="102">
        <f>SUM(O6:O14)</f>
        <v>0</v>
      </c>
      <c r="P16" s="102">
        <f>SUM(P6:P14)</f>
        <v>0</v>
      </c>
      <c r="Q16" s="104">
        <f>ROUND(SUMPRODUCT(Q6:Q13,K6:K13)/SUMPRODUCT((Q6:Q13&gt;0)*(K6:K13)),2)</f>
        <v>0.19</v>
      </c>
      <c r="R16" s="1255">
        <f ca="1">SUM(R6:R13)</f>
        <v>11364.7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2</v>
      </c>
      <c r="C20" s="2273" t="s">
        <v>2016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v>160</v>
      </c>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 ca="1">成本法!C10</f>
        <v>577</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v>
      </c>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1.4999999999999999E-2</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0.02</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4.7500000000000001E-2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7.0000000000000007E-2</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v>0</v>
      </c>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12</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137</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v>30</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v>24</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v>18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v>12</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6" t="s">
        <v>2078</v>
      </c>
      <c r="B1" s="3117"/>
      <c r="C1" s="3117"/>
      <c r="D1" s="3117"/>
      <c r="E1" s="3117"/>
      <c r="F1" s="3117"/>
      <c r="G1" s="311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5"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5" t="s">
        <v>2090</v>
      </c>
      <c r="C5" s="2370" t="s">
        <v>2091</v>
      </c>
      <c r="D5" s="2367"/>
      <c r="E5" s="2371"/>
      <c r="F5" s="1795" t="s">
        <v>2092</v>
      </c>
      <c r="G5" s="2372" t="s">
        <v>2093</v>
      </c>
      <c r="H5" s="2364"/>
      <c r="I5" s="2364"/>
      <c r="J5" s="2364"/>
      <c r="K5" s="2364"/>
      <c r="L5" s="2364"/>
      <c r="M5" s="2364"/>
      <c r="N5" s="2364"/>
      <c r="O5" s="2364"/>
      <c r="P5" s="2364"/>
      <c r="Q5" s="2364"/>
      <c r="R5" s="2364"/>
    </row>
    <row r="6" spans="1:29" ht="54">
      <c r="A6" s="431"/>
      <c r="B6" s="1795" t="s">
        <v>2094</v>
      </c>
      <c r="C6" s="2372" t="s">
        <v>2089</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5" t="s">
        <v>2095</v>
      </c>
      <c r="C8" s="2372" t="s">
        <v>2096</v>
      </c>
      <c r="D8" s="2373"/>
      <c r="E8" s="2373"/>
      <c r="F8" s="1133"/>
      <c r="G8" s="1133"/>
      <c r="H8" s="2364"/>
      <c r="I8" s="2364"/>
      <c r="J8" s="2364"/>
      <c r="K8" s="2364"/>
      <c r="L8" s="2364"/>
      <c r="M8" s="2364"/>
      <c r="N8" s="2364"/>
      <c r="O8" s="2364"/>
      <c r="P8" s="2364"/>
      <c r="Q8" s="2364"/>
      <c r="R8" s="2364"/>
    </row>
    <row r="9" spans="1:29" ht="27">
      <c r="A9" s="431"/>
      <c r="B9" s="1795"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9"/>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9"/>
      <c r="D19" s="2367"/>
      <c r="E19" s="2403"/>
      <c r="F19" s="1795"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5" t="s">
        <v>2111</v>
      </c>
      <c r="G20" s="136" t="str">
        <f>G6</f>
        <v>估价对象所在区域基础设施水平</v>
      </c>
    </row>
    <row r="21" spans="1:18" ht="28.5">
      <c r="A21" s="645"/>
      <c r="B21" s="1795" t="s">
        <v>2092</v>
      </c>
      <c r="C21" s="136" t="str">
        <f>C7</f>
        <v>估价对象所在区域公共配套设施齐备情况</v>
      </c>
      <c r="D21" s="2367"/>
      <c r="E21" s="2403"/>
      <c r="F21" s="2404" t="s">
        <v>2112</v>
      </c>
      <c r="G21" s="2405"/>
    </row>
    <row r="22" spans="1:18" ht="13.5" customHeight="1">
      <c r="A22" s="645"/>
      <c r="B22" s="1795" t="s">
        <v>2095</v>
      </c>
      <c r="C22" s="136" t="str">
        <f>C8</f>
        <v>估价对象所在区域基础设施水平</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T56"/>
  <sheetViews>
    <sheetView topLeftCell="G1" workbookViewId="0">
      <selection activeCell="N25" sqref="N25"/>
    </sheetView>
  </sheetViews>
  <sheetFormatPr defaultRowHeight="13.5"/>
  <cols>
    <col min="1" max="1" width="3.5" customWidth="1"/>
    <col min="2" max="2" width="42" customWidth="1"/>
    <col min="3" max="3" width="9.875" customWidth="1"/>
    <col min="4" max="4" width="21.5" customWidth="1"/>
    <col min="5" max="5" width="12.375" customWidth="1"/>
    <col min="6" max="6" width="11.375" customWidth="1"/>
    <col min="7" max="7" width="13" customWidth="1"/>
    <col min="8" max="8" width="11.625" bestFit="1" customWidth="1"/>
    <col min="9" max="9" width="12.875" customWidth="1"/>
    <col min="10" max="10" width="15.5" customWidth="1"/>
    <col min="11" max="11" width="9.5" bestFit="1" customWidth="1"/>
    <col min="12" max="12" width="11.25" customWidth="1"/>
    <col min="13" max="13" width="11.625" bestFit="1" customWidth="1"/>
    <col min="14" max="14" width="14.75" customWidth="1"/>
    <col min="15" max="15" width="15.875" customWidth="1"/>
    <col min="16" max="16" width="14" customWidth="1"/>
    <col min="17" max="17" width="15.625" customWidth="1"/>
    <col min="18" max="18" width="14.875" customWidth="1"/>
    <col min="19" max="19" width="15.125" customWidth="1"/>
    <col min="20" max="20" width="14.125" customWidth="1"/>
  </cols>
  <sheetData>
    <row r="1" spans="1:20" s="3011" customFormat="1" ht="20.25">
      <c r="A1" s="3118" t="s">
        <v>3037</v>
      </c>
      <c r="B1" s="3118"/>
      <c r="C1" s="3118"/>
      <c r="D1" s="3118"/>
      <c r="E1" s="3118"/>
      <c r="F1" s="3118"/>
      <c r="G1" s="3118"/>
      <c r="H1" s="3118"/>
      <c r="I1" s="3118"/>
      <c r="J1" s="3118"/>
      <c r="K1" s="3021">
        <v>43222</v>
      </c>
    </row>
    <row r="2" spans="1:20" s="3011" customFormat="1">
      <c r="A2" s="2959"/>
      <c r="B2" s="2959"/>
      <c r="C2" s="2952"/>
      <c r="D2" s="2959"/>
      <c r="E2" s="2952"/>
      <c r="F2" s="2952"/>
      <c r="G2" s="2959"/>
      <c r="H2" s="2959"/>
      <c r="I2" s="2959"/>
      <c r="J2" s="2952" t="s">
        <v>3038</v>
      </c>
    </row>
    <row r="3" spans="1:20" s="3011" customFormat="1" ht="48">
      <c r="A3" s="2960" t="s">
        <v>3039</v>
      </c>
      <c r="B3" s="2960" t="s">
        <v>3040</v>
      </c>
      <c r="C3" s="2961" t="s">
        <v>3041</v>
      </c>
      <c r="D3" s="2962" t="s">
        <v>3042</v>
      </c>
      <c r="E3" s="2963" t="s">
        <v>3043</v>
      </c>
      <c r="F3" s="2963" t="s">
        <v>3044</v>
      </c>
      <c r="G3" s="2964" t="s">
        <v>3045</v>
      </c>
      <c r="H3" s="2965" t="s">
        <v>3046</v>
      </c>
      <c r="I3" s="2966" t="s">
        <v>3047</v>
      </c>
      <c r="J3" s="2967" t="s">
        <v>3048</v>
      </c>
    </row>
    <row r="4" spans="1:20" s="3011" customFormat="1">
      <c r="A4" s="2968">
        <v>1</v>
      </c>
      <c r="B4" s="2969" t="s">
        <v>3049</v>
      </c>
      <c r="C4" s="2970">
        <v>1</v>
      </c>
      <c r="D4" s="2971" t="s">
        <v>3050</v>
      </c>
      <c r="E4" s="2972">
        <v>41640</v>
      </c>
      <c r="F4" s="2973">
        <v>44742</v>
      </c>
      <c r="G4" s="2974">
        <f>3050-800</f>
        <v>2250</v>
      </c>
      <c r="H4" s="2975">
        <v>5.5</v>
      </c>
      <c r="I4" s="2976">
        <f>J4/12</f>
        <v>376406.25</v>
      </c>
      <c r="J4" s="2974">
        <f>G4*H4*365</f>
        <v>4516875</v>
      </c>
      <c r="K4" s="3015" t="s">
        <v>3186</v>
      </c>
      <c r="L4" s="3013" t="s">
        <v>3179</v>
      </c>
      <c r="M4" s="3013" t="s">
        <v>3180</v>
      </c>
      <c r="N4" s="3013">
        <v>43465</v>
      </c>
      <c r="O4" s="3013">
        <v>43830</v>
      </c>
      <c r="P4" s="3013">
        <v>44196</v>
      </c>
      <c r="Q4" s="3013">
        <v>44561</v>
      </c>
      <c r="R4" s="3013">
        <v>44926</v>
      </c>
      <c r="S4" s="3013">
        <v>45291</v>
      </c>
      <c r="T4" s="3013">
        <v>45657</v>
      </c>
    </row>
    <row r="5" spans="1:20" s="3011" customFormat="1" ht="24">
      <c r="A5" s="2968">
        <v>2</v>
      </c>
      <c r="B5" s="2969" t="s">
        <v>3051</v>
      </c>
      <c r="C5" s="2970">
        <v>1</v>
      </c>
      <c r="D5" s="2977" t="s">
        <v>3052</v>
      </c>
      <c r="E5" s="2972">
        <v>41821</v>
      </c>
      <c r="F5" s="2973">
        <v>45473</v>
      </c>
      <c r="G5" s="2974">
        <f>3531.98-600</f>
        <v>2931.98</v>
      </c>
      <c r="H5" s="2975">
        <v>5.5</v>
      </c>
      <c r="I5" s="2976">
        <f t="shared" ref="I5:I31" si="0">J5/12</f>
        <v>490495.8208333333</v>
      </c>
      <c r="J5" s="2974">
        <f>G5*H5*365</f>
        <v>5885949.8499999996</v>
      </c>
      <c r="L5" s="3014">
        <v>2018</v>
      </c>
      <c r="M5" s="3023">
        <f>G12+G13+G14+G18+G22+G26+G45+G37+G43+G31+G28</f>
        <v>2235.91</v>
      </c>
      <c r="N5" s="3022">
        <f>ROUND(J12+J13+J14+J18+J22+J26+J45+J37+J43+J31+J28,2)</f>
        <v>3746214.37</v>
      </c>
      <c r="O5" s="3023">
        <f t="shared" ref="O5:T5" si="1">O13*$M$5*365</f>
        <v>5043542.1869999999</v>
      </c>
      <c r="P5" s="3023">
        <f t="shared" si="1"/>
        <v>5198602.5455</v>
      </c>
      <c r="Q5" s="3023">
        <f t="shared" si="1"/>
        <v>5353662.9039999992</v>
      </c>
      <c r="R5" s="3023">
        <f t="shared" si="1"/>
        <v>5508723.2624999993</v>
      </c>
      <c r="S5" s="3023">
        <f t="shared" si="1"/>
        <v>5680105.7639999995</v>
      </c>
      <c r="T5" s="3023">
        <f t="shared" si="1"/>
        <v>5843327.1940000001</v>
      </c>
    </row>
    <row r="6" spans="1:20" s="3011" customFormat="1">
      <c r="A6" s="2968">
        <v>3</v>
      </c>
      <c r="B6" s="2969" t="s">
        <v>3053</v>
      </c>
      <c r="C6" s="2970">
        <v>1</v>
      </c>
      <c r="D6" s="2971" t="s">
        <v>3054</v>
      </c>
      <c r="E6" s="2972">
        <v>42700</v>
      </c>
      <c r="F6" s="2973">
        <v>43794</v>
      </c>
      <c r="G6" s="2974">
        <f>629.28-200</f>
        <v>429.28</v>
      </c>
      <c r="H6" s="2975">
        <v>4.7</v>
      </c>
      <c r="I6" s="2976">
        <f t="shared" si="0"/>
        <v>61369.153333333328</v>
      </c>
      <c r="J6" s="2974">
        <f>G6*H6*365</f>
        <v>736429.84</v>
      </c>
      <c r="L6" s="3014">
        <v>2019</v>
      </c>
      <c r="M6" s="3014">
        <f>G7+G15+G19+G21+G23+G29+G30+G32+G39+G40+G44+G46+G47</f>
        <v>7277.73</v>
      </c>
      <c r="N6" s="3014">
        <f>J7+J15+J19+J21+J23+J29+J30+J32+J39+J40+J44+J46+J47</f>
        <v>13547076.0984622</v>
      </c>
      <c r="O6" s="3014">
        <f>N6</f>
        <v>13547076.0984622</v>
      </c>
      <c r="P6" s="3014">
        <f>P13*M6*365</f>
        <v>16921086.136499997</v>
      </c>
      <c r="Q6" s="3014">
        <f>Q13*M6*365</f>
        <v>17425796.711999997</v>
      </c>
      <c r="R6" s="3014">
        <f>R13*M6*365</f>
        <v>17930507.287499998</v>
      </c>
      <c r="S6" s="3014">
        <f>S13*M6*365</f>
        <v>18488345.291999999</v>
      </c>
      <c r="T6" s="3014">
        <f>T13*M6*365</f>
        <v>19019619.581999999</v>
      </c>
    </row>
    <row r="7" spans="1:20" s="3011" customFormat="1">
      <c r="A7" s="2952">
        <v>4</v>
      </c>
      <c r="B7" s="2990" t="s">
        <v>3055</v>
      </c>
      <c r="C7" s="2982">
        <v>2</v>
      </c>
      <c r="D7" s="2983" t="s">
        <v>3092</v>
      </c>
      <c r="E7" s="2984">
        <v>42923</v>
      </c>
      <c r="F7" s="2985">
        <v>43652</v>
      </c>
      <c r="G7" s="2986">
        <v>332</v>
      </c>
      <c r="H7" s="2987">
        <v>4.3</v>
      </c>
      <c r="I7" s="2988">
        <f t="shared" si="0"/>
        <v>43422.833333333328</v>
      </c>
      <c r="J7" s="2986">
        <f>G7*H7*365</f>
        <v>521073.99999999994</v>
      </c>
      <c r="L7" s="3014">
        <v>2020</v>
      </c>
      <c r="M7" s="3014">
        <f>G8+G10+G16+G20+G25+G33+G34+G35+G36+G38+G48</f>
        <v>3301.5899999999997</v>
      </c>
      <c r="N7" s="3023">
        <f>J8+J10+J16+J20+J25+J33+J34+J35+J36+J38+J48</f>
        <v>5327173.1749999998</v>
      </c>
      <c r="O7" s="3014">
        <f>N7</f>
        <v>5327173.1749999998</v>
      </c>
      <c r="P7" s="3014">
        <f>N7</f>
        <v>5327173.1749999998</v>
      </c>
      <c r="Q7" s="3014">
        <f>Q13*M7*365</f>
        <v>7905327.095999999</v>
      </c>
      <c r="R7" s="3014">
        <f>R13*M7*365</f>
        <v>8134292.3624999998</v>
      </c>
      <c r="S7" s="3014">
        <f>S13*M7*365</f>
        <v>8387359.2359999986</v>
      </c>
      <c r="T7" s="3014">
        <f>T13*M7*365</f>
        <v>8628375.3059999999</v>
      </c>
    </row>
    <row r="8" spans="1:20" s="3011" customFormat="1">
      <c r="A8" s="2952">
        <v>5</v>
      </c>
      <c r="B8" s="2990" t="s">
        <v>3056</v>
      </c>
      <c r="C8" s="2982">
        <v>2</v>
      </c>
      <c r="D8" s="2983">
        <v>204</v>
      </c>
      <c r="E8" s="2984">
        <v>43005</v>
      </c>
      <c r="F8" s="2985">
        <v>44100</v>
      </c>
      <c r="G8" s="2986">
        <v>306</v>
      </c>
      <c r="H8" s="2987">
        <v>4.3</v>
      </c>
      <c r="I8" s="2988">
        <f t="shared" si="0"/>
        <v>40022.25</v>
      </c>
      <c r="J8" s="2986">
        <f t="shared" ref="J8:J31" si="2">G8*H8*365</f>
        <v>480267</v>
      </c>
      <c r="L8" s="3014">
        <v>2021</v>
      </c>
      <c r="M8" s="3014">
        <f>G9+G17+G24+G27+G41+G42</f>
        <v>2677.8999999999996</v>
      </c>
      <c r="N8" s="3023">
        <f>J9+J17+J24+J27+J41+J42</f>
        <v>4404185.63</v>
      </c>
      <c r="O8" s="3023">
        <f>N8</f>
        <v>4404185.63</v>
      </c>
      <c r="P8" s="3023">
        <f>N8</f>
        <v>4404185.63</v>
      </c>
      <c r="Q8" s="3014">
        <f>N8</f>
        <v>4404185.63</v>
      </c>
      <c r="R8" s="3014">
        <f>R13*M8*365</f>
        <v>6597676.1249999991</v>
      </c>
      <c r="S8" s="3014">
        <f>S13*M8*365</f>
        <v>6802937.1599999992</v>
      </c>
      <c r="T8" s="3014">
        <f>T13*M8*365</f>
        <v>6998423.8599999994</v>
      </c>
    </row>
    <row r="9" spans="1:20" s="3011" customFormat="1">
      <c r="A9" s="2952">
        <v>6</v>
      </c>
      <c r="B9" s="2990" t="s">
        <v>3093</v>
      </c>
      <c r="C9" s="2982">
        <v>3</v>
      </c>
      <c r="D9" s="2983" t="s">
        <v>3094</v>
      </c>
      <c r="E9" s="2984">
        <v>43105</v>
      </c>
      <c r="F9" s="2985">
        <v>44216</v>
      </c>
      <c r="G9" s="2986">
        <v>535.33000000000004</v>
      </c>
      <c r="H9" s="2987">
        <v>4.5</v>
      </c>
      <c r="I9" s="2988">
        <f t="shared" si="0"/>
        <v>73273.293749999997</v>
      </c>
      <c r="J9" s="2986">
        <f t="shared" si="2"/>
        <v>879279.52500000002</v>
      </c>
      <c r="L9" s="3014">
        <v>2022</v>
      </c>
      <c r="M9" s="3014">
        <f>G11+G49</f>
        <v>1979.91</v>
      </c>
      <c r="N9" s="3023">
        <f>J11+J49</f>
        <v>4614851.2200000007</v>
      </c>
      <c r="O9" s="3014">
        <f>N9</f>
        <v>4614851.2200000007</v>
      </c>
      <c r="P9" s="3014">
        <f>N9</f>
        <v>4614851.2200000007</v>
      </c>
      <c r="Q9" s="3014">
        <f>N9</f>
        <v>4614851.2200000007</v>
      </c>
      <c r="R9" s="3023">
        <f>N9</f>
        <v>4614851.2200000007</v>
      </c>
      <c r="S9" s="3014">
        <f>S13*M9*365</f>
        <v>5029763.3640000001</v>
      </c>
      <c r="T9" s="3014">
        <f>T13*M9*365</f>
        <v>5174296.7939999998</v>
      </c>
    </row>
    <row r="10" spans="1:20" s="3011" customFormat="1">
      <c r="A10" s="2952">
        <v>7</v>
      </c>
      <c r="B10" s="2959" t="s">
        <v>3057</v>
      </c>
      <c r="C10" s="2982">
        <v>3</v>
      </c>
      <c r="D10" s="2983" t="s">
        <v>3058</v>
      </c>
      <c r="E10" s="2984">
        <v>42795</v>
      </c>
      <c r="F10" s="2985">
        <v>43890</v>
      </c>
      <c r="G10" s="2986">
        <v>597.98</v>
      </c>
      <c r="H10" s="2987">
        <v>4.5</v>
      </c>
      <c r="I10" s="2988">
        <f t="shared" si="0"/>
        <v>81848.512499999997</v>
      </c>
      <c r="J10" s="2986">
        <f t="shared" si="2"/>
        <v>982182.14999999991</v>
      </c>
      <c r="L10" s="3014" t="s">
        <v>3181</v>
      </c>
      <c r="M10" s="3014">
        <f t="shared" ref="M10:T10" si="3">SUM(M5:M9)</f>
        <v>17473.04</v>
      </c>
      <c r="N10" s="3024">
        <f t="shared" si="3"/>
        <v>31639500.493462197</v>
      </c>
      <c r="O10" s="3024">
        <f t="shared" si="3"/>
        <v>32936828.310462199</v>
      </c>
      <c r="P10" s="3024">
        <f t="shared" si="3"/>
        <v>36465898.706999995</v>
      </c>
      <c r="Q10" s="3024">
        <f t="shared" si="3"/>
        <v>39703823.561999999</v>
      </c>
      <c r="R10" s="3024">
        <f t="shared" si="3"/>
        <v>42786050.257499993</v>
      </c>
      <c r="S10" s="3024">
        <f t="shared" si="3"/>
        <v>44388510.815999992</v>
      </c>
      <c r="T10" s="3024">
        <f t="shared" si="3"/>
        <v>45664042.736000001</v>
      </c>
    </row>
    <row r="11" spans="1:20" s="3011" customFormat="1">
      <c r="A11" s="2952">
        <v>8</v>
      </c>
      <c r="B11" s="2990" t="s">
        <v>3059</v>
      </c>
      <c r="C11" s="2982" t="s">
        <v>3060</v>
      </c>
      <c r="D11" s="2983" t="s">
        <v>3061</v>
      </c>
      <c r="E11" s="2984">
        <v>42887</v>
      </c>
      <c r="F11" s="2985">
        <v>44712</v>
      </c>
      <c r="G11" s="2986">
        <v>467.67</v>
      </c>
      <c r="H11" s="2987">
        <v>4.4000000000000004</v>
      </c>
      <c r="I11" s="2988">
        <f t="shared" si="0"/>
        <v>62589.834999999999</v>
      </c>
      <c r="J11" s="2986">
        <f t="shared" si="2"/>
        <v>751078.02</v>
      </c>
      <c r="L11" s="3014" t="s">
        <v>3202</v>
      </c>
      <c r="M11" s="3014">
        <f>ROUND(SUM(N10:T10)/M10/365/7,2)</f>
        <v>6.13</v>
      </c>
      <c r="N11" s="3014"/>
      <c r="O11" s="3014"/>
      <c r="P11" s="3014"/>
      <c r="Q11" s="3014"/>
      <c r="R11" s="3014"/>
      <c r="S11" s="3014"/>
      <c r="T11" s="3014"/>
    </row>
    <row r="12" spans="1:20" s="3011" customFormat="1">
      <c r="A12" s="2952">
        <v>9</v>
      </c>
      <c r="B12" s="2990" t="s">
        <v>3095</v>
      </c>
      <c r="C12" s="2982">
        <v>5</v>
      </c>
      <c r="D12" s="2983">
        <v>502</v>
      </c>
      <c r="E12" s="2984">
        <v>42889</v>
      </c>
      <c r="F12" s="2985">
        <v>43253</v>
      </c>
      <c r="G12" s="2986">
        <v>164.51</v>
      </c>
      <c r="H12" s="2987">
        <v>4.4000000000000004</v>
      </c>
      <c r="I12" s="2988">
        <f>J12/12</f>
        <v>22016.921666666665</v>
      </c>
      <c r="J12" s="2986">
        <f>G12*H12*365</f>
        <v>264203.06</v>
      </c>
      <c r="L12" s="3014" t="s">
        <v>3182</v>
      </c>
      <c r="M12" s="3014">
        <f>ROUND(M13*(1+M14)^M15,2)</f>
        <v>7.2</v>
      </c>
      <c r="N12" s="3014"/>
      <c r="O12" s="3014"/>
      <c r="P12" s="3014"/>
      <c r="Q12" s="3014"/>
      <c r="R12" s="3014"/>
      <c r="S12" s="3014"/>
      <c r="T12" s="3014"/>
    </row>
    <row r="13" spans="1:20" s="3011" customFormat="1">
      <c r="A13" s="2952">
        <v>10</v>
      </c>
      <c r="B13" s="2990" t="s">
        <v>3096</v>
      </c>
      <c r="C13" s="2982">
        <v>5</v>
      </c>
      <c r="D13" s="2983">
        <v>503</v>
      </c>
      <c r="E13" s="2984"/>
      <c r="F13" s="2985"/>
      <c r="G13" s="2986">
        <v>243.99</v>
      </c>
      <c r="H13" s="2987">
        <v>5</v>
      </c>
      <c r="I13" s="2988">
        <f t="shared" si="0"/>
        <v>37106.8125</v>
      </c>
      <c r="J13" s="2986">
        <f>G13*H13*365</f>
        <v>445281.75</v>
      </c>
      <c r="L13" s="3014" t="s">
        <v>3183</v>
      </c>
      <c r="M13" s="3014">
        <v>6</v>
      </c>
      <c r="N13" s="3014">
        <f>M13</f>
        <v>6</v>
      </c>
      <c r="O13" s="3014">
        <f>ROUND(N13*(1+M14),2)</f>
        <v>6.18</v>
      </c>
      <c r="P13" s="3014">
        <f>ROUND(N13*(1+M14)^2,2)</f>
        <v>6.37</v>
      </c>
      <c r="Q13" s="3014">
        <f>ROUND(N13*(1+M14)^3,2)</f>
        <v>6.56</v>
      </c>
      <c r="R13" s="3014">
        <f>ROUND(N13*(1+M14)^4,2)</f>
        <v>6.75</v>
      </c>
      <c r="S13" s="3014">
        <f>ROUND(N13*(1+M14)^5,2)</f>
        <v>6.96</v>
      </c>
      <c r="T13" s="3014">
        <f>ROUND(N13*(1+M14)^6,2)</f>
        <v>7.16</v>
      </c>
    </row>
    <row r="14" spans="1:20" s="3011" customFormat="1">
      <c r="A14" s="2952">
        <v>11</v>
      </c>
      <c r="B14" s="2990" t="s">
        <v>3062</v>
      </c>
      <c r="C14" s="2982">
        <v>5</v>
      </c>
      <c r="D14" s="2983">
        <v>504</v>
      </c>
      <c r="E14" s="2984">
        <v>43082</v>
      </c>
      <c r="F14" s="2985">
        <v>43446</v>
      </c>
      <c r="G14" s="2986">
        <v>98.35</v>
      </c>
      <c r="H14" s="2987">
        <v>4.3</v>
      </c>
      <c r="I14" s="2988">
        <f t="shared" si="0"/>
        <v>12863.360416666665</v>
      </c>
      <c r="J14" s="2986">
        <f>G14*H14*365</f>
        <v>154360.32499999998</v>
      </c>
      <c r="L14" s="3014" t="s">
        <v>3184</v>
      </c>
      <c r="M14" s="3017">
        <v>0.03</v>
      </c>
      <c r="N14" s="3014"/>
      <c r="O14" s="3014"/>
      <c r="P14" s="3014"/>
      <c r="Q14" s="3014"/>
      <c r="R14" s="3014"/>
      <c r="S14" s="3014"/>
      <c r="T14" s="3014"/>
    </row>
    <row r="15" spans="1:20" s="3011" customFormat="1">
      <c r="A15" s="2952">
        <v>12</v>
      </c>
      <c r="B15" s="2990" t="s">
        <v>3063</v>
      </c>
      <c r="C15" s="2982">
        <v>5</v>
      </c>
      <c r="D15" s="2983">
        <v>505</v>
      </c>
      <c r="E15" s="2984">
        <v>43227</v>
      </c>
      <c r="F15" s="2985">
        <v>43591</v>
      </c>
      <c r="G15" s="2986">
        <v>99.96</v>
      </c>
      <c r="H15" s="2987">
        <v>1.973393</v>
      </c>
      <c r="I15" s="2988">
        <f t="shared" si="0"/>
        <v>6000.0002468499988</v>
      </c>
      <c r="J15" s="2986">
        <f>G15*H15*365-0.03</f>
        <v>72000.002962199986</v>
      </c>
      <c r="L15" s="3014" t="s">
        <v>3185</v>
      </c>
      <c r="M15" s="3014">
        <f>M25</f>
        <v>6.17</v>
      </c>
      <c r="N15" s="3014"/>
      <c r="O15" s="3014"/>
      <c r="P15" s="3014"/>
      <c r="Q15" s="3014"/>
      <c r="R15" s="3014"/>
      <c r="S15" s="3014"/>
      <c r="T15" s="3014"/>
    </row>
    <row r="16" spans="1:20" s="3011" customFormat="1">
      <c r="A16" s="2952">
        <v>13</v>
      </c>
      <c r="B16" s="2990" t="s">
        <v>3064</v>
      </c>
      <c r="C16" s="2982">
        <v>5</v>
      </c>
      <c r="D16" s="2983">
        <v>506</v>
      </c>
      <c r="E16" s="2984">
        <v>43221</v>
      </c>
      <c r="F16" s="2985">
        <v>43951</v>
      </c>
      <c r="G16" s="2986">
        <v>105.45</v>
      </c>
      <c r="H16" s="2987">
        <v>4.5</v>
      </c>
      <c r="I16" s="2988">
        <f t="shared" si="0"/>
        <v>14433.46875</v>
      </c>
      <c r="J16" s="2986">
        <f t="shared" si="2"/>
        <v>173201.625</v>
      </c>
      <c r="K16" s="3015" t="s">
        <v>3210</v>
      </c>
      <c r="L16" s="3013" t="s">
        <v>3179</v>
      </c>
      <c r="M16" s="3013" t="s">
        <v>3180</v>
      </c>
      <c r="N16" s="3013">
        <v>43465</v>
      </c>
      <c r="O16" s="3013">
        <v>43830</v>
      </c>
      <c r="P16" s="3013">
        <v>44196</v>
      </c>
      <c r="Q16" s="3013">
        <v>44561</v>
      </c>
      <c r="R16" s="3013">
        <v>44926</v>
      </c>
      <c r="S16" s="3013">
        <v>45291</v>
      </c>
      <c r="T16" s="3013">
        <v>45657</v>
      </c>
    </row>
    <row r="17" spans="1:20" s="3011" customFormat="1">
      <c r="A17" s="2952">
        <v>14</v>
      </c>
      <c r="B17" s="2990" t="s">
        <v>3097</v>
      </c>
      <c r="C17" s="2982">
        <v>5</v>
      </c>
      <c r="D17" s="2983">
        <v>507</v>
      </c>
      <c r="E17" s="2984">
        <v>43222</v>
      </c>
      <c r="F17" s="2985">
        <v>44317</v>
      </c>
      <c r="G17" s="2986">
        <v>174.58</v>
      </c>
      <c r="H17" s="2987">
        <v>4.5999999999999996</v>
      </c>
      <c r="I17" s="2988">
        <f t="shared" si="0"/>
        <v>24426.651666666668</v>
      </c>
      <c r="J17" s="2986">
        <f>G17*H17*365</f>
        <v>293119.82</v>
      </c>
      <c r="L17" s="3014">
        <v>2019</v>
      </c>
      <c r="M17" s="3014">
        <f>G6</f>
        <v>429.28</v>
      </c>
      <c r="N17" s="3022">
        <f>J6</f>
        <v>736429.84</v>
      </c>
      <c r="O17" s="3022">
        <f>N17</f>
        <v>736429.84</v>
      </c>
      <c r="P17" s="3014">
        <f>P23*$M$17*365</f>
        <v>1081141.6800000002</v>
      </c>
      <c r="Q17" s="3014">
        <f>Q23*$M$17*365</f>
        <v>1112479.1199999999</v>
      </c>
      <c r="R17" s="3014">
        <f>R23*$M$17*365</f>
        <v>1146950.304</v>
      </c>
      <c r="S17" s="3014">
        <f>S23*$M$17*365</f>
        <v>1181421.4879999999</v>
      </c>
      <c r="T17" s="3014">
        <f>T23*$M$17*365</f>
        <v>1215892.672</v>
      </c>
    </row>
    <row r="18" spans="1:20" s="3011" customFormat="1">
      <c r="A18" s="2952">
        <v>15</v>
      </c>
      <c r="B18" s="2990" t="s">
        <v>3065</v>
      </c>
      <c r="C18" s="2982">
        <v>5</v>
      </c>
      <c r="D18" s="2983">
        <v>508</v>
      </c>
      <c r="E18" s="2984">
        <v>42540</v>
      </c>
      <c r="F18" s="2984">
        <v>43269</v>
      </c>
      <c r="G18" s="2986">
        <v>99.96</v>
      </c>
      <c r="H18" s="2987">
        <v>4</v>
      </c>
      <c r="I18" s="2988">
        <f t="shared" si="0"/>
        <v>12161.799999999997</v>
      </c>
      <c r="J18" s="2986">
        <f t="shared" si="2"/>
        <v>145941.59999999998</v>
      </c>
      <c r="L18" s="3014">
        <v>2022</v>
      </c>
      <c r="M18" s="3014">
        <f>G4</f>
        <v>2250</v>
      </c>
      <c r="N18" s="3022">
        <f>J4</f>
        <v>4516875</v>
      </c>
      <c r="O18" s="3014">
        <f>N18</f>
        <v>4516875</v>
      </c>
      <c r="P18" s="3014">
        <f>N18</f>
        <v>4516875</v>
      </c>
      <c r="Q18" s="3014">
        <f>N18</f>
        <v>4516875</v>
      </c>
      <c r="R18" s="3014">
        <f>N18</f>
        <v>4516875</v>
      </c>
      <c r="S18" s="3014">
        <f>S23*M18*365</f>
        <v>6192225</v>
      </c>
      <c r="T18" s="3014">
        <f>T23*M18*365</f>
        <v>6372900</v>
      </c>
    </row>
    <row r="19" spans="1:20" s="3011" customFormat="1">
      <c r="A19" s="2952">
        <v>16</v>
      </c>
      <c r="B19" s="2991" t="s">
        <v>3098</v>
      </c>
      <c r="C19" s="2982">
        <v>5</v>
      </c>
      <c r="D19" s="2983">
        <v>509</v>
      </c>
      <c r="E19" s="2984">
        <v>42988</v>
      </c>
      <c r="F19" s="2984">
        <v>43717</v>
      </c>
      <c r="G19" s="2986">
        <v>57.6</v>
      </c>
      <c r="H19" s="2987">
        <v>4.3</v>
      </c>
      <c r="I19" s="2988">
        <f t="shared" si="0"/>
        <v>7533.5999999999995</v>
      </c>
      <c r="J19" s="2986">
        <f t="shared" si="2"/>
        <v>90403.199999999997</v>
      </c>
      <c r="L19" s="3014">
        <v>2024</v>
      </c>
      <c r="M19" s="3023">
        <f>G5+G50</f>
        <v>3931.98</v>
      </c>
      <c r="N19" s="3014">
        <f>J5+J50</f>
        <v>7385949.8499999996</v>
      </c>
      <c r="O19" s="3014">
        <f>N19</f>
        <v>7385949.8499999996</v>
      </c>
      <c r="P19" s="3014">
        <f t="shared" ref="P19:S19" si="4">O19</f>
        <v>7385949.8499999996</v>
      </c>
      <c r="Q19" s="3014">
        <f t="shared" si="4"/>
        <v>7385949.8499999996</v>
      </c>
      <c r="R19" s="3014">
        <f>Q19</f>
        <v>7385949.8499999996</v>
      </c>
      <c r="S19" s="3014">
        <f t="shared" si="4"/>
        <v>7385949.8499999996</v>
      </c>
      <c r="T19" s="3014">
        <f>S19</f>
        <v>7385949.8499999996</v>
      </c>
    </row>
    <row r="20" spans="1:20" s="3011" customFormat="1">
      <c r="A20" s="2952">
        <v>17</v>
      </c>
      <c r="B20" s="2991" t="s">
        <v>3066</v>
      </c>
      <c r="C20" s="2982">
        <v>6</v>
      </c>
      <c r="D20" s="2983" t="s">
        <v>3067</v>
      </c>
      <c r="E20" s="2984">
        <v>42755</v>
      </c>
      <c r="F20" s="2985">
        <v>43849</v>
      </c>
      <c r="G20" s="2986">
        <v>411.9</v>
      </c>
      <c r="H20" s="2987">
        <v>3.5</v>
      </c>
      <c r="I20" s="2988">
        <f t="shared" si="0"/>
        <v>43850.1875</v>
      </c>
      <c r="J20" s="2986">
        <f t="shared" si="2"/>
        <v>526202.25</v>
      </c>
      <c r="L20" s="3014" t="s">
        <v>3181</v>
      </c>
      <c r="M20" s="3014">
        <f>SUM(M17:M19)</f>
        <v>6611.26</v>
      </c>
      <c r="N20" s="3014">
        <f t="shared" ref="N20:O20" si="5">SUM(N17:N19)</f>
        <v>12639254.689999999</v>
      </c>
      <c r="O20" s="3014">
        <f t="shared" si="5"/>
        <v>12639254.689999999</v>
      </c>
      <c r="P20" s="3014">
        <f>SUM(P17:P19)</f>
        <v>12983966.529999999</v>
      </c>
      <c r="Q20" s="3014">
        <f>SUM(Q17:Q19)</f>
        <v>13015303.969999999</v>
      </c>
      <c r="R20" s="3014">
        <f>SUM(R17:R19)</f>
        <v>13049775.153999999</v>
      </c>
      <c r="S20" s="3014">
        <f>SUM(S17:S19)</f>
        <v>14759596.338</v>
      </c>
      <c r="T20" s="3014">
        <f>SUM(T17:T19)</f>
        <v>14974742.522</v>
      </c>
    </row>
    <row r="21" spans="1:20" s="3011" customFormat="1">
      <c r="A21" s="2952">
        <v>18</v>
      </c>
      <c r="B21" s="2990" t="s">
        <v>3062</v>
      </c>
      <c r="C21" s="2982">
        <v>6</v>
      </c>
      <c r="D21" s="2983">
        <v>603</v>
      </c>
      <c r="E21" s="2984">
        <v>43132</v>
      </c>
      <c r="F21" s="2985">
        <v>43496</v>
      </c>
      <c r="G21" s="2986">
        <v>243.99</v>
      </c>
      <c r="H21" s="2987">
        <v>4.4000000000000004</v>
      </c>
      <c r="I21" s="2988">
        <f t="shared" si="0"/>
        <v>32653.994999999999</v>
      </c>
      <c r="J21" s="2986">
        <f>G21*H21*365</f>
        <v>391847.94</v>
      </c>
      <c r="L21" s="3014" t="s">
        <v>3202</v>
      </c>
      <c r="M21" s="3014">
        <f>ROUND(SUM(N20:T20)/M20/365/7,2)</f>
        <v>5.57</v>
      </c>
      <c r="N21" s="3014"/>
      <c r="O21" s="3014"/>
      <c r="P21" s="3014"/>
      <c r="Q21" s="3014"/>
      <c r="R21" s="3014"/>
      <c r="S21" s="3014"/>
      <c r="T21" s="3014"/>
    </row>
    <row r="22" spans="1:20" s="3011" customFormat="1">
      <c r="A22" s="2952">
        <v>19</v>
      </c>
      <c r="B22" s="2990" t="s">
        <v>3062</v>
      </c>
      <c r="C22" s="2982">
        <v>6</v>
      </c>
      <c r="D22" s="2983" t="s">
        <v>3068</v>
      </c>
      <c r="E22" s="2984">
        <v>43084</v>
      </c>
      <c r="F22" s="2985">
        <v>43448</v>
      </c>
      <c r="G22" s="2986">
        <v>195.58</v>
      </c>
      <c r="H22" s="2987">
        <v>4.4000000000000004</v>
      </c>
      <c r="I22" s="2988">
        <f t="shared" si="0"/>
        <v>26175.123333333337</v>
      </c>
      <c r="J22" s="2986">
        <f t="shared" si="2"/>
        <v>314101.48000000004</v>
      </c>
      <c r="L22" s="3014" t="s">
        <v>3182</v>
      </c>
      <c r="M22" s="3014">
        <f>ROUND(M23*(1+M24)^M25,2)</f>
        <v>7.8</v>
      </c>
      <c r="N22" s="3014"/>
      <c r="O22" s="3014"/>
      <c r="P22" s="3014"/>
      <c r="Q22" s="3014"/>
      <c r="R22" s="3014"/>
      <c r="S22" s="3014"/>
      <c r="T22" s="3014"/>
    </row>
    <row r="23" spans="1:20" s="3011" customFormat="1">
      <c r="A23" s="2952">
        <v>20</v>
      </c>
      <c r="B23" s="2990" t="s">
        <v>3099</v>
      </c>
      <c r="C23" s="2982">
        <v>6</v>
      </c>
      <c r="D23" s="2983">
        <v>606</v>
      </c>
      <c r="E23" s="2984">
        <v>42917</v>
      </c>
      <c r="F23" s="2985">
        <v>43646</v>
      </c>
      <c r="G23" s="2986">
        <v>105.45</v>
      </c>
      <c r="H23" s="2987">
        <v>4.2</v>
      </c>
      <c r="I23" s="2988">
        <f t="shared" si="0"/>
        <v>13471.237500000001</v>
      </c>
      <c r="J23" s="2986">
        <f t="shared" si="2"/>
        <v>161654.85</v>
      </c>
      <c r="L23" s="3014" t="s">
        <v>3183</v>
      </c>
      <c r="M23" s="3014">
        <v>6.5</v>
      </c>
      <c r="N23" s="3014">
        <f>M23</f>
        <v>6.5</v>
      </c>
      <c r="O23" s="3014">
        <f>ROUND(M23*(1+M24),2)</f>
        <v>6.7</v>
      </c>
      <c r="P23" s="3014">
        <f>ROUND(M23*(1+M24)^2,2)</f>
        <v>6.9</v>
      </c>
      <c r="Q23" s="3014">
        <f>ROUND(M23*(1+M24)^3,2)</f>
        <v>7.1</v>
      </c>
      <c r="R23" s="3014">
        <f>ROUND(M23*(1+M24)^4,2)</f>
        <v>7.32</v>
      </c>
      <c r="S23" s="3014">
        <f>ROUND(M23*(1+M24)^5,2)</f>
        <v>7.54</v>
      </c>
      <c r="T23" s="3014">
        <f>ROUND(M23*(1+M24)^6,2)</f>
        <v>7.76</v>
      </c>
    </row>
    <row r="24" spans="1:20" s="3011" customFormat="1">
      <c r="A24" s="2952">
        <v>21</v>
      </c>
      <c r="B24" s="2990" t="s">
        <v>3069</v>
      </c>
      <c r="C24" s="2982">
        <v>6</v>
      </c>
      <c r="D24" s="2983">
        <v>607</v>
      </c>
      <c r="E24" s="2984">
        <v>43121</v>
      </c>
      <c r="F24" s="2985">
        <v>44216</v>
      </c>
      <c r="G24" s="2986">
        <v>177.43</v>
      </c>
      <c r="H24" s="2987">
        <v>4.7</v>
      </c>
      <c r="I24" s="2988">
        <f t="shared" si="0"/>
        <v>25365.097083333338</v>
      </c>
      <c r="J24" s="2986">
        <f t="shared" si="2"/>
        <v>304381.16500000004</v>
      </c>
      <c r="L24" s="3014" t="s">
        <v>3184</v>
      </c>
      <c r="M24" s="3017">
        <v>0.03</v>
      </c>
      <c r="N24" s="3014"/>
    </row>
    <row r="25" spans="1:20" s="3011" customFormat="1">
      <c r="A25" s="2952">
        <v>22</v>
      </c>
      <c r="B25" s="2990" t="s">
        <v>3070</v>
      </c>
      <c r="C25" s="2982">
        <v>6</v>
      </c>
      <c r="D25" s="2983">
        <v>608</v>
      </c>
      <c r="E25" s="2984">
        <v>43154</v>
      </c>
      <c r="F25" s="2985">
        <v>43883</v>
      </c>
      <c r="G25" s="2986">
        <v>98.35</v>
      </c>
      <c r="H25" s="2987">
        <v>4.8</v>
      </c>
      <c r="I25" s="2988">
        <f t="shared" si="0"/>
        <v>14359.099999999999</v>
      </c>
      <c r="J25" s="2986">
        <f t="shared" si="2"/>
        <v>172309.19999999998</v>
      </c>
      <c r="L25" s="3014" t="s">
        <v>3185</v>
      </c>
      <c r="M25" s="3014">
        <f>ROUND((F5-K1)/365,2)</f>
        <v>6.17</v>
      </c>
    </row>
    <row r="26" spans="1:20" s="3011" customFormat="1">
      <c r="A26" s="2952">
        <v>23</v>
      </c>
      <c r="B26" s="2990" t="s">
        <v>3071</v>
      </c>
      <c r="C26" s="2982">
        <v>6</v>
      </c>
      <c r="D26" s="2983">
        <v>609</v>
      </c>
      <c r="E26" s="2984">
        <v>43077</v>
      </c>
      <c r="F26" s="2985">
        <v>43441</v>
      </c>
      <c r="G26" s="2986">
        <v>98.82</v>
      </c>
      <c r="H26" s="2987">
        <v>4.8</v>
      </c>
      <c r="I26" s="2988">
        <f t="shared" si="0"/>
        <v>14427.72</v>
      </c>
      <c r="J26" s="2986">
        <f t="shared" si="2"/>
        <v>173132.63999999998</v>
      </c>
      <c r="K26" s="3015" t="s">
        <v>3198</v>
      </c>
      <c r="L26" s="3013" t="s">
        <v>3179</v>
      </c>
      <c r="M26" s="3013" t="s">
        <v>3200</v>
      </c>
      <c r="N26" s="3013" t="s">
        <v>3201</v>
      </c>
      <c r="O26" s="3020" t="s">
        <v>3194</v>
      </c>
    </row>
    <row r="27" spans="1:20" s="3011" customFormat="1">
      <c r="A27" s="2952">
        <v>24</v>
      </c>
      <c r="B27" s="2990" t="s">
        <v>3100</v>
      </c>
      <c r="C27" s="2982">
        <v>7</v>
      </c>
      <c r="D27" s="2983" t="s">
        <v>3101</v>
      </c>
      <c r="E27" s="2984">
        <v>43202</v>
      </c>
      <c r="F27" s="2984">
        <v>44297</v>
      </c>
      <c r="G27" s="2986">
        <v>1512.36</v>
      </c>
      <c r="H27" s="2987">
        <v>4.4000000000000004</v>
      </c>
      <c r="I27" s="2988">
        <f t="shared" si="0"/>
        <v>202404.18000000002</v>
      </c>
      <c r="J27" s="2986">
        <f t="shared" si="2"/>
        <v>2428850.16</v>
      </c>
      <c r="L27" s="3019" t="s">
        <v>3199</v>
      </c>
      <c r="M27" s="3014">
        <v>107</v>
      </c>
      <c r="N27" s="3014">
        <v>500</v>
      </c>
      <c r="O27" s="3014">
        <f>N27*M27*12</f>
        <v>642000</v>
      </c>
    </row>
    <row r="28" spans="1:20" s="3011" customFormat="1">
      <c r="A28" s="2952">
        <v>27</v>
      </c>
      <c r="B28" s="2990" t="s">
        <v>3072</v>
      </c>
      <c r="C28" s="2982">
        <v>8</v>
      </c>
      <c r="D28" s="2983" t="s">
        <v>3073</v>
      </c>
      <c r="E28" s="2984">
        <v>42583</v>
      </c>
      <c r="F28" s="2985">
        <v>43312</v>
      </c>
      <c r="G28" s="2986">
        <v>341.22</v>
      </c>
      <c r="H28" s="2987">
        <v>4.7</v>
      </c>
      <c r="I28" s="2988">
        <f t="shared" si="0"/>
        <v>48780.2425</v>
      </c>
      <c r="J28" s="2986">
        <f t="shared" si="2"/>
        <v>585362.91</v>
      </c>
      <c r="L28" s="3019"/>
      <c r="M28" s="3014"/>
      <c r="N28" s="3014"/>
      <c r="O28" s="3014"/>
    </row>
    <row r="29" spans="1:20" s="3011" customFormat="1">
      <c r="A29" s="2952">
        <v>28</v>
      </c>
      <c r="B29" s="2990" t="s">
        <v>3074</v>
      </c>
      <c r="C29" s="2982">
        <v>8</v>
      </c>
      <c r="D29" s="2983">
        <v>802</v>
      </c>
      <c r="E29" s="2984">
        <v>42790</v>
      </c>
      <c r="F29" s="2985">
        <v>43519</v>
      </c>
      <c r="G29" s="2986">
        <v>167.19</v>
      </c>
      <c r="H29" s="2987">
        <v>4.5</v>
      </c>
      <c r="I29" s="2988">
        <f t="shared" si="0"/>
        <v>22884.131250000002</v>
      </c>
      <c r="J29" s="2986">
        <f t="shared" si="2"/>
        <v>274609.57500000001</v>
      </c>
    </row>
    <row r="30" spans="1:20" s="3011" customFormat="1">
      <c r="A30" s="2952">
        <v>29</v>
      </c>
      <c r="B30" s="2990" t="s">
        <v>3075</v>
      </c>
      <c r="C30" s="2982">
        <v>8</v>
      </c>
      <c r="D30" s="2983">
        <v>803</v>
      </c>
      <c r="E30" s="2984">
        <v>42468</v>
      </c>
      <c r="F30" s="2985">
        <v>43562</v>
      </c>
      <c r="G30" s="2986">
        <v>243.99</v>
      </c>
      <c r="H30" s="2987">
        <v>3.93</v>
      </c>
      <c r="I30" s="2988">
        <f t="shared" si="0"/>
        <v>29165.954625000002</v>
      </c>
      <c r="J30" s="2986">
        <f t="shared" si="2"/>
        <v>349991.45550000004</v>
      </c>
    </row>
    <row r="31" spans="1:20" s="3011" customFormat="1">
      <c r="A31" s="2952">
        <v>30</v>
      </c>
      <c r="B31" s="2992" t="s">
        <v>3076</v>
      </c>
      <c r="C31" s="2982">
        <v>8</v>
      </c>
      <c r="D31" s="2983">
        <v>804</v>
      </c>
      <c r="E31" s="2984"/>
      <c r="F31" s="2985"/>
      <c r="G31" s="2986">
        <v>97.23</v>
      </c>
      <c r="H31" s="2987">
        <v>4.5</v>
      </c>
      <c r="I31" s="2988">
        <f t="shared" si="0"/>
        <v>13308.356250000003</v>
      </c>
      <c r="J31" s="2986">
        <f t="shared" si="2"/>
        <v>159700.27500000002</v>
      </c>
    </row>
    <row r="32" spans="1:20" s="3011" customFormat="1">
      <c r="A32" s="2952">
        <v>31</v>
      </c>
      <c r="B32" s="2990" t="s">
        <v>3077</v>
      </c>
      <c r="C32" s="2982">
        <v>8</v>
      </c>
      <c r="D32" s="2983">
        <v>805</v>
      </c>
      <c r="E32" s="2984">
        <v>42887</v>
      </c>
      <c r="F32" s="2984">
        <v>43616</v>
      </c>
      <c r="G32" s="2986">
        <v>98.35</v>
      </c>
      <c r="H32" s="2987">
        <v>4.4000000000000004</v>
      </c>
      <c r="I32" s="2988">
        <f>J32/12</f>
        <v>13162.508333333333</v>
      </c>
      <c r="J32" s="2986">
        <f>G32*H32*365</f>
        <v>157950.1</v>
      </c>
    </row>
    <row r="33" spans="1:10" s="3011" customFormat="1">
      <c r="A33" s="2952">
        <v>32</v>
      </c>
      <c r="B33" s="2990" t="s">
        <v>3078</v>
      </c>
      <c r="C33" s="2982">
        <v>8</v>
      </c>
      <c r="D33" s="2983">
        <v>806</v>
      </c>
      <c r="E33" s="2984">
        <v>42795</v>
      </c>
      <c r="F33" s="2985">
        <v>43889</v>
      </c>
      <c r="G33" s="2986">
        <v>107.17</v>
      </c>
      <c r="H33" s="2987">
        <v>4.2</v>
      </c>
      <c r="I33" s="2988">
        <f t="shared" ref="I33:I51" si="6">J33/12</f>
        <v>13690.967500000001</v>
      </c>
      <c r="J33" s="2986">
        <f>G33*H33*365</f>
        <v>164291.61000000002</v>
      </c>
    </row>
    <row r="34" spans="1:10" s="3011" customFormat="1">
      <c r="A34" s="2952">
        <v>33</v>
      </c>
      <c r="B34" s="2990" t="s">
        <v>3102</v>
      </c>
      <c r="C34" s="2982">
        <v>8</v>
      </c>
      <c r="D34" s="2983">
        <v>807</v>
      </c>
      <c r="E34" s="2984">
        <v>42948</v>
      </c>
      <c r="F34" s="2985">
        <v>44043</v>
      </c>
      <c r="G34" s="2986">
        <v>174.58</v>
      </c>
      <c r="H34" s="2987">
        <v>4.5</v>
      </c>
      <c r="I34" s="2988">
        <f t="shared" si="6"/>
        <v>23895.637500000001</v>
      </c>
      <c r="J34" s="2986">
        <f>G34*H34*365</f>
        <v>286747.65000000002</v>
      </c>
    </row>
    <row r="35" spans="1:10" s="3011" customFormat="1">
      <c r="A35" s="2952">
        <v>34</v>
      </c>
      <c r="B35" s="2990" t="s">
        <v>3079</v>
      </c>
      <c r="C35" s="2982">
        <v>8</v>
      </c>
      <c r="D35" s="2983">
        <v>808</v>
      </c>
      <c r="E35" s="2984">
        <v>42948</v>
      </c>
      <c r="F35" s="2985">
        <v>44043</v>
      </c>
      <c r="G35" s="2986">
        <v>97.23</v>
      </c>
      <c r="H35" s="2987">
        <v>4.5</v>
      </c>
      <c r="I35" s="2988">
        <f t="shared" si="6"/>
        <v>13308.356250000003</v>
      </c>
      <c r="J35" s="2986">
        <f>G35*H35*365</f>
        <v>159700.27500000002</v>
      </c>
    </row>
    <row r="36" spans="1:10" s="3011" customFormat="1">
      <c r="A36" s="2952">
        <v>35</v>
      </c>
      <c r="B36" s="2990" t="s">
        <v>3103</v>
      </c>
      <c r="C36" s="2982">
        <v>9</v>
      </c>
      <c r="D36" s="2983" t="s">
        <v>3104</v>
      </c>
      <c r="E36" s="2984">
        <v>43101</v>
      </c>
      <c r="F36" s="2985">
        <v>43921</v>
      </c>
      <c r="G36" s="2986">
        <v>558.35</v>
      </c>
      <c r="H36" s="2987">
        <v>4.7</v>
      </c>
      <c r="I36" s="2988">
        <f t="shared" si="6"/>
        <v>79820.78541666668</v>
      </c>
      <c r="J36" s="2986">
        <f>G36*H36*365</f>
        <v>957849.42500000016</v>
      </c>
    </row>
    <row r="37" spans="1:10" s="3011" customFormat="1">
      <c r="A37" s="2952">
        <v>36</v>
      </c>
      <c r="B37" s="2990" t="s">
        <v>3096</v>
      </c>
      <c r="C37" s="2982">
        <v>9</v>
      </c>
      <c r="D37" s="2983" t="s">
        <v>3105</v>
      </c>
      <c r="E37" s="2984"/>
      <c r="F37" s="2985"/>
      <c r="G37" s="2986">
        <v>634.55999999999995</v>
      </c>
      <c r="H37" s="2987">
        <v>5</v>
      </c>
      <c r="I37" s="2988">
        <f t="shared" si="6"/>
        <v>96506</v>
      </c>
      <c r="J37" s="2986">
        <f t="shared" ref="J37:J45" si="7">G37*H37*365</f>
        <v>1158072</v>
      </c>
    </row>
    <row r="38" spans="1:10" s="3011" customFormat="1">
      <c r="A38" s="2952">
        <v>37</v>
      </c>
      <c r="B38" s="2990" t="s">
        <v>3106</v>
      </c>
      <c r="C38" s="2982">
        <v>9</v>
      </c>
      <c r="D38" s="2983">
        <v>907</v>
      </c>
      <c r="E38" s="2984">
        <v>43184</v>
      </c>
      <c r="F38" s="2985">
        <v>43914</v>
      </c>
      <c r="G38" s="2986">
        <v>174.58</v>
      </c>
      <c r="H38" s="2987">
        <v>4.7</v>
      </c>
      <c r="I38" s="2988">
        <f t="shared" si="6"/>
        <v>24957.665833333336</v>
      </c>
      <c r="J38" s="2986">
        <f t="shared" si="7"/>
        <v>299491.99000000005</v>
      </c>
    </row>
    <row r="39" spans="1:10" s="3011" customFormat="1">
      <c r="A39" s="2952">
        <v>38</v>
      </c>
      <c r="B39" s="2990" t="s">
        <v>3080</v>
      </c>
      <c r="C39" s="2982">
        <v>10</v>
      </c>
      <c r="D39" s="2983" t="s">
        <v>3081</v>
      </c>
      <c r="E39" s="2984">
        <v>42515</v>
      </c>
      <c r="F39" s="2985">
        <v>43610</v>
      </c>
      <c r="G39" s="2986">
        <v>1320</v>
      </c>
      <c r="H39" s="2987">
        <v>5.5</v>
      </c>
      <c r="I39" s="2988">
        <f t="shared" si="6"/>
        <v>220825</v>
      </c>
      <c r="J39" s="2986">
        <f>G39*H39*365</f>
        <v>2649900</v>
      </c>
    </row>
    <row r="40" spans="1:10" s="3011" customFormat="1" ht="36">
      <c r="A40" s="2952">
        <v>39</v>
      </c>
      <c r="B40" s="2959" t="s">
        <v>3082</v>
      </c>
      <c r="C40" s="2982" t="s">
        <v>3083</v>
      </c>
      <c r="D40" s="2989" t="s">
        <v>3084</v>
      </c>
      <c r="E40" s="2984">
        <v>42583</v>
      </c>
      <c r="F40" s="2985">
        <v>43677</v>
      </c>
      <c r="G40" s="2986">
        <v>3378.63</v>
      </c>
      <c r="H40" s="2987">
        <v>5.5</v>
      </c>
      <c r="I40" s="2988">
        <f t="shared" si="6"/>
        <v>565216.64374999993</v>
      </c>
      <c r="J40" s="2986">
        <f>G40*H40*365</f>
        <v>6782599.7249999996</v>
      </c>
    </row>
    <row r="41" spans="1:10" s="3011" customFormat="1">
      <c r="A41" s="2952">
        <v>40</v>
      </c>
      <c r="B41" s="2959" t="s">
        <v>3108</v>
      </c>
      <c r="C41" s="2982">
        <v>11</v>
      </c>
      <c r="D41" s="2983" t="s">
        <v>3107</v>
      </c>
      <c r="E41" s="2984">
        <v>43160</v>
      </c>
      <c r="F41" s="2985">
        <v>44255</v>
      </c>
      <c r="G41" s="2986">
        <v>152.72</v>
      </c>
      <c r="H41" s="2987">
        <v>5</v>
      </c>
      <c r="I41" s="2988">
        <f t="shared" si="6"/>
        <v>23226.166666666668</v>
      </c>
      <c r="J41" s="2986">
        <f t="shared" si="7"/>
        <v>278714</v>
      </c>
    </row>
    <row r="42" spans="1:10" s="3011" customFormat="1">
      <c r="A42" s="2952">
        <v>41</v>
      </c>
      <c r="B42" s="2959" t="s">
        <v>3109</v>
      </c>
      <c r="C42" s="2982">
        <v>11</v>
      </c>
      <c r="D42" s="2983">
        <v>1105</v>
      </c>
      <c r="E42" s="2984">
        <v>43252</v>
      </c>
      <c r="F42" s="2985">
        <v>44347</v>
      </c>
      <c r="G42" s="2986">
        <v>125.48</v>
      </c>
      <c r="H42" s="2987">
        <v>4.8</v>
      </c>
      <c r="I42" s="2988">
        <f>J42/12</f>
        <v>18320.079999999998</v>
      </c>
      <c r="J42" s="2986">
        <f>G42*H42*365</f>
        <v>219840.96</v>
      </c>
    </row>
    <row r="43" spans="1:10" s="3011" customFormat="1">
      <c r="A43" s="2952">
        <v>42</v>
      </c>
      <c r="B43" s="2993" t="s">
        <v>3096</v>
      </c>
      <c r="C43" s="2982">
        <v>11</v>
      </c>
      <c r="D43" s="2983">
        <v>1106</v>
      </c>
      <c r="E43" s="2984"/>
      <c r="F43" s="2985"/>
      <c r="G43" s="2986">
        <v>51</v>
      </c>
      <c r="H43" s="2987"/>
      <c r="I43" s="2994">
        <f t="shared" si="6"/>
        <v>0</v>
      </c>
      <c r="J43" s="2986">
        <f t="shared" si="7"/>
        <v>0</v>
      </c>
    </row>
    <row r="44" spans="1:10" s="3011" customFormat="1">
      <c r="A44" s="2952">
        <v>43</v>
      </c>
      <c r="B44" s="2993" t="s">
        <v>3085</v>
      </c>
      <c r="C44" s="2982">
        <v>11</v>
      </c>
      <c r="D44" s="2983">
        <v>1107</v>
      </c>
      <c r="E44" s="2984">
        <v>43162</v>
      </c>
      <c r="F44" s="2985">
        <v>43526</v>
      </c>
      <c r="G44" s="2986">
        <v>95.57</v>
      </c>
      <c r="H44" s="2987">
        <v>5</v>
      </c>
      <c r="I44" s="2994">
        <f t="shared" si="6"/>
        <v>14534.604166666666</v>
      </c>
      <c r="J44" s="2986">
        <f t="shared" si="7"/>
        <v>174415.25</v>
      </c>
    </row>
    <row r="45" spans="1:10" s="3011" customFormat="1">
      <c r="A45" s="2952"/>
      <c r="B45" s="2993" t="s">
        <v>3115</v>
      </c>
      <c r="C45" s="2982">
        <v>11</v>
      </c>
      <c r="D45" s="2983">
        <v>1108</v>
      </c>
      <c r="E45" s="2984">
        <v>42529</v>
      </c>
      <c r="F45" s="2985">
        <v>43258</v>
      </c>
      <c r="G45" s="2986">
        <v>210.69</v>
      </c>
      <c r="H45" s="2987">
        <v>4.5</v>
      </c>
      <c r="I45" s="2994">
        <f t="shared" si="6"/>
        <v>28838.193750000002</v>
      </c>
      <c r="J45" s="2986">
        <f t="shared" si="7"/>
        <v>346058.32500000001</v>
      </c>
    </row>
    <row r="46" spans="1:10" s="3011" customFormat="1">
      <c r="A46" s="2952">
        <v>44</v>
      </c>
      <c r="B46" s="2959" t="s">
        <v>3110</v>
      </c>
      <c r="C46" s="2982">
        <v>16</v>
      </c>
      <c r="D46" s="2983">
        <v>1603</v>
      </c>
      <c r="E46" s="2985">
        <v>42522</v>
      </c>
      <c r="F46" s="2985">
        <v>43616</v>
      </c>
      <c r="G46" s="2986">
        <v>465</v>
      </c>
      <c r="H46" s="2987">
        <v>4.4000000000000004</v>
      </c>
      <c r="I46" s="2988">
        <f>J46/12</f>
        <v>62232.500000000007</v>
      </c>
      <c r="J46" s="2986">
        <f>G46*H46*365</f>
        <v>746790.00000000012</v>
      </c>
    </row>
    <row r="47" spans="1:10" s="3011" customFormat="1">
      <c r="A47" s="2952">
        <v>45</v>
      </c>
      <c r="B47" s="2990" t="s">
        <v>3111</v>
      </c>
      <c r="C47" s="2982">
        <v>16</v>
      </c>
      <c r="D47" s="2983" t="s">
        <v>3112</v>
      </c>
      <c r="E47" s="2985">
        <v>43005</v>
      </c>
      <c r="F47" s="2985">
        <v>43734</v>
      </c>
      <c r="G47" s="2986">
        <v>670</v>
      </c>
      <c r="H47" s="2987">
        <v>4.8</v>
      </c>
      <c r="I47" s="2988">
        <f>J47/12</f>
        <v>97820</v>
      </c>
      <c r="J47" s="2986">
        <f>G47*H47*365</f>
        <v>1173840</v>
      </c>
    </row>
    <row r="48" spans="1:10" s="3011" customFormat="1">
      <c r="A48" s="3012">
        <v>46</v>
      </c>
      <c r="B48" s="2998" t="s">
        <v>3113</v>
      </c>
      <c r="C48" s="2999">
        <v>17</v>
      </c>
      <c r="D48" s="3000" t="s">
        <v>3114</v>
      </c>
      <c r="E48" s="2985">
        <v>42962</v>
      </c>
      <c r="F48" s="2985">
        <v>44057</v>
      </c>
      <c r="G48" s="3001">
        <v>670</v>
      </c>
      <c r="H48" s="3002">
        <v>4.5999999999999996</v>
      </c>
      <c r="I48" s="3003">
        <f>J48/12</f>
        <v>93744.166666666642</v>
      </c>
      <c r="J48" s="3001">
        <f>G48*H48*365</f>
        <v>1124929.9999999998</v>
      </c>
    </row>
    <row r="49" spans="1:10" s="3011" customFormat="1">
      <c r="A49" s="2952">
        <v>46</v>
      </c>
      <c r="B49" s="2990" t="s">
        <v>3086</v>
      </c>
      <c r="C49" s="2982" t="s">
        <v>3087</v>
      </c>
      <c r="D49" s="2983"/>
      <c r="E49" s="2952" t="s">
        <v>3088</v>
      </c>
      <c r="F49" s="2984"/>
      <c r="G49" s="2986">
        <v>1512.24</v>
      </c>
      <c r="H49" s="2987">
        <v>7</v>
      </c>
      <c r="I49" s="2988">
        <f t="shared" si="6"/>
        <v>321981.10000000003</v>
      </c>
      <c r="J49" s="2986">
        <f>G49*H49*365</f>
        <v>3863773.2</v>
      </c>
    </row>
    <row r="50" spans="1:10" s="3011" customFormat="1" ht="14.25" customHeight="1">
      <c r="A50" s="2968">
        <v>47</v>
      </c>
      <c r="B50" s="2978" t="s">
        <v>3089</v>
      </c>
      <c r="C50" s="2979"/>
      <c r="D50" s="2980"/>
      <c r="E50" s="2968" t="s">
        <v>3088</v>
      </c>
      <c r="F50" s="2972"/>
      <c r="G50" s="2974">
        <v>1000</v>
      </c>
      <c r="H50" s="3016">
        <f>ROUND(J50/365/G50,2)</f>
        <v>4.1100000000000003</v>
      </c>
      <c r="I50" s="2976">
        <f t="shared" si="6"/>
        <v>125000</v>
      </c>
      <c r="J50" s="2981">
        <v>1500000</v>
      </c>
    </row>
    <row r="51" spans="1:10" s="3011" customFormat="1">
      <c r="A51" s="2952">
        <v>48</v>
      </c>
      <c r="B51" s="2990" t="s">
        <v>3090</v>
      </c>
      <c r="C51" s="2952"/>
      <c r="D51" s="2952"/>
      <c r="E51" s="2952" t="s">
        <v>3091</v>
      </c>
      <c r="F51" s="2952"/>
      <c r="G51" s="2986">
        <v>4788.67</v>
      </c>
      <c r="H51" s="2995">
        <v>0.37</v>
      </c>
      <c r="I51" s="2988">
        <f t="shared" si="6"/>
        <v>53500</v>
      </c>
      <c r="J51" s="2986">
        <v>642000</v>
      </c>
    </row>
    <row r="52" spans="1:10">
      <c r="A52" s="2986"/>
      <c r="B52" s="2986" t="s">
        <v>3187</v>
      </c>
      <c r="C52" s="2986"/>
      <c r="D52" s="2986"/>
      <c r="E52" s="2986"/>
      <c r="F52" s="2986"/>
      <c r="G52" s="2986">
        <f>SUM(G4:G51)</f>
        <v>28872.97</v>
      </c>
      <c r="H52" s="2986"/>
      <c r="I52" s="2986">
        <f>SUM(I4:I51)</f>
        <v>3743396.2648718497</v>
      </c>
      <c r="J52" s="2986">
        <f>SUM(J4:J51)</f>
        <v>44920755.1784622</v>
      </c>
    </row>
    <row r="53" spans="1:10">
      <c r="F53" s="2996" t="s">
        <v>3188</v>
      </c>
      <c r="G53" s="2997">
        <f>SUM(G7:G49)</f>
        <v>17473.04</v>
      </c>
    </row>
    <row r="54" spans="1:10">
      <c r="F54" s="2996" t="s">
        <v>3189</v>
      </c>
      <c r="G54" s="2997">
        <f>SUM(G4:G6)</f>
        <v>5611.2599999999993</v>
      </c>
    </row>
    <row r="55" spans="1:10">
      <c r="F55" s="2996" t="s">
        <v>3190</v>
      </c>
      <c r="G55" s="2997">
        <f>G50</f>
        <v>1000</v>
      </c>
    </row>
    <row r="56" spans="1:10">
      <c r="F56" s="3018" t="s">
        <v>3191</v>
      </c>
      <c r="G56" s="2997">
        <f>G51</f>
        <v>4788.67</v>
      </c>
    </row>
  </sheetData>
  <mergeCells count="1">
    <mergeCell ref="A1:J1"/>
  </mergeCells>
  <phoneticPr fontId="25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28872.97</v>
      </c>
      <c r="C1" s="1742"/>
      <c r="D1" s="1742"/>
      <c r="E1" s="1742"/>
      <c r="F1" s="1742"/>
      <c r="G1" s="1740"/>
    </row>
    <row r="2" spans="1:10" ht="16.5">
      <c r="A2" s="1743" t="s">
        <v>1353</v>
      </c>
      <c r="B2" s="1743">
        <f>SUM(C14:C23)</f>
        <v>11364.7</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79569</v>
      </c>
      <c r="C5" s="1743">
        <f ca="1">ROUND(B5*10000/$B$1,0)</f>
        <v>27558</v>
      </c>
      <c r="D5" s="1743">
        <f ca="1">ROUND(B5*10000/$B$2,0)</f>
        <v>70014</v>
      </c>
      <c r="E5" s="1742"/>
      <c r="F5" s="1740"/>
      <c r="G5" s="1740"/>
    </row>
    <row r="6" spans="1:10" ht="16.5">
      <c r="A6" s="1743" t="s">
        <v>1356</v>
      </c>
      <c r="B6" s="1743">
        <f ca="1">SUM(G14:G23)</f>
        <v>79569</v>
      </c>
      <c r="C6" s="1743">
        <f ca="1">ROUND(B6*10000/$B$1,0)</f>
        <v>27558</v>
      </c>
      <c r="D6" s="1743">
        <f ca="1">ROUND(B6*10000/$B$2,0)</f>
        <v>70014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28872.97</v>
      </c>
      <c r="C14" s="1741">
        <f>结果表!C118</f>
        <v>11364.7</v>
      </c>
      <c r="D14" s="1741">
        <f ca="1">结果表!H118</f>
        <v>79569</v>
      </c>
      <c r="E14" s="1741">
        <f ca="1">ROUND(D14*10000/B14,0)</f>
        <v>27558</v>
      </c>
      <c r="F14" s="1741">
        <f ca="1">ROUND(D14*10000/C14,0)</f>
        <v>70014</v>
      </c>
      <c r="G14" s="1741">
        <f ca="1">结果表!D122</f>
        <v>79569</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8" t="s">
        <v>3136</v>
      </c>
      <c r="H1" s="2418" t="str">
        <f>IF(G1="现房","——","估价对象范围")</f>
        <v>——</v>
      </c>
      <c r="I1" s="2419" t="s">
        <v>3195</v>
      </c>
    </row>
    <row r="2" spans="1:12" ht="21.75" customHeight="1" thickBot="1">
      <c r="A2" s="3191" t="str">
        <f>项目基本情况!S2</f>
        <v>北京市石景山区时代花园南路17号房地产</v>
      </c>
      <c r="B2" s="3192"/>
      <c r="C2" s="3192"/>
      <c r="D2" s="3192"/>
      <c r="E2" s="3192"/>
      <c r="F2" s="3192"/>
      <c r="G2" s="3192"/>
      <c r="H2" s="3192"/>
      <c r="I2" s="3193"/>
    </row>
    <row r="3" spans="1:12" ht="12.75">
      <c r="A3" s="3194" t="s">
        <v>2117</v>
      </c>
      <c r="B3" s="3195"/>
      <c r="C3" s="3195"/>
      <c r="D3" s="3195"/>
      <c r="E3" s="3195"/>
      <c r="F3" s="3195"/>
      <c r="G3" s="3195"/>
      <c r="H3" s="3195"/>
      <c r="I3" s="3195"/>
    </row>
    <row r="4" spans="1:12" ht="14.25">
      <c r="A4" s="2422" t="s">
        <v>2118</v>
      </c>
      <c r="B4" s="2423" t="s">
        <v>2119</v>
      </c>
      <c r="C4" s="2424" t="s">
        <v>3196</v>
      </c>
      <c r="D4" s="2424" t="s">
        <v>3197</v>
      </c>
      <c r="E4" s="3175" t="s">
        <v>2120</v>
      </c>
      <c r="F4" s="3188"/>
      <c r="G4" s="3188"/>
      <c r="H4" s="3188"/>
      <c r="I4" s="317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66" t="s">
        <v>2121</v>
      </c>
      <c r="B5" s="3091">
        <v>25</v>
      </c>
      <c r="C5" s="3196"/>
      <c r="D5" s="3184"/>
      <c r="E5" s="140" t="s">
        <v>2122</v>
      </c>
      <c r="F5" s="2426"/>
      <c r="G5" s="2426"/>
      <c r="H5" s="2426"/>
      <c r="I5" s="1831"/>
    </row>
    <row r="6" spans="1:12" ht="12.75">
      <c r="A6" s="3166"/>
      <c r="B6" s="3091"/>
      <c r="C6" s="3198"/>
      <c r="D6" s="3184"/>
      <c r="E6" s="140" t="s">
        <v>2123</v>
      </c>
      <c r="F6" s="2426"/>
      <c r="G6" s="2426"/>
      <c r="H6" s="2426"/>
      <c r="I6" s="1831"/>
    </row>
    <row r="7" spans="1:12" ht="12.75">
      <c r="A7" s="3166"/>
      <c r="B7" s="3091"/>
      <c r="C7" s="3197"/>
      <c r="D7" s="3184"/>
      <c r="E7" s="140" t="s">
        <v>2124</v>
      </c>
      <c r="F7" s="2426"/>
      <c r="G7" s="2426"/>
      <c r="H7" s="2426"/>
      <c r="I7" s="1831"/>
    </row>
    <row r="8" spans="1:12" ht="12.75">
      <c r="A8" s="3166" t="s">
        <v>2125</v>
      </c>
      <c r="B8" s="3091">
        <v>15</v>
      </c>
      <c r="C8" s="3196"/>
      <c r="D8" s="3184"/>
      <c r="E8" s="140" t="s">
        <v>2126</v>
      </c>
      <c r="F8" s="2426"/>
      <c r="G8" s="2426"/>
      <c r="H8" s="2426"/>
      <c r="I8" s="1831"/>
    </row>
    <row r="9" spans="1:12" ht="12.75">
      <c r="A9" s="3166"/>
      <c r="B9" s="3091"/>
      <c r="C9" s="3197"/>
      <c r="D9" s="3184"/>
      <c r="E9" s="140" t="s">
        <v>2127</v>
      </c>
      <c r="F9" s="2426"/>
      <c r="G9" s="2426"/>
      <c r="H9" s="2426"/>
      <c r="I9" s="1831"/>
    </row>
    <row r="10" spans="1:12" ht="12.75">
      <c r="A10" s="3166" t="s">
        <v>2128</v>
      </c>
      <c r="B10" s="3091">
        <v>15</v>
      </c>
      <c r="C10" s="3196"/>
      <c r="D10" s="3184"/>
      <c r="E10" s="140" t="s">
        <v>2129</v>
      </c>
      <c r="F10" s="2426"/>
      <c r="G10" s="2426"/>
      <c r="H10" s="2426"/>
      <c r="I10" s="1831"/>
    </row>
    <row r="11" spans="1:12" ht="12.75">
      <c r="A11" s="3166"/>
      <c r="B11" s="3091"/>
      <c r="C11" s="3197"/>
      <c r="D11" s="3184"/>
      <c r="E11" s="140" t="s">
        <v>2130</v>
      </c>
      <c r="F11" s="2426"/>
      <c r="G11" s="2426"/>
      <c r="H11" s="2426"/>
      <c r="I11" s="1831"/>
    </row>
    <row r="12" spans="1:12" ht="12.75">
      <c r="A12" s="3166" t="s">
        <v>2131</v>
      </c>
      <c r="B12" s="3091">
        <v>15</v>
      </c>
      <c r="C12" s="3196"/>
      <c r="D12" s="3184"/>
      <c r="E12" s="140" t="s">
        <v>2132</v>
      </c>
      <c r="F12" s="2426"/>
      <c r="G12" s="2426"/>
      <c r="H12" s="2426"/>
      <c r="I12" s="1831"/>
    </row>
    <row r="13" spans="1:12" ht="12.75">
      <c r="A13" s="3166"/>
      <c r="B13" s="3091"/>
      <c r="C13" s="3197"/>
      <c r="D13" s="3184"/>
      <c r="E13" s="140" t="s">
        <v>2133</v>
      </c>
      <c r="F13" s="2426"/>
      <c r="G13" s="2426"/>
      <c r="H13" s="2426"/>
      <c r="I13" s="1831"/>
    </row>
    <row r="14" spans="1:12" ht="12.75">
      <c r="A14" s="3166" t="s">
        <v>2134</v>
      </c>
      <c r="B14" s="3091">
        <v>30</v>
      </c>
      <c r="C14" s="3196">
        <v>4</v>
      </c>
      <c r="D14" s="3184">
        <v>6</v>
      </c>
      <c r="E14" s="140" t="s">
        <v>2135</v>
      </c>
      <c r="F14" s="2426"/>
      <c r="G14" s="2426"/>
      <c r="H14" s="2426"/>
      <c r="I14" s="1831"/>
    </row>
    <row r="15" spans="1:12" ht="12.75">
      <c r="A15" s="3166"/>
      <c r="B15" s="3091"/>
      <c r="C15" s="3198"/>
      <c r="D15" s="3184"/>
      <c r="E15" s="140" t="s">
        <v>2136</v>
      </c>
      <c r="F15" s="2426"/>
      <c r="G15" s="2426"/>
      <c r="H15" s="2426"/>
      <c r="I15" s="1831"/>
    </row>
    <row r="16" spans="1:12" ht="12.75">
      <c r="A16" s="3166"/>
      <c r="B16" s="3091"/>
      <c r="C16" s="3197"/>
      <c r="D16" s="3184"/>
      <c r="E16" s="140" t="s">
        <v>2137</v>
      </c>
      <c r="F16" s="2426"/>
      <c r="G16" s="2426"/>
      <c r="H16" s="2426"/>
      <c r="I16" s="1831"/>
    </row>
    <row r="17" spans="1:35" ht="15">
      <c r="A17" s="2427" t="s">
        <v>2138</v>
      </c>
      <c r="B17" s="64"/>
      <c r="C17" s="141">
        <f>SUM(C5:C16)</f>
        <v>4</v>
      </c>
      <c r="D17" s="141">
        <f>SUM(D5:D16)</f>
        <v>6</v>
      </c>
      <c r="E17" s="138"/>
      <c r="F17" s="138"/>
      <c r="G17" s="138"/>
      <c r="H17" s="138"/>
      <c r="I17" s="138"/>
      <c r="K17" s="2425"/>
      <c r="L17" s="2428" t="s">
        <v>2139</v>
      </c>
      <c r="M17" s="2428" t="s">
        <v>2140</v>
      </c>
    </row>
    <row r="18" spans="1:35" ht="15.75" thickBot="1">
      <c r="A18" s="2429" t="s">
        <v>2141</v>
      </c>
      <c r="B18" s="2430"/>
      <c r="C18" s="142">
        <f>ROUND(C17/SUM(C17:D17),2)</f>
        <v>0.4</v>
      </c>
      <c r="D18" s="142">
        <f>1-C18</f>
        <v>0.6</v>
      </c>
      <c r="E18" s="138"/>
      <c r="F18" s="138"/>
      <c r="G18" s="138"/>
      <c r="H18" s="138"/>
      <c r="I18" s="138"/>
      <c r="K18" s="2425" t="s">
        <v>2142</v>
      </c>
      <c r="L18" s="2425">
        <f>IF(C1="",'数据-汇总表'!E3,SUMIF(项目类型,C1,'数据-汇总表'!E17:E26)+SUMIF(项目类型,C1,'数据-汇总表'!I17:I26))</f>
        <v>28872.97</v>
      </c>
      <c r="M18" s="2425">
        <f>IF(C1="",'数据-汇总表'!E3,SUMIF(项目类型,C1,'数据-汇总表'!E17:E26))</f>
        <v>28872.97</v>
      </c>
    </row>
    <row r="19" spans="1:35" ht="15">
      <c r="A19" s="2431" t="s">
        <v>2143</v>
      </c>
      <c r="B19" s="2432" t="s">
        <v>2144</v>
      </c>
      <c r="C19" s="143">
        <f ca="1">SUMIF(INDIRECT("'"&amp;C4&amp;"'"&amp;"!A:A"),结果表!B19,INDIRECT("'"&amp;C4&amp;"'"&amp;"!B:B"))</f>
        <v>69187</v>
      </c>
      <c r="D19" s="144">
        <f ca="1">SUMIF(INDIRECT("'"&amp;D4&amp;"'"&amp;"!A:A"),结果表!B19,INDIRECT("'"&amp;D4&amp;"'"&amp;"!B:B"))</f>
        <v>86490</v>
      </c>
      <c r="E19" s="2431" t="s">
        <v>2145</v>
      </c>
      <c r="F19" s="2432" t="s">
        <v>2144</v>
      </c>
      <c r="G19" s="145">
        <f ca="1">ROUND(C19*$C$18+D19*$D$18,0)</f>
        <v>79569</v>
      </c>
      <c r="H19" s="2433" t="s">
        <v>2146</v>
      </c>
      <c r="I19" s="138"/>
      <c r="K19" s="2425" t="s">
        <v>2147</v>
      </c>
      <c r="L19" s="2425">
        <f>IF(C1="",'数据-汇总表'!D3,SUMIF(项目类型,C1,'数据-汇总表'!D17:D26)+SUMIF(项目类型,C1,'数据-汇总表'!H17:H27))</f>
        <v>11364.7</v>
      </c>
      <c r="M19" s="2425">
        <f>IF(C1="",'数据-汇总表'!D3,SUMIF(项目类型,C1,'数据-汇总表'!D17:D26))</f>
        <v>11364.7</v>
      </c>
    </row>
    <row r="20" spans="1:35" ht="15">
      <c r="A20" s="2434"/>
      <c r="B20" s="1247" t="s">
        <v>2148</v>
      </c>
      <c r="C20" s="146">
        <f ca="1">SUMIF(INDIRECT("'"&amp;C4&amp;"'"&amp;"!A:A"),结果表!B20,INDIRECT("'"&amp;C4&amp;"'"&amp;"!B:B"))</f>
        <v>23963</v>
      </c>
      <c r="D20" s="147">
        <f ca="1">SUMIF(INDIRECT("'"&amp;D4&amp;"'"&amp;"!A:A"),结果表!B20,INDIRECT("'"&amp;D4&amp;"'"&amp;"!B:B"))</f>
        <v>29955</v>
      </c>
      <c r="E20" s="2434"/>
      <c r="F20" s="1247" t="s">
        <v>2148</v>
      </c>
      <c r="G20" s="148">
        <f ca="1">ROUND(C20*$C$18+D20*$D$18,0)</f>
        <v>27558</v>
      </c>
      <c r="H20" s="980" t="s">
        <v>2149</v>
      </c>
      <c r="I20" s="138"/>
    </row>
    <row r="21" spans="1:35" ht="15" customHeight="1" thickBot="1">
      <c r="A21" s="1000"/>
      <c r="B21" s="2435" t="s">
        <v>2150</v>
      </c>
      <c r="C21" s="789">
        <f ca="1">ROUND(C19*10000/L19,0)</f>
        <v>60879</v>
      </c>
      <c r="D21" s="790">
        <f ca="1">ROUND(D19*10000/L19,0)</f>
        <v>76104</v>
      </c>
      <c r="E21" s="1000"/>
      <c r="F21" s="2435" t="s">
        <v>2150</v>
      </c>
      <c r="G21" s="149">
        <f ca="1">ROUND(G19*10000/L19,0)</f>
        <v>70014</v>
      </c>
      <c r="H21" s="2436" t="s">
        <v>2149</v>
      </c>
      <c r="I21" s="138"/>
    </row>
    <row r="22" spans="1:35" ht="15" thickBot="1">
      <c r="A22" s="2277" t="s">
        <v>2151</v>
      </c>
      <c r="B22" s="2437"/>
      <c r="C22" s="2438"/>
      <c r="D22" s="791">
        <f ca="1">IF(C19&lt;D19,D19/C19-1,C19/D19-1)</f>
        <v>0.25009033488950227</v>
      </c>
      <c r="E22" s="138"/>
      <c r="F22" s="138"/>
      <c r="G22" s="138"/>
      <c r="H22" s="138"/>
      <c r="I22" s="138"/>
    </row>
    <row r="23" spans="1:35" ht="13.5" thickBot="1">
      <c r="A23" s="2415"/>
      <c r="B23" s="2415"/>
      <c r="C23" s="2415"/>
      <c r="D23" s="2415"/>
      <c r="E23" s="138"/>
      <c r="F23" s="138"/>
      <c r="G23" s="138"/>
      <c r="H23" s="138"/>
      <c r="I23" s="138"/>
    </row>
    <row r="24" spans="1:35" ht="14.25">
      <c r="A24" s="3205" t="s">
        <v>2152</v>
      </c>
      <c r="B24" s="2432" t="s">
        <v>2144</v>
      </c>
      <c r="C24" s="145">
        <f>IF(B30=0,0,D30)</f>
        <v>0</v>
      </c>
      <c r="D24" s="2439"/>
      <c r="E24" s="138"/>
      <c r="F24" s="138"/>
      <c r="G24" s="138"/>
      <c r="H24" s="138"/>
      <c r="I24" s="138"/>
    </row>
    <row r="25" spans="1:35" ht="14.25">
      <c r="A25" s="3206"/>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4"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79569</v>
      </c>
      <c r="D32" s="2446" t="s">
        <v>2159</v>
      </c>
      <c r="E32" s="138"/>
      <c r="F32" s="138"/>
      <c r="G32" s="138"/>
      <c r="H32" s="138"/>
      <c r="I32" s="138"/>
    </row>
    <row r="33" spans="1:15" ht="15">
      <c r="A33" s="957" t="s">
        <v>2160</v>
      </c>
      <c r="B33" s="2447"/>
      <c r="C33" s="2448" t="s">
        <v>3204</v>
      </c>
      <c r="D33" s="2449" t="s">
        <v>3196</v>
      </c>
      <c r="E33" s="2450" t="s">
        <v>2161</v>
      </c>
      <c r="F33" s="2451" t="str">
        <f>IF(D32="楼面单价","取值（单价）","取值（总价）")</f>
        <v>取值（总价）</v>
      </c>
      <c r="G33" s="138"/>
      <c r="H33" s="138"/>
      <c r="I33" s="138"/>
    </row>
    <row r="34" spans="1:15" ht="15">
      <c r="A34" s="2452"/>
      <c r="B34" s="2453" t="s">
        <v>2162</v>
      </c>
      <c r="C34" s="157">
        <f ca="1">IF(C33="自定义",F34,C32-C35)</f>
        <v>64769</v>
      </c>
      <c r="D34" s="1055">
        <f ca="1">IF(C33="自定义",ROUND(C34/C32,3),IF(C33="收益比率",SUMIF(INDIRECT("'"&amp;D33&amp;"'"&amp;"!b:b"),"土地收益比率",INDIRECT("'"&amp;D33&amp;"'"&amp;"!c:c")),SUMIF(INDIRECT("'"&amp;D33&amp;"'"&amp;"!b:b"),"土地成本比率",INDIRECT("'"&amp;D33&amp;"'"&amp;"!c:c"))))</f>
        <v>0.81400000000000006</v>
      </c>
      <c r="E34" s="2454" t="s">
        <v>2163</v>
      </c>
      <c r="F34" s="1736"/>
      <c r="G34" s="138"/>
      <c r="H34" s="138"/>
      <c r="I34" s="138"/>
    </row>
    <row r="35" spans="1:15" ht="15.75" thickBot="1">
      <c r="A35" s="2455"/>
      <c r="B35" s="2456" t="s">
        <v>2164</v>
      </c>
      <c r="C35" s="1441">
        <f ca="1">IF(C33="自定义",F35,ROUND(C32*D35,0))</f>
        <v>14800</v>
      </c>
      <c r="D35" s="1442">
        <f ca="1">IF(C33="自定义",ROUND(C35/C32,3),IF(C33="收益比率",SUMIF(INDIRECT("'"&amp;D33&amp;"'"&amp;"!b:b"),"建筑物收益比率",INDIRECT("'"&amp;D33&amp;"'"&amp;"!c:c")),SUMIF(INDIRECT("'"&amp;D33&amp;"'"&amp;"!b:b"),"建筑物成本比率",INDIRECT("'"&amp;D33&amp;"'"&amp;"!c:c"))))</f>
        <v>0.186</v>
      </c>
      <c r="E35" s="2457" t="s">
        <v>2165</v>
      </c>
      <c r="F35" s="163"/>
      <c r="G35" s="138"/>
      <c r="H35" s="138"/>
      <c r="I35" s="138"/>
    </row>
    <row r="36" spans="1:15" ht="15.75" thickBot="1">
      <c r="A36" s="3185" t="s">
        <v>2166</v>
      </c>
      <c r="B36" s="2458" t="s">
        <v>2167</v>
      </c>
      <c r="C36" s="154">
        <v>200000</v>
      </c>
      <c r="D36" s="2459" t="s">
        <v>3213</v>
      </c>
      <c r="E36" s="2460"/>
      <c r="F36" s="2461"/>
      <c r="G36" s="138"/>
      <c r="H36" s="138"/>
      <c r="I36" s="138"/>
    </row>
    <row r="37" spans="1:15" ht="15.75" thickBot="1">
      <c r="A37" s="3186"/>
      <c r="B37" s="2263" t="s">
        <v>2168</v>
      </c>
      <c r="C37" s="156"/>
      <c r="D37" s="1392"/>
      <c r="E37" s="1392"/>
      <c r="F37" s="2461"/>
      <c r="G37" s="138"/>
      <c r="H37" s="138"/>
      <c r="I37" s="138"/>
    </row>
    <row r="38" spans="1:15" ht="15.75" thickBot="1">
      <c r="A38" s="3187"/>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202" t="s">
        <v>2180</v>
      </c>
      <c r="B45" s="3203"/>
      <c r="C45" s="3204"/>
      <c r="D45" s="164">
        <f ca="1">ROUND(H101*F45,0)</f>
        <v>79569</v>
      </c>
      <c r="E45" s="165" t="s">
        <v>2181</v>
      </c>
      <c r="F45" s="166">
        <v>1</v>
      </c>
      <c r="G45" s="167" t="s">
        <v>2182</v>
      </c>
      <c r="H45" s="138"/>
      <c r="I45" s="138"/>
      <c r="J45" s="3121" t="s">
        <v>2183</v>
      </c>
      <c r="K45" s="3121"/>
      <c r="L45" s="3121"/>
      <c r="M45" s="3121"/>
      <c r="N45" s="3121"/>
      <c r="O45" s="3121"/>
    </row>
    <row r="46" spans="1:15" ht="14.25" customHeight="1">
      <c r="A46" s="3199" t="s">
        <v>2184</v>
      </c>
      <c r="B46" s="3200"/>
      <c r="C46" s="3200"/>
      <c r="D46" s="3200"/>
      <c r="E46" s="3200"/>
      <c r="F46" s="3200"/>
      <c r="G46" s="3201"/>
      <c r="H46" s="2477"/>
      <c r="I46" s="168"/>
      <c r="J46" s="1809">
        <v>1</v>
      </c>
      <c r="K46" s="3121" t="s">
        <v>2185</v>
      </c>
      <c r="L46" s="3121"/>
      <c r="M46" s="3122"/>
      <c r="N46" s="3122"/>
      <c r="O46" s="3122"/>
    </row>
    <row r="47" spans="1:15" ht="12" customHeight="1">
      <c r="A47" s="169" t="s">
        <v>2186</v>
      </c>
      <c r="B47" s="170"/>
      <c r="C47" s="171"/>
      <c r="D47" s="172" t="s">
        <v>2187</v>
      </c>
      <c r="E47" s="24" t="s">
        <v>2188</v>
      </c>
      <c r="F47" s="173" t="s">
        <v>2189</v>
      </c>
      <c r="G47" s="174" t="s">
        <v>2190</v>
      </c>
      <c r="H47" s="2477"/>
      <c r="I47" s="168"/>
      <c r="J47" s="1809">
        <v>2</v>
      </c>
      <c r="K47" s="3121" t="s">
        <v>2191</v>
      </c>
      <c r="L47" s="3121"/>
      <c r="M47" s="3123">
        <f>'数据-取费表'!B2</f>
        <v>43222</v>
      </c>
      <c r="N47" s="3123"/>
      <c r="O47" s="3123"/>
    </row>
    <row r="48" spans="1:15" ht="25.5">
      <c r="A48" s="3189" t="s">
        <v>2192</v>
      </c>
      <c r="B48" s="3190"/>
      <c r="C48" s="3190"/>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121" t="s">
        <v>2195</v>
      </c>
      <c r="L48" s="3121"/>
      <c r="M48" s="3124">
        <f ca="1">H101</f>
        <v>79569</v>
      </c>
      <c r="N48" s="3124"/>
      <c r="O48" s="3124"/>
    </row>
    <row r="49" spans="1:35" ht="25.5" customHeight="1">
      <c r="A49" s="176" t="s">
        <v>2196</v>
      </c>
      <c r="B49" s="3169" t="s">
        <v>2197</v>
      </c>
      <c r="C49" s="3169"/>
      <c r="D49" s="177">
        <v>0</v>
      </c>
      <c r="E49" s="23" t="s">
        <v>2198</v>
      </c>
      <c r="F49" s="28" t="s">
        <v>34</v>
      </c>
      <c r="G49" s="3150"/>
      <c r="H49" s="138"/>
      <c r="I49" s="2480"/>
      <c r="J49" s="1809">
        <v>4</v>
      </c>
      <c r="K49" s="3121" t="str">
        <f>IF(项目基本情况!E8="房地产抵押价值","房地产抵押价值","抵押担保权已注销时的房地产抵押价值")</f>
        <v>房地产抵押价值</v>
      </c>
      <c r="L49" s="3121"/>
      <c r="M49" s="3124">
        <f ca="1">IF(项目基本情况!E8="房地产抵押价值",H107,H109)</f>
        <v>79569</v>
      </c>
      <c r="N49" s="3124"/>
      <c r="O49" s="3124"/>
    </row>
    <row r="50" spans="1:35" ht="25.5" customHeight="1">
      <c r="A50" s="178"/>
      <c r="B50" s="3169" t="s">
        <v>2199</v>
      </c>
      <c r="C50" s="3169"/>
      <c r="D50" s="179"/>
      <c r="E50" s="31"/>
      <c r="F50" s="180"/>
      <c r="G50" s="3151"/>
      <c r="H50" s="138"/>
      <c r="I50" s="2480"/>
      <c r="J50" s="3121" t="s">
        <v>2200</v>
      </c>
      <c r="K50" s="3121"/>
      <c r="L50" s="3121"/>
      <c r="M50" s="3121"/>
      <c r="N50" s="3121"/>
      <c r="O50" s="3121"/>
    </row>
    <row r="51" spans="1:35" ht="12" customHeight="1">
      <c r="A51" s="181"/>
      <c r="B51" s="3169" t="s">
        <v>2201</v>
      </c>
      <c r="C51" s="3169"/>
      <c r="D51" s="182"/>
      <c r="E51" s="30"/>
      <c r="F51" s="180"/>
      <c r="G51" s="3152"/>
      <c r="H51" s="138"/>
      <c r="I51" s="2480"/>
      <c r="J51" s="2481" t="s">
        <v>2202</v>
      </c>
      <c r="K51" s="3121" t="s">
        <v>2203</v>
      </c>
      <c r="L51" s="3121"/>
      <c r="M51" s="2481" t="s">
        <v>2204</v>
      </c>
      <c r="N51" s="2481" t="s">
        <v>2205</v>
      </c>
      <c r="O51" s="2481" t="s">
        <v>2206</v>
      </c>
    </row>
    <row r="52" spans="1:35" ht="24" customHeight="1">
      <c r="A52" s="183" t="s">
        <v>2207</v>
      </c>
      <c r="B52" s="3169" t="s">
        <v>2208</v>
      </c>
      <c r="C52" s="3169"/>
      <c r="D52" s="182">
        <f ca="1">ROUND(D45*'数据-取费表'!B41/(1+'数据-取费表'!C42),0)</f>
        <v>4244</v>
      </c>
      <c r="E52" s="11" t="s">
        <v>2209</v>
      </c>
      <c r="F52" s="184">
        <f>'数据-取费表'!B41</f>
        <v>5.6000000000000001E-2</v>
      </c>
      <c r="G52" s="2482"/>
      <c r="H52" s="138"/>
      <c r="I52" s="2480"/>
      <c r="J52" s="1809">
        <v>1</v>
      </c>
      <c r="K52" s="3144" t="s">
        <v>2210</v>
      </c>
      <c r="L52" s="3144"/>
      <c r="M52" s="1751">
        <f>D48</f>
        <v>0</v>
      </c>
      <c r="N52" s="1809" t="str">
        <f>E48</f>
        <v>销售额×税（费）率</v>
      </c>
      <c r="O52" s="1752" t="str">
        <f>F48</f>
        <v>免征</v>
      </c>
    </row>
    <row r="53" spans="1:35" ht="12" customHeight="1">
      <c r="A53" s="183" t="s">
        <v>2211</v>
      </c>
      <c r="B53" s="3170" t="s">
        <v>2212</v>
      </c>
      <c r="C53" s="3171"/>
      <c r="D53" s="182">
        <f ca="1">ROUND(D45*'数据-取费表'!B41/(1+'数据-取费表'!C42),0)</f>
        <v>4244</v>
      </c>
      <c r="E53" s="11" t="s">
        <v>2209</v>
      </c>
      <c r="F53" s="184">
        <f>'数据-取费表'!B41</f>
        <v>5.6000000000000001E-2</v>
      </c>
      <c r="G53" s="2482"/>
      <c r="H53" s="138"/>
      <c r="I53" s="2480"/>
      <c r="J53" s="1809">
        <v>2</v>
      </c>
      <c r="K53" s="3144" t="s">
        <v>2213</v>
      </c>
      <c r="L53" s="3144"/>
      <c r="M53" s="1751">
        <f t="shared" ref="M53:O54" ca="1" si="0">D55</f>
        <v>40</v>
      </c>
      <c r="N53" s="1809" t="str">
        <f t="shared" si="0"/>
        <v>销售额×税（费）率</v>
      </c>
      <c r="O53" s="1752">
        <f t="shared" si="0"/>
        <v>5.0000000000000001E-4</v>
      </c>
    </row>
    <row r="54" spans="1:35" ht="12" customHeight="1">
      <c r="A54" s="183" t="s">
        <v>2214</v>
      </c>
      <c r="B54" s="3170" t="s">
        <v>2215</v>
      </c>
      <c r="C54" s="3171"/>
      <c r="D54" s="182">
        <f ca="1">C68</f>
        <v>4244</v>
      </c>
      <c r="E54" s="30" t="s">
        <v>2216</v>
      </c>
      <c r="F54" s="184">
        <f>'数据-取费表'!B41</f>
        <v>5.6000000000000001E-2</v>
      </c>
      <c r="G54" s="2482"/>
      <c r="H54" s="2483"/>
      <c r="I54" s="2480"/>
      <c r="J54" s="1809">
        <v>3</v>
      </c>
      <c r="K54" s="3144" t="s">
        <v>2217</v>
      </c>
      <c r="L54" s="3144"/>
      <c r="M54" s="1751">
        <f t="shared" ca="1" si="0"/>
        <v>45036</v>
      </c>
      <c r="N54" s="1809" t="str">
        <f t="shared" si="0"/>
        <v>增值额×税（费）率</v>
      </c>
      <c r="O54" s="1753" t="str">
        <f t="shared" si="0"/>
        <v>——</v>
      </c>
    </row>
    <row r="55" spans="1:35" ht="24" customHeight="1">
      <c r="A55" s="3208" t="s">
        <v>2218</v>
      </c>
      <c r="B55" s="3190"/>
      <c r="C55" s="3190"/>
      <c r="D55" s="185">
        <f ca="1">IF(H55="个人住宅",0,ROUND(D45*I55,0))</f>
        <v>40</v>
      </c>
      <c r="E55" s="11" t="s">
        <v>2219</v>
      </c>
      <c r="F55" s="184">
        <f>IF(H55="正常",I55,"免征")</f>
        <v>5.0000000000000001E-4</v>
      </c>
      <c r="G55" s="2482"/>
      <c r="H55" s="2479" t="s">
        <v>2220</v>
      </c>
      <c r="I55" s="186">
        <f>'数据-取费表'!B49</f>
        <v>5.0000000000000001E-4</v>
      </c>
      <c r="J55" s="1809" t="str">
        <f>IF(H59="非个人房产","",4)</f>
        <v/>
      </c>
      <c r="K55" s="3144" t="str">
        <f>IF(H59="非个人房产","——","个人所得税")</f>
        <v>——</v>
      </c>
      <c r="L55" s="3144"/>
      <c r="M55" s="1754" t="str">
        <f>D59</f>
        <v>——</v>
      </c>
      <c r="N55" s="1807" t="str">
        <f>E59</f>
        <v>——</v>
      </c>
      <c r="O55" s="1755" t="str">
        <f>F59</f>
        <v>——</v>
      </c>
    </row>
    <row r="56" spans="1:35" ht="24.75">
      <c r="A56" s="3208" t="s">
        <v>2221</v>
      </c>
      <c r="B56" s="3190"/>
      <c r="C56" s="3190"/>
      <c r="D56" s="185">
        <f ca="1">IF(H56="个人住宅",D57,D58)</f>
        <v>45036</v>
      </c>
      <c r="E56" s="11" t="s">
        <v>2222</v>
      </c>
      <c r="F56" s="184" t="str">
        <f>IF(H56="正常",F58,"免征")</f>
        <v>——</v>
      </c>
      <c r="G56" s="2484" t="s">
        <v>2223</v>
      </c>
      <c r="H56" s="2485" t="s">
        <v>2220</v>
      </c>
      <c r="I56" s="2486"/>
      <c r="J56" s="1809" t="str">
        <f>IF(项目基本情况!K6="上海银行",IF(J55="",4,J55+1),"")</f>
        <v/>
      </c>
      <c r="K56" s="3127" t="str">
        <f>IF(项目基本情况!K6="上海银行","其他处置费用","")</f>
        <v/>
      </c>
      <c r="L56" s="3128"/>
      <c r="M56" s="1751" t="str">
        <f>IF(项目基本情况!K6="上海银行",M69,"")</f>
        <v/>
      </c>
      <c r="N56" s="3130" t="str">
        <f>IF(项目基本情况!K6="上海银行","包含处置中涉及的律师、诉讼、拍卖、评估等费用","")</f>
        <v/>
      </c>
      <c r="O56" s="3131"/>
    </row>
    <row r="57" spans="1:35" ht="12.75">
      <c r="A57" s="183" t="s">
        <v>2196</v>
      </c>
      <c r="B57" s="3175" t="s">
        <v>2224</v>
      </c>
      <c r="C57" s="3176"/>
      <c r="D57" s="187">
        <v>0</v>
      </c>
      <c r="E57" s="23" t="s">
        <v>2198</v>
      </c>
      <c r="F57" s="155"/>
      <c r="G57" s="2482"/>
      <c r="H57" s="2486"/>
      <c r="I57" s="2486"/>
      <c r="J57" s="3144">
        <f>IF(AND(J55="",J56=""),4,IF(项目基本情况!K6="上海银行",结果表!J56+1,结果表!J55+1))</f>
        <v>4</v>
      </c>
      <c r="K57" s="3144" t="s">
        <v>2225</v>
      </c>
      <c r="L57" s="2487" t="s">
        <v>2226</v>
      </c>
      <c r="M57" s="1756"/>
      <c r="N57" s="1757">
        <f ca="1">SUMIF(M52:M56,"&lt;9e307")</f>
        <v>45076</v>
      </c>
      <c r="O57" s="2488"/>
      <c r="P57" s="1750">
        <f ca="1">N57/M49</f>
        <v>0.56650202968492758</v>
      </c>
    </row>
    <row r="58" spans="1:35" ht="24.75">
      <c r="A58" s="183" t="s">
        <v>2207</v>
      </c>
      <c r="B58" s="3175" t="s">
        <v>2227</v>
      </c>
      <c r="C58" s="3188"/>
      <c r="D58" s="185">
        <f ca="1">IF(H58="转让取得",C81,C97)</f>
        <v>45036</v>
      </c>
      <c r="E58" s="11" t="s">
        <v>2222</v>
      </c>
      <c r="F58" s="24" t="s">
        <v>34</v>
      </c>
      <c r="G58" s="2482"/>
      <c r="H58" s="2485" t="s">
        <v>2228</v>
      </c>
      <c r="I58" s="2486"/>
      <c r="J58" s="3144"/>
      <c r="K58" s="3144"/>
      <c r="L58" s="2487" t="s">
        <v>2229</v>
      </c>
      <c r="M58" s="1758"/>
      <c r="N58" s="2489" t="str">
        <f ca="1">NUMBERSTRING(INT(N57*10000),2)&amp;"元整"</f>
        <v>肆亿伍仟零柒拾陆万元整</v>
      </c>
      <c r="O58" s="2490"/>
    </row>
    <row r="59" spans="1:35" ht="24.75" thickBot="1">
      <c r="A59" s="3148" t="s">
        <v>2230</v>
      </c>
      <c r="B59" s="3149"/>
      <c r="C59" s="3149"/>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46">
        <f>J57+1</f>
        <v>5</v>
      </c>
      <c r="K59" s="3144" t="s">
        <v>2232</v>
      </c>
      <c r="L59" s="1809" t="s">
        <v>2226</v>
      </c>
      <c r="M59" s="1759"/>
      <c r="N59" s="1760">
        <f ca="1">M49-N57</f>
        <v>34493</v>
      </c>
      <c r="O59" s="2492"/>
    </row>
    <row r="60" spans="1:35" ht="12" customHeight="1">
      <c r="A60" s="2493"/>
      <c r="B60" s="2415"/>
      <c r="C60" s="2415"/>
      <c r="D60" s="2415"/>
      <c r="E60" s="2163"/>
      <c r="F60" s="2486"/>
      <c r="G60" s="2486"/>
      <c r="H60" s="2494"/>
      <c r="I60" s="138"/>
      <c r="J60" s="3147"/>
      <c r="K60" s="3144"/>
      <c r="L60" s="2487" t="s">
        <v>2229</v>
      </c>
      <c r="M60" s="1758"/>
      <c r="N60" s="2489" t="str">
        <f ca="1">NUMBERSTRING(INT(N59*10000),2)&amp;"元整"</f>
        <v>叁亿肆仟肆佰玖拾叁万元整</v>
      </c>
      <c r="O60" s="2490"/>
    </row>
    <row r="61" spans="1:35" ht="13.5" thickBot="1">
      <c r="A61" s="3207" t="s">
        <v>2233</v>
      </c>
      <c r="B61" s="3207"/>
      <c r="C61" s="3207"/>
      <c r="D61" s="3207"/>
      <c r="E61" s="3207"/>
      <c r="F61" s="2486"/>
      <c r="G61" s="2486"/>
      <c r="H61" s="2494"/>
      <c r="I61" s="138"/>
      <c r="J61" s="1809">
        <f>J59+1</f>
        <v>6</v>
      </c>
      <c r="K61" s="3144" t="s">
        <v>2234</v>
      </c>
      <c r="L61" s="3144"/>
      <c r="M61" s="1761"/>
      <c r="N61" s="1762">
        <f ca="1">ROUND(N59*10000/'数据-汇总表'!E3,0)</f>
        <v>11946</v>
      </c>
      <c r="O61" s="2495"/>
    </row>
    <row r="62" spans="1:35" ht="12.75">
      <c r="A62" s="3164" t="s">
        <v>2235</v>
      </c>
      <c r="B62" s="3165"/>
      <c r="C62" s="1801"/>
      <c r="D62" s="1801" t="s">
        <v>2236</v>
      </c>
      <c r="E62" s="192" t="s">
        <v>2237</v>
      </c>
      <c r="F62" s="2486"/>
      <c r="G62" s="2486"/>
      <c r="H62" s="2494"/>
      <c r="I62" s="138"/>
    </row>
    <row r="63" spans="1:35" ht="12.75">
      <c r="A63" s="203" t="s">
        <v>775</v>
      </c>
      <c r="B63" s="193" t="s">
        <v>2238</v>
      </c>
      <c r="C63" s="194">
        <f ca="1">ROUND((C64+C65)/(1+'数据-取费表'!C42),0)</f>
        <v>75780</v>
      </c>
      <c r="D63" s="195"/>
      <c r="E63" s="196"/>
      <c r="F63" s="2486"/>
      <c r="G63" s="2486"/>
      <c r="H63" s="2494"/>
      <c r="I63" s="138"/>
      <c r="J63" s="3129" t="s">
        <v>2239</v>
      </c>
      <c r="K63" s="2496" t="s">
        <v>2240</v>
      </c>
      <c r="L63" s="1749">
        <f ca="1">IF(M49&gt;10000,M49*0.5%,IF(AND(M49&gt;1000,M49&lt;=10000),M49*1%,IF(AND(M49&gt;100,M49&lt;=1000),M49*3%,IF(AND(M49&gt;10,M49&lt;=100),M49*5%,M49*8%))))</f>
        <v>397.84500000000003</v>
      </c>
      <c r="M63" s="24">
        <f ca="1">ROUND(L63,1)</f>
        <v>397.8</v>
      </c>
      <c r="Z63" s="2420"/>
      <c r="AI63" s="2421"/>
    </row>
    <row r="64" spans="1:35" ht="14.25" customHeight="1">
      <c r="A64" s="197" t="s">
        <v>770</v>
      </c>
      <c r="B64" s="198" t="s">
        <v>2241</v>
      </c>
      <c r="C64" s="199">
        <f ca="1">D45</f>
        <v>79569</v>
      </c>
      <c r="D64" s="200" t="s">
        <v>32</v>
      </c>
      <c r="E64" s="201"/>
      <c r="F64" s="2486"/>
      <c r="G64" s="2486"/>
      <c r="H64" s="2494"/>
      <c r="I64" s="138"/>
      <c r="J64" s="3129"/>
      <c r="K64" s="2496" t="s">
        <v>2242</v>
      </c>
      <c r="L64" s="1749">
        <f ca="1">IF(M49&gt;2000,M49*0.5%,IF(AND(M49&gt;1000,M49&lt;=2000),M49*0.6%,IF(AND(M49&gt;500,M49&lt;=1000),M49*0.7%,IF(AND(M49&gt;200,M49&lt;=500),M49*0.8%,IF(AND(M49&gt;100,M49&lt;=200),M49*0.9%,IF(AND(M49&gt;50,M49&lt;=100),M49*1%,IF(AND(M49&gt;20,M49&lt;=50),M49*1.5%,IF(AND(M49&gt;10,M49&lt;=20),M49*2%,IF(AND(M49&gt;1,M49&lt;=10),M49*2.5%)))))))))</f>
        <v>397.84500000000003</v>
      </c>
      <c r="M64" s="24">
        <f t="shared" ref="M64:M65" ca="1" si="1">ROUND(L64,1)</f>
        <v>397.8</v>
      </c>
      <c r="N64" s="138" t="s">
        <v>2243</v>
      </c>
      <c r="Z64" s="2420"/>
      <c r="AI64" s="2421"/>
    </row>
    <row r="65" spans="1:35" ht="14.25" customHeight="1">
      <c r="A65" s="197" t="s">
        <v>771</v>
      </c>
      <c r="B65" s="198" t="s">
        <v>2244</v>
      </c>
      <c r="C65" s="202"/>
      <c r="D65" s="200"/>
      <c r="E65" s="201"/>
      <c r="F65" s="2486"/>
      <c r="G65" s="2486"/>
      <c r="H65" s="2494"/>
      <c r="I65" s="138"/>
      <c r="J65" s="3129"/>
      <c r="K65" s="2496" t="s">
        <v>2245</v>
      </c>
      <c r="L65" s="1749">
        <f ca="1">IF(M49&gt;1000,M49*0.1%,IF(AND(M49&gt;500,M49&lt;=1000),M49*0.5%,IF(AND(M49&gt;50,M49&lt;=500),M49*1%,IF(AND(M49&gt;1,M49&lt;=50),M49*1.5%))))</f>
        <v>79.569000000000003</v>
      </c>
      <c r="M65" s="24">
        <f t="shared" ca="1" si="1"/>
        <v>79.599999999999994</v>
      </c>
      <c r="N65" s="138" t="s">
        <v>2243</v>
      </c>
      <c r="Z65" s="2420"/>
      <c r="AI65" s="2421"/>
    </row>
    <row r="66" spans="1:35" ht="14.25" customHeight="1">
      <c r="A66" s="203" t="s">
        <v>772</v>
      </c>
      <c r="B66" s="204" t="s">
        <v>2246</v>
      </c>
      <c r="C66" s="205"/>
      <c r="D66" s="206" t="s">
        <v>32</v>
      </c>
      <c r="E66" s="1773" t="s">
        <v>1371</v>
      </c>
      <c r="F66" s="2486"/>
      <c r="G66" s="2486"/>
      <c r="H66" s="2494"/>
      <c r="I66" s="138"/>
      <c r="J66" s="3129"/>
      <c r="K66" s="2496" t="s">
        <v>2247</v>
      </c>
      <c r="L66" s="1749">
        <f ca="1">M49*0.5%</f>
        <v>397.84500000000003</v>
      </c>
      <c r="M66" s="24">
        <f ca="1">IF(L66&gt;0.5,0.5,ROUND(L66,0))</f>
        <v>0.5</v>
      </c>
      <c r="N66" s="138" t="s">
        <v>2248</v>
      </c>
      <c r="Z66" s="2420"/>
      <c r="AI66" s="2421"/>
    </row>
    <row r="67" spans="1:35" ht="14.25" customHeight="1">
      <c r="A67" s="203" t="s">
        <v>773</v>
      </c>
      <c r="B67" s="204" t="s">
        <v>2249</v>
      </c>
      <c r="C67" s="207">
        <f ca="1">C63-C66</f>
        <v>75780</v>
      </c>
      <c r="D67" s="200" t="s">
        <v>32</v>
      </c>
      <c r="E67" s="201"/>
      <c r="F67" s="2486"/>
      <c r="G67" s="2486"/>
      <c r="H67" s="2494"/>
      <c r="I67" s="138"/>
      <c r="J67" s="3129"/>
      <c r="K67" s="2496" t="s">
        <v>2250</v>
      </c>
      <c r="L67" s="1749">
        <f ca="1">IF(M49&gt;=10000,(8.25+(M49-10000)*0.01%),IF(AND(M49&gt;=8000,M49&lt;10000),(7.85+(M49-8000)*0.02%),IF(AND(M49&gt;=5000,M49&lt;8000),(6.65+(M49-5000)*0.04%),IF(AND(M49&gt;=2000,M49&lt;5000),(4.25+(PM49-2000)*0.08%),IF(AND(M49&gt;=1000,M49&lt;2000),(2.75+(M49-1000)*0.15%),IF(AND(M49&gt;=100,M49&lt;1000),(0.5+(M49-100)*0.25%),IF(AND(M49&gt;0,M49&lt;100),M49*0.5%)))))))</f>
        <v>15.206900000000001</v>
      </c>
      <c r="M67" s="24">
        <f ca="1">ROUND(L67*0.9,1)</f>
        <v>13.7</v>
      </c>
      <c r="Z67" s="2420"/>
      <c r="AI67" s="2421"/>
    </row>
    <row r="68" spans="1:35" ht="14.25" customHeight="1" thickBot="1">
      <c r="A68" s="208" t="s">
        <v>774</v>
      </c>
      <c r="B68" s="209" t="s">
        <v>2251</v>
      </c>
      <c r="C68" s="210">
        <f ca="1">IF(C67&lt;=0,0,ROUND(C67*D68,0))</f>
        <v>4244</v>
      </c>
      <c r="D68" s="211">
        <f>'数据-取费表'!B41</f>
        <v>5.6000000000000001E-2</v>
      </c>
      <c r="E68" s="212"/>
      <c r="F68" s="2486"/>
      <c r="G68" s="2486"/>
      <c r="H68" s="2494"/>
      <c r="I68" s="138"/>
      <c r="J68" s="3129"/>
      <c r="K68" s="2496" t="s">
        <v>2252</v>
      </c>
      <c r="L68" s="1749">
        <f ca="1">IF(M49&gt;10000,M49*0.5%,IF(AND(M49&gt;5000,M49&lt;=10000),M49*1%,IF(AND(M49&gt;1000,M49&lt;=5000),M49*2%,IF(AND(M49&gt;200,M49&lt;=1000),M49*3%,M49*5%))))</f>
        <v>397.84500000000003</v>
      </c>
      <c r="M68" s="24">
        <f ca="1">ROUND(L68,1)</f>
        <v>397.8</v>
      </c>
      <c r="Z68" s="2420"/>
      <c r="AI68" s="2421"/>
    </row>
    <row r="69" spans="1:35" s="2443" customFormat="1" ht="16.5" customHeight="1">
      <c r="A69" s="2497"/>
      <c r="B69" s="2498"/>
      <c r="C69" s="2499"/>
      <c r="D69" s="2500"/>
      <c r="E69" s="2501"/>
      <c r="F69" s="2163"/>
      <c r="G69" s="2163"/>
      <c r="H69" s="2162"/>
      <c r="I69" s="2415"/>
      <c r="J69" s="3129"/>
      <c r="K69" s="2496" t="s">
        <v>2253</v>
      </c>
      <c r="L69" s="2502"/>
      <c r="M69" s="24">
        <f ca="1">ROUND(SUM(M63:M68),0)</f>
        <v>1287</v>
      </c>
      <c r="N69" s="1750">
        <f ca="1">M69/M49</f>
        <v>1.6174640877728765E-2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3" t="s">
        <v>2254</v>
      </c>
      <c r="B70" s="3174"/>
      <c r="C70" s="3174"/>
      <c r="D70" s="3174"/>
      <c r="E70" s="3174"/>
      <c r="F70" s="3174"/>
      <c r="G70" s="3174"/>
      <c r="H70" s="317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4" t="s">
        <v>2235</v>
      </c>
      <c r="B71" s="3165"/>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75780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455</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70" t="s">
        <v>2263</v>
      </c>
      <c r="F76" s="3169"/>
      <c r="G76" s="3169"/>
      <c r="H76" s="317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455</v>
      </c>
      <c r="D78" s="226">
        <f>'数据-取费表'!B43</f>
        <v>6.000000000000001E-3</v>
      </c>
      <c r="E78" s="3161" t="s">
        <v>2268</v>
      </c>
      <c r="F78" s="3162"/>
      <c r="G78" s="3162"/>
      <c r="H78" s="316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75325</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165.54945054945054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45036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3" t="s">
        <v>2272</v>
      </c>
      <c r="B83" s="3174"/>
      <c r="C83" s="3174"/>
      <c r="D83" s="3174"/>
      <c r="E83" s="3174"/>
      <c r="F83" s="3174"/>
      <c r="G83" s="3174"/>
      <c r="H83" s="317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4" t="s">
        <v>2235</v>
      </c>
      <c r="B84" s="3165"/>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75780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455</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61" t="s">
        <v>2281</v>
      </c>
      <c r="F91" s="3162"/>
      <c r="G91" s="3162"/>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61" t="s">
        <v>2285</v>
      </c>
      <c r="F92" s="3162"/>
      <c r="G92" s="3162"/>
      <c r="H92" s="316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455</v>
      </c>
      <c r="D93" s="226">
        <f>'数据-取费表'!B43</f>
        <v>6.000000000000001E-3</v>
      </c>
      <c r="E93" s="3161" t="s">
        <v>2268</v>
      </c>
      <c r="F93" s="3162"/>
      <c r="G93" s="3162"/>
      <c r="H93" s="316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209" t="s">
        <v>2289</v>
      </c>
      <c r="F94" s="3210"/>
      <c r="G94" s="3210"/>
      <c r="H94" s="321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75325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165.54945054945054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45036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112" t="s">
        <v>2291</v>
      </c>
      <c r="B100" s="3113"/>
      <c r="C100" s="3113"/>
      <c r="D100" s="3145"/>
      <c r="E100" s="3113" t="s">
        <v>2292</v>
      </c>
      <c r="F100" s="3113"/>
      <c r="G100" s="3113"/>
      <c r="H100" s="3145"/>
      <c r="I100" s="138"/>
    </row>
    <row r="101" spans="1:35" ht="18.75" customHeight="1">
      <c r="A101" s="3153" t="s">
        <v>2293</v>
      </c>
      <c r="B101" s="3154"/>
      <c r="C101" s="736" t="str">
        <f>C4</f>
        <v>成本法</v>
      </c>
      <c r="D101" s="737" t="str">
        <f>D4</f>
        <v>收益法（汇总）</v>
      </c>
      <c r="E101" s="3125" t="s">
        <v>2294</v>
      </c>
      <c r="F101" s="3126"/>
      <c r="G101" s="2517" t="s">
        <v>2295</v>
      </c>
      <c r="H101" s="1045">
        <f ca="1">H118</f>
        <v>79569</v>
      </c>
      <c r="I101" s="138"/>
    </row>
    <row r="102" spans="1:35" ht="18.75" customHeight="1">
      <c r="A102" s="3155" t="s">
        <v>2296</v>
      </c>
      <c r="B102" s="2517" t="s">
        <v>2295</v>
      </c>
      <c r="C102" s="736">
        <f ca="1">C19</f>
        <v>69187</v>
      </c>
      <c r="D102" s="737">
        <f ca="1">D19</f>
        <v>86490</v>
      </c>
      <c r="E102" s="3125"/>
      <c r="F102" s="3126"/>
      <c r="G102" s="2517" t="s">
        <v>2297</v>
      </c>
      <c r="H102" s="371">
        <f ca="1">I118</f>
        <v>27558</v>
      </c>
      <c r="I102" s="138"/>
    </row>
    <row r="103" spans="1:35" ht="42.75" customHeight="1">
      <c r="A103" s="3155"/>
      <c r="B103" s="2517" t="s">
        <v>2297</v>
      </c>
      <c r="C103" s="738">
        <f ca="1">C20</f>
        <v>23963</v>
      </c>
      <c r="D103" s="739">
        <f ca="1">D20</f>
        <v>29955</v>
      </c>
      <c r="E103" s="3119" t="s">
        <v>3205</v>
      </c>
      <c r="F103" s="3120"/>
      <c r="G103" s="2518" t="s">
        <v>2298</v>
      </c>
      <c r="H103" s="1045">
        <f>IF(D36="正常操作",H104+H105+H106,H105+H106)</f>
        <v>0</v>
      </c>
      <c r="I103" s="138"/>
    </row>
    <row r="104" spans="1:35" ht="18.75" customHeight="1">
      <c r="A104" s="3155" t="s">
        <v>2299</v>
      </c>
      <c r="B104" s="2519" t="s">
        <v>2295</v>
      </c>
      <c r="C104" s="740">
        <f ca="1">H118</f>
        <v>79569</v>
      </c>
      <c r="D104" s="741"/>
      <c r="E104" s="2263" t="s">
        <v>2300</v>
      </c>
      <c r="F104" s="2255"/>
      <c r="G104" s="2518" t="s">
        <v>2298</v>
      </c>
      <c r="H104" s="1046" t="str">
        <f>IF(D36="同一抵押权人同一抵押物续贷",C36&amp;"（未扣减，详见特别提示）",C36)</f>
        <v>200000（未扣减，详见特别提示）</v>
      </c>
      <c r="I104" s="138"/>
    </row>
    <row r="105" spans="1:35" ht="18.75" customHeight="1" thickBot="1">
      <c r="A105" s="3167"/>
      <c r="B105" s="2520" t="s">
        <v>2297</v>
      </c>
      <c r="C105" s="742">
        <f ca="1">I118</f>
        <v>27558</v>
      </c>
      <c r="D105" s="743"/>
      <c r="E105" s="2263" t="s">
        <v>2301</v>
      </c>
      <c r="F105" s="2255"/>
      <c r="G105" s="2518" t="s">
        <v>2298</v>
      </c>
      <c r="H105" s="1046">
        <f>C37</f>
        <v>0</v>
      </c>
      <c r="I105" s="138"/>
    </row>
    <row r="106" spans="1:35" ht="18.75" customHeight="1">
      <c r="A106" s="2415" t="s">
        <v>2302</v>
      </c>
      <c r="B106" s="2415"/>
      <c r="C106" s="2415"/>
      <c r="D106" s="2415"/>
      <c r="E106" s="2521" t="s">
        <v>2303</v>
      </c>
      <c r="F106" s="2255"/>
      <c r="G106" s="2518" t="s">
        <v>2298</v>
      </c>
      <c r="H106" s="1046">
        <f>C38</f>
        <v>0</v>
      </c>
      <c r="I106" s="138"/>
    </row>
    <row r="107" spans="1:35" ht="18.75" hidden="1" customHeight="1">
      <c r="A107" s="138"/>
      <c r="B107" s="138"/>
      <c r="C107" s="138"/>
      <c r="D107" s="138"/>
      <c r="E107" s="3156" t="str">
        <f>IF(项目基本情况!E8="已注销","——","3.房地产抵押价值")</f>
        <v>3.房地产抵押价值</v>
      </c>
      <c r="F107" s="3126"/>
      <c r="G107" s="2517" t="s">
        <v>2295</v>
      </c>
      <c r="H107" s="1045">
        <f ca="1">IF(E107="——","——",H101-H103)</f>
        <v>79569</v>
      </c>
      <c r="I107" s="138"/>
    </row>
    <row r="108" spans="1:35" ht="18.75" hidden="1" customHeight="1">
      <c r="A108" s="138"/>
      <c r="B108" s="138"/>
      <c r="C108" s="138"/>
      <c r="D108" s="138"/>
      <c r="E108" s="3156"/>
      <c r="F108" s="3126"/>
      <c r="G108" s="2517" t="s">
        <v>2297</v>
      </c>
      <c r="H108" s="371">
        <f ca="1">ROUND(H107*10000/'数据-汇总表'!E3,0)</f>
        <v>27558</v>
      </c>
      <c r="I108" s="138"/>
    </row>
    <row r="109" spans="1:35" ht="18.75" customHeight="1">
      <c r="A109" s="138"/>
      <c r="B109" s="138"/>
      <c r="C109" s="138"/>
      <c r="D109" s="138"/>
      <c r="E109" s="3156" t="str">
        <f>IF(项目基本情况!E8="已注销及未注销","4.抵押担保权已注销时的房地产抵押价值",IF(项目基本情况!E8="已注销","3.抵押担保权已注销时的房地产抵押价值","——"))</f>
        <v>——</v>
      </c>
      <c r="F109" s="3126"/>
      <c r="G109" s="2517" t="s">
        <v>2295</v>
      </c>
      <c r="H109" s="348" t="str">
        <f>IF(E109="——","——",H101-H105-H106)</f>
        <v>——</v>
      </c>
      <c r="I109" s="138"/>
    </row>
    <row r="110" spans="1:35" ht="18.75" customHeight="1" thickBot="1">
      <c r="A110" s="138"/>
      <c r="B110" s="138"/>
      <c r="C110" s="138"/>
      <c r="D110" s="138"/>
      <c r="E110" s="3156"/>
      <c r="F110" s="3126"/>
      <c r="G110" s="2517" t="s">
        <v>2297</v>
      </c>
      <c r="H110" s="371" t="str">
        <f>IF(H109="——","——",ROUND(H109*10000/'数据-汇总表'!E3,0))</f>
        <v>——</v>
      </c>
      <c r="I110" s="138"/>
    </row>
    <row r="111" spans="1:35" ht="18.75" hidden="1" customHeight="1">
      <c r="A111" s="138"/>
      <c r="B111" s="138"/>
      <c r="C111" s="138"/>
      <c r="D111" s="138"/>
      <c r="E111" s="3157" t="str">
        <f>IF(项目基本情况!E9="抵押净值",IF(OR(项目基本情况!E8="已注销",项目基本情况!E8="房地产抵押价值"),"4.抵押净值","5.抵押净值"),"——")</f>
        <v>——</v>
      </c>
      <c r="F111" s="3158"/>
      <c r="G111" s="2517" t="s">
        <v>2295</v>
      </c>
      <c r="H111" s="1045" t="str">
        <f>IF(E111="——","——",N59)</f>
        <v>——</v>
      </c>
      <c r="I111" s="138"/>
    </row>
    <row r="112" spans="1:35" ht="18.75" hidden="1" customHeight="1" thickBot="1">
      <c r="A112" s="138"/>
      <c r="B112" s="138"/>
      <c r="C112" s="138"/>
      <c r="D112" s="138"/>
      <c r="E112" s="3159"/>
      <c r="F112" s="3160"/>
      <c r="G112" s="2522" t="s">
        <v>2297</v>
      </c>
      <c r="H112" s="790" t="str">
        <f>IF(E111="——","——",N61)</f>
        <v>——</v>
      </c>
      <c r="I112" s="138"/>
    </row>
    <row r="113" spans="1:11" ht="18.75" customHeight="1">
      <c r="A113" s="138"/>
      <c r="B113" s="138"/>
      <c r="C113" s="138"/>
      <c r="D113" s="138"/>
      <c r="E113" s="3168" t="s">
        <v>2302</v>
      </c>
      <c r="F113" s="3168"/>
      <c r="G113" s="3168"/>
      <c r="H113" s="3168"/>
      <c r="I113" s="138"/>
    </row>
    <row r="114" spans="1:11" ht="3.75" customHeight="1">
      <c r="A114" s="2415"/>
      <c r="B114" s="2415"/>
      <c r="C114" s="2415"/>
      <c r="D114" s="2415"/>
      <c r="E114" s="2493"/>
      <c r="F114" s="2493"/>
      <c r="G114" s="2493"/>
      <c r="H114" s="2493"/>
      <c r="I114" s="2415"/>
    </row>
    <row r="115" spans="1:11" ht="18.75" customHeight="1">
      <c r="A115" s="3181" t="s">
        <v>2304</v>
      </c>
      <c r="B115" s="3182"/>
      <c r="C115" s="3182"/>
      <c r="D115" s="3182"/>
      <c r="E115" s="3182"/>
      <c r="F115" s="3182"/>
      <c r="G115" s="3182"/>
      <c r="H115" s="3182"/>
      <c r="I115" s="3183"/>
    </row>
    <row r="116" spans="1:11" ht="27" customHeight="1">
      <c r="A116" s="3091" t="s">
        <v>2305</v>
      </c>
      <c r="B116" s="3135" t="s">
        <v>3206</v>
      </c>
      <c r="C116" s="3135" t="s">
        <v>3207</v>
      </c>
      <c r="D116" s="3141" t="s">
        <v>3208</v>
      </c>
      <c r="E116" s="3142"/>
      <c r="F116" s="3177" t="s">
        <v>3209</v>
      </c>
      <c r="G116" s="3177"/>
      <c r="H116" s="3091" t="s">
        <v>2306</v>
      </c>
      <c r="I116" s="3091"/>
    </row>
    <row r="117" spans="1:11" ht="18.75" customHeight="1">
      <c r="A117" s="3091"/>
      <c r="B117" s="3136"/>
      <c r="C117" s="3136"/>
      <c r="D117" s="1795" t="s">
        <v>2307</v>
      </c>
      <c r="E117" s="1795" t="s">
        <v>2308</v>
      </c>
      <c r="F117" s="1795" t="s">
        <v>2307</v>
      </c>
      <c r="G117" s="1795" t="s">
        <v>2309</v>
      </c>
      <c r="H117" s="1795" t="s">
        <v>2307</v>
      </c>
      <c r="I117" s="1795" t="s">
        <v>2309</v>
      </c>
    </row>
    <row r="118" spans="1:11" ht="24.75" customHeight="1">
      <c r="A118" s="2523" t="str">
        <f>项目基本情况!S2</f>
        <v>北京市石景山区时代花园南路17号房地产</v>
      </c>
      <c r="B118" s="1795">
        <f>M18</f>
        <v>28872.97</v>
      </c>
      <c r="C118" s="1795">
        <f>M19</f>
        <v>11364.7</v>
      </c>
      <c r="D118" s="1795">
        <f ca="1">ROUND(IF(D32="总价",C34,E118*B118/10000),0)</f>
        <v>64769</v>
      </c>
      <c r="E118" s="1795">
        <f ca="1">ROUND(IF(C33="自定义",IF(D32="楼面单价",C34,D118*10000/B118),I118-G118),0)</f>
        <v>22432</v>
      </c>
      <c r="F118" s="1795">
        <f ca="1">ROUND(IF(D32="总价",C35,G118*B118/10000),0)</f>
        <v>14800</v>
      </c>
      <c r="G118" s="1795">
        <f ca="1">ROUND(IF(D32="楼面单价",C35,F118*10000/B118),0)</f>
        <v>5126</v>
      </c>
      <c r="H118" s="1795">
        <f ca="1">ROUND(IF(D32="总价",C32,I118*B118/10000),0)</f>
        <v>79569</v>
      </c>
      <c r="I118" s="1795">
        <f ca="1">ROUND(IF(D32="楼面单价",C32,H118*10000/B118),0)</f>
        <v>27558</v>
      </c>
    </row>
    <row r="119" spans="1:11" ht="18.75" customHeight="1">
      <c r="A119" s="3091" t="s">
        <v>2310</v>
      </c>
      <c r="B119" s="3091"/>
      <c r="C119" s="3091"/>
      <c r="D119" s="3137" t="str">
        <f ca="1">NUMBERSTRING(INT(D118*10000),2)&amp;"元整"</f>
        <v>陆亿肆仟柒佰陆拾玖万元整</v>
      </c>
      <c r="E119" s="3138"/>
      <c r="F119" s="3137" t="str">
        <f ca="1">NUMBERSTRING(INT(F118*10000),2)&amp;"元整"</f>
        <v>壹亿肆仟捌佰万元整</v>
      </c>
      <c r="G119" s="3138"/>
      <c r="H119" s="3137" t="str">
        <f ca="1">NUMBERSTRING(INT(H118*10000),2)&amp;"元整"</f>
        <v>柒亿玖仟伍佰陆拾玖万元整</v>
      </c>
      <c r="I119" s="3138"/>
    </row>
    <row r="120" spans="1:11" ht="30.75" customHeight="1">
      <c r="A120" s="3132" t="str">
        <f>IF(项目基本情况!B9="房地产市场价值","",MID(E103,3,LEN(E103)-2))</f>
        <v>估价师知悉的除抵押担保权以外的法定优先受偿款</v>
      </c>
      <c r="B120" s="3133"/>
      <c r="C120" s="3134"/>
      <c r="D120" s="3132">
        <f>H103</f>
        <v>0</v>
      </c>
      <c r="E120" s="3133"/>
      <c r="F120" s="3133"/>
      <c r="G120" s="3133"/>
      <c r="H120" s="3133"/>
      <c r="I120" s="3134"/>
      <c r="K120" s="2420" t="str">
        <f>IF(D120=0,"故，本次评估不存在"&amp;A120,"故，本次评估"&amp;A120&amp;"为人民币"&amp;D120&amp;"万元整。")</f>
        <v>故，本次评估不存在估价师知悉的除抵押担保权以外的法定优先受偿款</v>
      </c>
    </row>
    <row r="121" spans="1:11" ht="18.75" customHeight="1">
      <c r="A121" s="3178" t="s">
        <v>2310</v>
      </c>
      <c r="B121" s="3179"/>
      <c r="C121" s="3180"/>
      <c r="D121" s="3137" t="str">
        <f>IF(D120=0,"零元整",NUMBERSTRING(INT(D120*10000),2)&amp;"元整")</f>
        <v>零元整</v>
      </c>
      <c r="E121" s="3139"/>
      <c r="F121" s="3139"/>
      <c r="G121" s="3139"/>
      <c r="H121" s="3139"/>
      <c r="I121" s="3138"/>
    </row>
    <row r="122" spans="1:11" ht="18.75" hidden="1" customHeight="1">
      <c r="A122" s="3143" t="str">
        <f>IF(项目基本情况!B9="房地产市场价值","",MID(E107,3,LEN(E107)-2))</f>
        <v>房地产抵押价值</v>
      </c>
      <c r="B122" s="3143"/>
      <c r="C122" s="3143"/>
      <c r="D122" s="3132">
        <f ca="1">H107</f>
        <v>79569</v>
      </c>
      <c r="E122" s="3133"/>
      <c r="F122" s="3133"/>
      <c r="G122" s="3133"/>
      <c r="H122" s="3133"/>
      <c r="I122" s="3134"/>
    </row>
    <row r="123" spans="1:11" ht="18.75" hidden="1" customHeight="1">
      <c r="A123" s="3091" t="s">
        <v>2310</v>
      </c>
      <c r="B123" s="3091"/>
      <c r="C123" s="3091"/>
      <c r="D123" s="3137" t="str">
        <f ca="1">NUMBERSTRING(INT(D122*10000),2)&amp;"元整"</f>
        <v>柒亿玖仟伍佰陆拾玖万元整</v>
      </c>
      <c r="E123" s="3139"/>
      <c r="F123" s="3139"/>
      <c r="G123" s="3139"/>
      <c r="H123" s="3139"/>
      <c r="I123" s="3138"/>
    </row>
    <row r="124" spans="1:11" ht="18.75" customHeight="1">
      <c r="A124" s="3143" t="str">
        <f>IF(项目基本情况!B9="房地产市场价值","",MID(E109,3,LEN(E109)-2))</f>
        <v/>
      </c>
      <c r="B124" s="3143"/>
      <c r="C124" s="3143"/>
      <c r="D124" s="3132" t="str">
        <f>H109</f>
        <v>——</v>
      </c>
      <c r="E124" s="3133"/>
      <c r="F124" s="3133"/>
      <c r="G124" s="3133"/>
      <c r="H124" s="3133"/>
      <c r="I124" s="3134"/>
    </row>
    <row r="125" spans="1:11" ht="18.75" customHeight="1">
      <c r="A125" s="3091" t="s">
        <v>2310</v>
      </c>
      <c r="B125" s="3091"/>
      <c r="C125" s="3091"/>
      <c r="D125" s="3137" t="e">
        <f>NUMBERSTRING(INT(D124*10000),2)&amp;"元整"</f>
        <v>#VALUE!</v>
      </c>
      <c r="E125" s="3139"/>
      <c r="F125" s="3139"/>
      <c r="G125" s="3139"/>
      <c r="H125" s="3139"/>
      <c r="I125" s="3138"/>
    </row>
    <row r="126" spans="1:11" ht="18.75" hidden="1" customHeight="1">
      <c r="A126" s="3143" t="str">
        <f>IF(项目基本情况!B9="房地产市场价值","",MID(E111,3,LEN(E111)-2))</f>
        <v/>
      </c>
      <c r="B126" s="3143"/>
      <c r="C126" s="3143"/>
      <c r="D126" s="3132" t="str">
        <f>H111</f>
        <v>——</v>
      </c>
      <c r="E126" s="3133"/>
      <c r="F126" s="3133"/>
      <c r="G126" s="3133"/>
      <c r="H126" s="3133"/>
      <c r="I126" s="3134"/>
    </row>
    <row r="127" spans="1:11" ht="18.75" hidden="1" customHeight="1">
      <c r="A127" s="3091" t="s">
        <v>2310</v>
      </c>
      <c r="B127" s="3091"/>
      <c r="C127" s="3091"/>
      <c r="D127" s="3137" t="e">
        <f>NUMBERSTRING(INT(D126*10000),2)&amp;"元整"</f>
        <v>#VALUE!</v>
      </c>
      <c r="E127" s="3139"/>
      <c r="F127" s="3139"/>
      <c r="G127" s="3139"/>
      <c r="H127" s="3139"/>
      <c r="I127" s="3138"/>
    </row>
    <row r="128" spans="1:11" ht="21.75" customHeight="1">
      <c r="A128" s="3140" t="s">
        <v>2311</v>
      </c>
      <c r="B128" s="3140"/>
      <c r="C128" s="3140"/>
      <c r="D128" s="3140"/>
      <c r="E128" s="3140"/>
      <c r="F128" s="3140"/>
      <c r="G128" s="3140"/>
      <c r="H128" s="3140"/>
      <c r="I128" s="3140"/>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5" t="str">
        <f>项目基本情况!B1</f>
        <v>北京市石景山区时代花园南路17号房地产抵押价值预评估</v>
      </c>
      <c r="C37" s="3025"/>
      <c r="D37" s="3025"/>
      <c r="E37" s="3025"/>
      <c r="F37" s="3025"/>
      <c r="G37" s="3025"/>
      <c r="H37" s="3025"/>
      <c r="I37" s="3025"/>
    </row>
    <row r="38" spans="1:9">
      <c r="A38" s="1016"/>
      <c r="B38" s="1016"/>
    </row>
    <row r="39" spans="1:9">
      <c r="A39" s="1014" t="s">
        <v>818</v>
      </c>
      <c r="B39" s="1014" t="s">
        <v>820</v>
      </c>
    </row>
    <row r="40" spans="1:9">
      <c r="A40" s="1014"/>
      <c r="B40" s="1942" t="str">
        <f>项目基本情况!B5</f>
        <v>北京北辰万通国际投资有限公司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00B0F0"/>
    <pageSetUpPr fitToPage="1"/>
  </sheetPr>
  <dimension ref="A1:I57"/>
  <sheetViews>
    <sheetView workbookViewId="0">
      <selection activeCell="G38" sqref="G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7"/>
      <c r="C1" s="242"/>
      <c r="D1" s="242"/>
      <c r="E1" s="242"/>
      <c r="F1" s="242"/>
      <c r="G1" s="1379">
        <f>MATCH(B1,'数据-取费表'!A6:A16,0)+5</f>
        <v>9</v>
      </c>
    </row>
    <row r="2" spans="1:9" s="244" customFormat="1" ht="18" customHeight="1">
      <c r="A2" s="245" t="s">
        <v>2320</v>
      </c>
      <c r="B2" s="246">
        <f ca="1">IF(D2="——",C52,C52-E2)</f>
        <v>69187</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23963</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39771</v>
      </c>
      <c r="D5" s="255" t="s">
        <v>2327</v>
      </c>
      <c r="E5" s="256" t="s">
        <v>2328</v>
      </c>
      <c r="F5" s="256" t="s">
        <v>2329</v>
      </c>
      <c r="G5" s="257"/>
    </row>
    <row r="6" spans="1:9" s="258" customFormat="1" ht="13.5" customHeight="1">
      <c r="A6" s="949" t="s">
        <v>2330</v>
      </c>
      <c r="B6" s="259" t="s">
        <v>2331</v>
      </c>
      <c r="C6" s="260">
        <f ca="1">'基准地价修正-商业'!E41+'基准地价修正-办公'!B2</f>
        <v>38034</v>
      </c>
      <c r="D6" s="261"/>
      <c r="E6" s="262"/>
      <c r="F6" s="262"/>
      <c r="G6" s="263"/>
    </row>
    <row r="7" spans="1:9" s="258" customFormat="1" ht="13.5" customHeight="1">
      <c r="A7" s="949" t="s">
        <v>2332</v>
      </c>
      <c r="B7" s="259" t="s">
        <v>2333</v>
      </c>
      <c r="C7" s="264">
        <f ca="1">ROUND(C6*F7,0)</f>
        <v>1160</v>
      </c>
      <c r="D7" s="264"/>
      <c r="E7" s="262"/>
      <c r="F7" s="265">
        <f>'数据-取费表'!B48+'数据-取费表'!B49</f>
        <v>3.0499999999999999E-2</v>
      </c>
      <c r="G7" s="263"/>
    </row>
    <row r="8" spans="1:9" s="267" customFormat="1">
      <c r="A8" s="949" t="s">
        <v>2334</v>
      </c>
      <c r="B8" s="259" t="s">
        <v>2335</v>
      </c>
      <c r="C8" s="264">
        <f ca="1">IF(G8="已包含在土地购买价格中","0",IF(B1="",'数据-取费表'!B29,IF(G9="全部缴纳",C9+C10,H9)))</f>
        <v>577</v>
      </c>
      <c r="D8" s="266"/>
      <c r="E8" s="264"/>
      <c r="F8" s="265"/>
      <c r="G8" s="2549" t="s">
        <v>3172</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160</v>
      </c>
      <c r="F9" s="265"/>
      <c r="G9" s="2550" t="s">
        <v>3174</v>
      </c>
      <c r="H9" s="1390"/>
      <c r="I9" s="2551" t="s">
        <v>2337</v>
      </c>
    </row>
    <row r="10" spans="1:9" s="258" customFormat="1" ht="13.5" customHeight="1">
      <c r="A10" s="950" t="s">
        <v>801</v>
      </c>
      <c r="B10" s="268" t="s">
        <v>2338</v>
      </c>
      <c r="C10" s="269">
        <f ca="1">ROUND(D10*E10/10000,0)</f>
        <v>577</v>
      </c>
      <c r="D10" s="1032">
        <f ca="1">IF(B1="",'数据-汇总表'!E6,IF(INDIRECT("'数据-取费表'!c"&amp;$G$1)="住宅",INDIRECT("'数据-取费表'!s"&amp;$G$1),INDIRECT("'数据-取费表'!k"&amp;$G$1)+INDIRECT("'数据-取费表'!s"&amp;$G$1)))</f>
        <v>28872.97</v>
      </c>
      <c r="E10" s="269">
        <f>'数据-取费表'!B28</f>
        <v>200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28872.97</v>
      </c>
      <c r="E19" s="255">
        <f>'数据-取费表'!B31</f>
        <v>200</v>
      </c>
      <c r="F19" s="275"/>
      <c r="G19" s="2549" t="s">
        <v>3173</v>
      </c>
    </row>
    <row r="20" spans="1:7" s="258" customFormat="1" ht="13.5" customHeight="1">
      <c r="A20" s="299" t="s">
        <v>2351</v>
      </c>
      <c r="B20" s="254" t="s">
        <v>2352</v>
      </c>
      <c r="C20" s="276">
        <f ca="1">ROUND((C5+C19)*F20,0)</f>
        <v>597</v>
      </c>
      <c r="D20" s="276"/>
      <c r="E20" s="276"/>
      <c r="F20" s="277">
        <f>'数据-取费表'!B37</f>
        <v>1.4999999999999999E-2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4">
        <f ca="1">ROUND(SUM(C23:C25),0)</f>
        <v>3896</v>
      </c>
      <c r="D22" s="279">
        <f ca="1">C26</f>
        <v>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3868</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28</v>
      </c>
      <c r="D25" s="282"/>
      <c r="E25" s="285"/>
      <c r="F25" s="283"/>
      <c r="G25" s="286" t="s">
        <v>2368</v>
      </c>
    </row>
    <row r="26" spans="1:7" s="258" customFormat="1">
      <c r="A26" s="951"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7670</v>
      </c>
      <c r="D27" s="279">
        <f ca="1">C29</f>
        <v>3.8E-3</v>
      </c>
      <c r="E27" s="280" t="s">
        <v>2372</v>
      </c>
      <c r="F27" s="290">
        <f ca="1">IF(B1="",'数据-取费表'!Q16,INDIRECT("'数据-取费表'!q"&amp;$G$1))</f>
        <v>0.19</v>
      </c>
      <c r="G27" s="291" t="s">
        <v>2373</v>
      </c>
    </row>
    <row r="28" spans="1:7" s="258" customFormat="1" ht="13.5" customHeight="1">
      <c r="A28" s="951" t="s">
        <v>791</v>
      </c>
      <c r="B28" s="292" t="s">
        <v>2374</v>
      </c>
      <c r="C28" s="293">
        <f ca="1">ROUND((C5+C19+C20)*F27*'数据-取费表'!B21/'数据-取费表'!B20,0)</f>
        <v>7670</v>
      </c>
      <c r="D28" s="279"/>
      <c r="E28" s="280"/>
      <c r="F28" s="290"/>
      <c r="G28" s="291"/>
    </row>
    <row r="29" spans="1:7" s="258" customFormat="1" ht="13.5" customHeight="1">
      <c r="A29" s="951" t="s">
        <v>792</v>
      </c>
      <c r="B29" s="292" t="s">
        <v>2375</v>
      </c>
      <c r="C29" s="282">
        <f ca="1">ROUND(C21*F27*'数据-取费表'!B21/'数据-取费表'!B20,4)</f>
        <v>3.8E-3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56334</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10843</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9824</v>
      </c>
      <c r="D34" s="261"/>
      <c r="E34" s="264"/>
      <c r="F34" s="301">
        <f ca="1">IF('数据-取费表'!B24=0,1,IF(B1="",'数据-取费表'!N16,INDIRECT("'数据-取费表'!n"&amp;$G$1)))</f>
        <v>1</v>
      </c>
      <c r="G34" s="263" t="s">
        <v>2384</v>
      </c>
    </row>
    <row r="35" spans="1:7" ht="13.5" customHeight="1">
      <c r="A35" s="951" t="s">
        <v>796</v>
      </c>
      <c r="B35" s="259" t="s">
        <v>2385</v>
      </c>
      <c r="C35" s="264">
        <f ca="1">ROUND(C34*F35,0)</f>
        <v>295</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577</v>
      </c>
      <c r="D37" s="261">
        <f ca="1">D19</f>
        <v>28872.97</v>
      </c>
      <c r="E37" s="293">
        <f>'数据-取费表'!B35</f>
        <v>200</v>
      </c>
      <c r="F37" s="303"/>
      <c r="G37" s="305" t="s">
        <v>2390</v>
      </c>
    </row>
    <row r="38" spans="1:7" ht="13.5" customHeight="1">
      <c r="A38" s="951" t="s">
        <v>799</v>
      </c>
      <c r="B38" s="259" t="s">
        <v>2391</v>
      </c>
      <c r="C38" s="264">
        <f ca="1">ROUND(C34*F38,0)</f>
        <v>147</v>
      </c>
      <c r="D38" s="264"/>
      <c r="E38" s="264"/>
      <c r="F38" s="303">
        <f>'数据-取费表'!B36</f>
        <v>1.4999999999999999E-2</v>
      </c>
      <c r="G38" s="263" t="s">
        <v>2386</v>
      </c>
    </row>
    <row r="39" spans="1:7" s="258" customFormat="1" ht="13.5" customHeight="1">
      <c r="A39" s="299" t="s">
        <v>2392</v>
      </c>
      <c r="B39" s="254" t="s">
        <v>2393</v>
      </c>
      <c r="C39" s="276">
        <f ca="1">ROUND(C33*F20,0)</f>
        <v>163</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523</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515</v>
      </c>
      <c r="D42" s="282"/>
      <c r="E42" s="282"/>
      <c r="F42" s="283"/>
      <c r="G42" s="3212" t="s">
        <v>2402</v>
      </c>
    </row>
    <row r="43" spans="1:7" ht="13.5" customHeight="1">
      <c r="A43" s="951" t="s">
        <v>792</v>
      </c>
      <c r="B43" s="259" t="s">
        <v>2403</v>
      </c>
      <c r="C43" s="282">
        <f ca="1">ROUND(IF('数据-取费表'!B22&lt;=1,C39*F22*'数据-取费表'!B21/2,C39*(POWER((1+F22),'数据-取费表'!B21/2)-1)),0)</f>
        <v>8</v>
      </c>
      <c r="D43" s="282"/>
      <c r="E43" s="282"/>
      <c r="F43" s="283"/>
      <c r="G43" s="3213"/>
    </row>
    <row r="44" spans="1:7" ht="13.5" customHeight="1">
      <c r="A44" s="951" t="s">
        <v>793</v>
      </c>
      <c r="B44" s="259" t="s">
        <v>2404</v>
      </c>
      <c r="C44" s="282">
        <f ca="1">ROUND(IF('数据-取费表'!B22&lt;=1,C40*F22*'数据-取费表'!B21/2,C40*(POWER((1+F22),'数据-取费表'!B21/2)-1)),4)</f>
        <v>1E-3</v>
      </c>
      <c r="D44" s="282"/>
      <c r="E44" s="282"/>
      <c r="F44" s="283"/>
      <c r="G44" s="3214"/>
    </row>
    <row r="45" spans="1:7" s="258" customFormat="1" ht="13.5" customHeight="1">
      <c r="A45" s="299" t="s">
        <v>2405</v>
      </c>
      <c r="B45" s="288" t="s">
        <v>2371</v>
      </c>
      <c r="C45" s="289">
        <f ca="1">C46</f>
        <v>2091</v>
      </c>
      <c r="D45" s="279">
        <f ca="1">C47</f>
        <v>3.8E-3</v>
      </c>
      <c r="E45" s="280" t="s">
        <v>2397</v>
      </c>
      <c r="F45" s="290"/>
      <c r="G45" s="291" t="s">
        <v>2406</v>
      </c>
    </row>
    <row r="46" spans="1:7" s="258" customFormat="1" ht="13.5" customHeight="1">
      <c r="A46" s="951" t="s">
        <v>791</v>
      </c>
      <c r="B46" s="292" t="s">
        <v>2407</v>
      </c>
      <c r="C46" s="293">
        <f ca="1">ROUND((C33+C39)*F27,0)</f>
        <v>2091</v>
      </c>
      <c r="D46" s="307"/>
      <c r="E46" s="280"/>
      <c r="F46" s="290"/>
      <c r="G46" s="291"/>
    </row>
    <row r="47" spans="1:7" s="258" customFormat="1" ht="13.5" customHeight="1">
      <c r="A47" s="951" t="s">
        <v>792</v>
      </c>
      <c r="B47" s="292" t="s">
        <v>2408</v>
      </c>
      <c r="C47" s="282">
        <f ca="1">ROUND(C40*F27,4)</f>
        <v>3.8E-3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14774</v>
      </c>
      <c r="D49" s="276"/>
      <c r="E49" s="276"/>
      <c r="F49" s="308"/>
      <c r="G49" s="278" t="s">
        <v>2412</v>
      </c>
    </row>
    <row r="50" spans="1:7" s="302" customFormat="1" ht="24">
      <c r="A50" s="299" t="s">
        <v>2413</v>
      </c>
      <c r="B50" s="254" t="s">
        <v>2414</v>
      </c>
      <c r="C50" s="276"/>
      <c r="D50" s="276"/>
      <c r="E50" s="276"/>
      <c r="F50" s="308">
        <f>IF('数据-取费表'!B24=0,'数据-取费表'!N16,1)</f>
        <v>0.87</v>
      </c>
      <c r="G50" s="291" t="s">
        <v>2415</v>
      </c>
    </row>
    <row r="51" spans="1:7" ht="16.5" customHeight="1">
      <c r="A51" s="299" t="s">
        <v>2416</v>
      </c>
      <c r="B51" s="254" t="s">
        <v>2417</v>
      </c>
      <c r="C51" s="276">
        <f ca="1">ROUND(C49*F50,0)</f>
        <v>12853</v>
      </c>
      <c r="D51" s="276"/>
      <c r="E51" s="276"/>
      <c r="F51" s="308"/>
      <c r="G51" s="278" t="s">
        <v>2418</v>
      </c>
    </row>
    <row r="52" spans="1:7" s="252" customFormat="1" ht="16.5" thickBot="1">
      <c r="A52" s="309" t="s">
        <v>2419</v>
      </c>
      <c r="B52" s="310"/>
      <c r="C52" s="311">
        <f ca="1">C31+C51</f>
        <v>69187</v>
      </c>
      <c r="D52" s="310"/>
      <c r="E52" s="310"/>
      <c r="F52" s="310"/>
      <c r="G52" s="312"/>
    </row>
    <row r="55" spans="1:7" ht="15">
      <c r="B55" s="314" t="s">
        <v>2420</v>
      </c>
      <c r="C55" s="315"/>
    </row>
    <row r="56" spans="1:7">
      <c r="B56" s="317" t="s">
        <v>1512</v>
      </c>
      <c r="C56" s="319">
        <f ca="1">1-C57</f>
        <v>0.81400000000000006</v>
      </c>
    </row>
    <row r="57" spans="1:7">
      <c r="B57" s="317" t="s">
        <v>1513</v>
      </c>
      <c r="C57" s="318">
        <f ca="1">ROUND(C51/C52,3)</f>
        <v>0.186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7"/>
      <c r="C1" s="2552" t="s">
        <v>2421</v>
      </c>
      <c r="D1" s="242"/>
      <c r="E1" s="242"/>
      <c r="F1" s="242"/>
      <c r="G1" s="1379">
        <f>MATCH(B1,'数据-取费表'!A6:A16,0)+5</f>
        <v>9</v>
      </c>
      <c r="H1" s="1282" t="str">
        <f>IF(ISERROR(FIND("住宅",B1)),"非住宅","住宅")</f>
        <v>非住宅</v>
      </c>
    </row>
    <row r="2" spans="1:8" s="244" customFormat="1" ht="18" customHeight="1">
      <c r="A2" s="245" t="s">
        <v>2320</v>
      </c>
      <c r="B2" s="246">
        <f ca="1">ROUND(IF(D2="——",C52/10000,C52/10000-E2),0)</f>
        <v>14489</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5018</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5774594</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'数据-取费表'!B48+'数据-取费表'!B49</f>
        <v>3.0499999999999999E-2</v>
      </c>
      <c r="G7" s="263"/>
    </row>
    <row r="8" spans="1:8" s="267" customFormat="1">
      <c r="A8" s="949" t="s">
        <v>2334</v>
      </c>
      <c r="B8" s="259" t="s">
        <v>2335</v>
      </c>
      <c r="C8" s="264">
        <f ca="1">IF(G8="已包含在土地购买价格中",0,C9+C10)</f>
        <v>5774594</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2338</v>
      </c>
      <c r="C10" s="269">
        <f ca="1">ROUND(D10*E10,0)</f>
        <v>5774594</v>
      </c>
      <c r="D10" s="1032">
        <f ca="1">IF(B1="",'数据-汇总表'!E6,IF(INDIRECT("'数据-取费表'!c"&amp;$G$1)="住宅",INDIRECT("'数据-取费表'!s"&amp;$G$1),INDIRECT("'数据-取费表'!k"&amp;$G$1)+INDIRECT("'数据-取费表'!s"&amp;$G$1)))</f>
        <v>28872.97</v>
      </c>
      <c r="E10" s="269">
        <f>'数据-取费表'!B28</f>
        <v>200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5774594</v>
      </c>
      <c r="D19" s="1036">
        <f ca="1">D9+D10</f>
        <v>28872.97</v>
      </c>
      <c r="E19" s="255">
        <f>'数据-取费表'!B31</f>
        <v>200</v>
      </c>
      <c r="F19" s="275"/>
      <c r="G19" s="2549"/>
    </row>
    <row r="20" spans="1:7" s="258" customFormat="1" ht="13.5" customHeight="1">
      <c r="A20" s="299" t="s">
        <v>2432</v>
      </c>
      <c r="B20" s="254" t="s">
        <v>2433</v>
      </c>
      <c r="C20" s="276">
        <f ca="1">ROUND((C5+C19)*F20,0)</f>
        <v>173238</v>
      </c>
      <c r="D20" s="276"/>
      <c r="E20" s="276"/>
      <c r="F20" s="277">
        <f>'数据-取费表'!B37</f>
        <v>1.4999999999999999E-2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0">
        <f ca="1">ROUND(SUM(C23:C25),0)</f>
        <v>1131459</v>
      </c>
      <c r="D22" s="279">
        <f ca="1">C26</f>
        <v>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561615</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561615</v>
      </c>
      <c r="D24" s="282"/>
      <c r="E24" s="282"/>
      <c r="F24" s="283"/>
      <c r="G24" s="284" t="s">
        <v>2444</v>
      </c>
    </row>
    <row r="25" spans="1:7" s="258" customFormat="1" ht="24">
      <c r="A25" s="951" t="s">
        <v>2334</v>
      </c>
      <c r="B25" s="259" t="s">
        <v>2445</v>
      </c>
      <c r="C25" s="1381">
        <f ca="1">ROUND(IF('数据-取费表'!B22&lt;=1,C20*F22*'数据-取费表'!B22/2,C20*(POWER((1+F22),'数据-取费表'!B22/2)-1)),0)</f>
        <v>8229</v>
      </c>
      <c r="D25" s="282"/>
      <c r="E25" s="285"/>
      <c r="F25" s="283"/>
      <c r="G25" s="286" t="s">
        <v>2446</v>
      </c>
    </row>
    <row r="26" spans="1:7" s="258" customFormat="1">
      <c r="A26" s="951"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2227261</v>
      </c>
      <c r="D27" s="279">
        <f ca="1">C29</f>
        <v>3.8E-3</v>
      </c>
      <c r="E27" s="280" t="s">
        <v>2372</v>
      </c>
      <c r="F27" s="290">
        <f ca="1">IF(B1="",'数据-取费表'!Q16,INDIRECT("'数据-取费表'!q"&amp;$G$1))</f>
        <v>0.19</v>
      </c>
      <c r="G27" s="291" t="s">
        <v>2373</v>
      </c>
    </row>
    <row r="28" spans="1:7" s="258" customFormat="1" ht="13.5" customHeight="1">
      <c r="A28" s="951" t="s">
        <v>791</v>
      </c>
      <c r="B28" s="292" t="s">
        <v>2374</v>
      </c>
      <c r="C28" s="293">
        <f ca="1">ROUND((C5+C19+C20)*F27,0)</f>
        <v>2227261</v>
      </c>
      <c r="D28" s="279"/>
      <c r="E28" s="280"/>
      <c r="F28" s="290"/>
      <c r="G28" s="291"/>
    </row>
    <row r="29" spans="1:7" s="258" customFormat="1" ht="13.5" customHeight="1">
      <c r="A29" s="951" t="s">
        <v>792</v>
      </c>
      <c r="B29" s="292" t="s">
        <v>2375</v>
      </c>
      <c r="C29" s="282">
        <f ca="1">ROUND(C21*F27,4)</f>
        <v>3.8E-3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16358766</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108430455</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98235274</v>
      </c>
      <c r="D34" s="261"/>
      <c r="E34" s="264"/>
      <c r="F34" s="301"/>
      <c r="G34" s="263"/>
    </row>
    <row r="35" spans="1:7" ht="13.5" customHeight="1">
      <c r="A35" s="951" t="s">
        <v>796</v>
      </c>
      <c r="B35" s="259" t="s">
        <v>2385</v>
      </c>
      <c r="C35" s="264">
        <f ca="1">ROUND(C34*F35,0)</f>
        <v>2947058</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5774594</v>
      </c>
      <c r="D37" s="261">
        <f ca="1">D19</f>
        <v>28872.97</v>
      </c>
      <c r="E37" s="293">
        <f>'数据-取费表'!B35</f>
        <v>200</v>
      </c>
      <c r="F37" s="303"/>
      <c r="G37" s="305"/>
    </row>
    <row r="38" spans="1:7" ht="13.5" customHeight="1">
      <c r="A38" s="951" t="s">
        <v>799</v>
      </c>
      <c r="B38" s="259" t="s">
        <v>2391</v>
      </c>
      <c r="C38" s="264">
        <f ca="1">ROUND(C34*F38,0)</f>
        <v>1473529</v>
      </c>
      <c r="D38" s="264"/>
      <c r="E38" s="264"/>
      <c r="F38" s="303">
        <f>'数据-取费表'!B36</f>
        <v>1.4999999999999999E-2</v>
      </c>
      <c r="G38" s="263" t="s">
        <v>2386</v>
      </c>
    </row>
    <row r="39" spans="1:7" s="258" customFormat="1" ht="13.5" customHeight="1">
      <c r="A39" s="299" t="s">
        <v>2392</v>
      </c>
      <c r="B39" s="254" t="s">
        <v>2393</v>
      </c>
      <c r="C39" s="276">
        <f ca="1">ROUND(C33*F20,0)</f>
        <v>1626457</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5227704</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5150447</v>
      </c>
      <c r="D42" s="282"/>
      <c r="E42" s="282"/>
      <c r="F42" s="283"/>
      <c r="G42" s="3212" t="s">
        <v>2449</v>
      </c>
    </row>
    <row r="43" spans="1:7" ht="13.5" customHeight="1">
      <c r="A43" s="951" t="s">
        <v>792</v>
      </c>
      <c r="B43" s="259" t="s">
        <v>2403</v>
      </c>
      <c r="C43" s="282">
        <f ca="1">ROUND(IF('数据-取费表'!B22&lt;=1,C39*F22*'数据-取费表'!B20/2,C39*(POWER((1+F22),'数据-取费表'!B20/2)-1)),0)</f>
        <v>77257</v>
      </c>
      <c r="D43" s="282"/>
      <c r="E43" s="282"/>
      <c r="F43" s="283"/>
      <c r="G43" s="3213"/>
    </row>
    <row r="44" spans="1:7" ht="13.5" customHeight="1">
      <c r="A44" s="951" t="s">
        <v>793</v>
      </c>
      <c r="B44" s="259" t="s">
        <v>2404</v>
      </c>
      <c r="C44" s="282">
        <f ca="1">ROUND(IF('数据-取费表'!B22&lt;=1,C40*F22*'数据-取费表'!B20/2,C40*(POWER((1+F22),'数据-取费表'!B20/2)-1)),4)</f>
        <v>1E-3</v>
      </c>
      <c r="D44" s="282"/>
      <c r="E44" s="282"/>
      <c r="F44" s="283"/>
      <c r="G44" s="3214"/>
    </row>
    <row r="45" spans="1:7" s="258" customFormat="1" ht="13.5" customHeight="1">
      <c r="A45" s="299" t="s">
        <v>2405</v>
      </c>
      <c r="B45" s="288" t="s">
        <v>2371</v>
      </c>
      <c r="C45" s="289">
        <f ca="1">C46</f>
        <v>20910813</v>
      </c>
      <c r="D45" s="279">
        <f ca="1">C47</f>
        <v>3.8E-3</v>
      </c>
      <c r="E45" s="280" t="s">
        <v>2397</v>
      </c>
      <c r="F45" s="290"/>
      <c r="G45" s="291" t="s">
        <v>2406</v>
      </c>
    </row>
    <row r="46" spans="1:7" s="258" customFormat="1" ht="13.5" customHeight="1">
      <c r="A46" s="951" t="s">
        <v>791</v>
      </c>
      <c r="B46" s="292" t="s">
        <v>2407</v>
      </c>
      <c r="C46" s="293">
        <f ca="1">ROUND((C33+C39)*F27,0)</f>
        <v>20910813</v>
      </c>
      <c r="D46" s="307"/>
      <c r="E46" s="280"/>
      <c r="F46" s="290"/>
      <c r="G46" s="291"/>
    </row>
    <row r="47" spans="1:7" s="258" customFormat="1" ht="13.5" customHeight="1">
      <c r="A47" s="951" t="s">
        <v>792</v>
      </c>
      <c r="B47" s="292" t="s">
        <v>2408</v>
      </c>
      <c r="C47" s="282">
        <f ca="1">ROUND(C40*F27,4)</f>
        <v>3.8E-3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147733408</v>
      </c>
      <c r="D49" s="276"/>
      <c r="E49" s="276"/>
      <c r="F49" s="308"/>
      <c r="G49" s="278" t="s">
        <v>2412</v>
      </c>
    </row>
    <row r="50" spans="1:7" s="302" customFormat="1">
      <c r="A50" s="299" t="s">
        <v>2413</v>
      </c>
      <c r="B50" s="254" t="s">
        <v>2414</v>
      </c>
      <c r="C50" s="276"/>
      <c r="D50" s="276"/>
      <c r="E50" s="276"/>
      <c r="F50" s="308">
        <f>IF('数据-取费表'!B24=0,'数据-取费表'!N16,1)</f>
        <v>0.87</v>
      </c>
      <c r="G50" s="291"/>
    </row>
    <row r="51" spans="1:7" ht="16.5" customHeight="1">
      <c r="A51" s="299" t="s">
        <v>2416</v>
      </c>
      <c r="B51" s="254" t="s">
        <v>2451</v>
      </c>
      <c r="C51" s="276">
        <f ca="1">ROUND(C49*F50,0)</f>
        <v>128528065</v>
      </c>
      <c r="D51" s="276"/>
      <c r="E51" s="276"/>
      <c r="F51" s="308"/>
      <c r="G51" s="278" t="s">
        <v>2418</v>
      </c>
    </row>
    <row r="52" spans="1:7" s="252" customFormat="1" ht="16.5" thickBot="1">
      <c r="A52" s="309" t="s">
        <v>2419</v>
      </c>
      <c r="B52" s="310"/>
      <c r="C52" s="311">
        <f ca="1">C31+C51</f>
        <v>144886831</v>
      </c>
      <c r="D52" s="310"/>
      <c r="E52" s="310"/>
      <c r="F52" s="310"/>
      <c r="G52" s="312"/>
    </row>
    <row r="55" spans="1:7" ht="15">
      <c r="B55" s="314" t="s">
        <v>2420</v>
      </c>
      <c r="C55" s="315"/>
    </row>
    <row r="56" spans="1:7">
      <c r="B56" s="317" t="s">
        <v>1512</v>
      </c>
      <c r="C56" s="319">
        <f ca="1">1-C57</f>
        <v>0.11299999999999999</v>
      </c>
    </row>
    <row r="57" spans="1:7">
      <c r="B57" s="317" t="s">
        <v>1513</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1334</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2474</v>
      </c>
      <c r="C12" s="24">
        <f ca="1">ROUND(C11*F12,0)</f>
        <v>0</v>
      </c>
      <c r="D12" s="973"/>
      <c r="E12" s="375"/>
      <c r="F12" s="976">
        <f>'数据-取费表'!B33</f>
        <v>0.03</v>
      </c>
      <c r="G12" s="8" t="s">
        <v>2475</v>
      </c>
      <c r="H12" s="968"/>
      <c r="I12" s="968"/>
      <c r="J12" s="968"/>
      <c r="K12" s="969"/>
    </row>
    <row r="13" spans="1:33" s="975" customFormat="1" ht="13.5" customHeight="1">
      <c r="A13" s="971" t="s">
        <v>1336</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1337</v>
      </c>
      <c r="B14" s="972" t="s">
        <v>2478</v>
      </c>
      <c r="C14" s="24">
        <f ca="1">ROUND(D14*E14*F11/10000,0)</f>
        <v>0</v>
      </c>
      <c r="D14" s="1033">
        <f ca="1">IF(C1="",'数据-汇总表'!E3,INDIRECT("'数据-取费表'!K"&amp;$K$1)+INDIRECT("'数据-取费表'!S"&amp;$K$1))</f>
        <v>28872.97</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28872.97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2485</v>
      </c>
      <c r="C18" s="24">
        <f ca="1">C19+C20-IF(C1="",'数据-取费表'!B29,IF(G18="已全部缴纳",C19+C20,H18))</f>
        <v>0</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2488</v>
      </c>
      <c r="C20" s="24">
        <f ca="1">ROUND(D20*E20/10000,0)</f>
        <v>577</v>
      </c>
      <c r="D20" s="1033">
        <f ca="1">IF(C1="",'数据-汇总表'!E6,IF(INDIRECT("'数据-取费表'!c"&amp;$K$1)="住宅",INDIRECT("'数据-取费表'!s"&amp;$K$1),INDIRECT("'数据-取费表'!k"&amp;$K$1)+INDIRECT("'数据-取费表'!s"&amp;$K$1)))</f>
        <v>28872.97</v>
      </c>
      <c r="E20" s="24">
        <f>'数据-取费表'!B28</f>
        <v>200</v>
      </c>
      <c r="F20" s="976"/>
      <c r="G20" s="15"/>
      <c r="H20" s="981"/>
      <c r="I20" s="981"/>
      <c r="J20" s="981"/>
      <c r="K20" s="982"/>
    </row>
    <row r="21" spans="1:33" s="975" customFormat="1" ht="13.5" customHeight="1">
      <c r="A21" s="961" t="s">
        <v>802</v>
      </c>
      <c r="B21" s="985" t="s">
        <v>2489</v>
      </c>
      <c r="C21" s="986">
        <f ca="1">C16+C17+C18</f>
        <v>0</v>
      </c>
      <c r="D21" s="987"/>
      <c r="E21" s="325"/>
      <c r="F21" s="325"/>
      <c r="G21" s="140" t="s">
        <v>2490</v>
      </c>
      <c r="H21" s="979"/>
      <c r="I21" s="979"/>
      <c r="J21" s="979"/>
      <c r="K21" s="980"/>
    </row>
    <row r="22" spans="1:33" s="975" customFormat="1" ht="13.5" customHeight="1">
      <c r="A22" s="961" t="s">
        <v>2462</v>
      </c>
      <c r="B22" s="985" t="s">
        <v>2491</v>
      </c>
      <c r="C22" s="986">
        <f ca="1">ROUND(C21*F22,0)</f>
        <v>0</v>
      </c>
      <c r="D22" s="325"/>
      <c r="E22" s="325"/>
      <c r="F22" s="988">
        <f>'数据-取费表'!B37</f>
        <v>1.4999999999999999E-2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0.02</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0</v>
      </c>
      <c r="D28" s="324">
        <f ca="1">C29</f>
        <v>0</v>
      </c>
      <c r="E28" s="326" t="s">
        <v>15</v>
      </c>
      <c r="F28" s="332">
        <f ca="1">IF(C1="",'数据-取费表'!Q16,INDIRECT("'数据-取费表'!q"&amp;$K$1))</f>
        <v>0.19</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0</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0</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118"/>
  <sheetViews>
    <sheetView topLeftCell="A13" zoomScale="80" zoomScaleNormal="80" zoomScaleSheetLayoutView="96" workbookViewId="0">
      <selection activeCell="J28" sqref="J2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2797</v>
      </c>
      <c r="B1" s="241"/>
      <c r="C1" s="245" t="s">
        <v>2798</v>
      </c>
      <c r="D1" s="388">
        <f>SUM(D29:D30,D33:D39)</f>
        <v>5104.9400000000005</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8839</v>
      </c>
      <c r="C2" s="2720" t="s">
        <v>2806</v>
      </c>
      <c r="D2" s="2721" t="s">
        <v>2807</v>
      </c>
      <c r="E2" s="2722" t="s">
        <v>1377</v>
      </c>
      <c r="F2" s="2721" t="s">
        <v>2808</v>
      </c>
      <c r="G2" s="2723" t="str">
        <f>IF(E2="商业",项目基本情况!B37,IF(E2="办公",项目基本情况!C37,IF(E2="住宅",项目基本情况!D37,项目基本情况!E37)))</f>
        <v>六级</v>
      </c>
      <c r="H2" s="2721" t="s">
        <v>2809</v>
      </c>
      <c r="I2" s="2723" t="str">
        <f>IF(E2="商业",项目基本情况!B38,IF(E2="办公",项目基本情况!C38,IF(E2="住宅",项目基本情况!D38,项目基本情况!E38)))</f>
        <v>Ⅵ-08</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25641</v>
      </c>
      <c r="U2" s="1603">
        <f>2111.34+475.91</f>
        <v>2587.25</v>
      </c>
      <c r="V2" s="1602">
        <f ca="1">ROUND(T2*U2/10000,0)</f>
        <v>6634</v>
      </c>
      <c r="W2" s="1606"/>
      <c r="X2" s="1606"/>
      <c r="Y2" s="1606"/>
      <c r="Z2" s="1606"/>
      <c r="AA2" s="1606"/>
      <c r="AB2" s="1606"/>
      <c r="AC2" s="1607"/>
      <c r="AD2" s="1608"/>
      <c r="AE2" s="1608"/>
      <c r="AF2" s="1608"/>
      <c r="AG2" s="1608"/>
      <c r="AH2" s="1608"/>
      <c r="AI2" s="1608"/>
      <c r="AJ2" s="1609"/>
    </row>
    <row r="3" spans="1:36" ht="25.5">
      <c r="A3" s="247" t="s">
        <v>2811</v>
      </c>
      <c r="B3" s="248">
        <f ca="1">ROUND(B2*10000/D1,0)</f>
        <v>17315</v>
      </c>
      <c r="C3" s="2720" t="s">
        <v>2812</v>
      </c>
      <c r="D3" s="2721" t="s">
        <v>2813</v>
      </c>
      <c r="E3" s="2726" t="s">
        <v>3160</v>
      </c>
      <c r="F3" s="2727" t="s">
        <v>3161</v>
      </c>
      <c r="G3" s="913">
        <f>IF(F3="宗地容积率",'数据-汇总表'!I4,IF(F3="估价对象容积率",'数据-汇总表'!I6,'数据-汇总表'!I7))</f>
        <v>1.9</v>
      </c>
      <c r="H3" s="198" t="s">
        <v>2814</v>
      </c>
      <c r="I3" s="944">
        <v>1</v>
      </c>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18406</v>
      </c>
      <c r="U3" s="1603">
        <v>1705.36</v>
      </c>
      <c r="V3" s="1602">
        <f t="shared" ref="V3:V16" ca="1" si="1">ROUND(T3*U3/10000,0)</f>
        <v>3139</v>
      </c>
      <c r="W3" s="1606"/>
      <c r="X3" s="1606"/>
      <c r="Y3" s="1606"/>
      <c r="Z3" s="1606"/>
      <c r="AA3" s="1606"/>
      <c r="AB3" s="1606"/>
      <c r="AC3" s="1607"/>
      <c r="AD3" s="1608"/>
      <c r="AE3" s="1608"/>
      <c r="AF3" s="1608"/>
      <c r="AG3" s="1608"/>
      <c r="AH3" s="1608"/>
      <c r="AI3" s="1608"/>
      <c r="AJ3" s="1609"/>
    </row>
    <row r="4" spans="1:36" ht="15.75">
      <c r="A4" s="3226"/>
      <c r="B4" s="3227"/>
      <c r="C4" s="3227"/>
      <c r="D4" s="3228"/>
      <c r="E4" s="3228"/>
      <c r="F4" s="3228"/>
      <c r="G4" s="3228"/>
      <c r="H4" s="3228"/>
      <c r="I4" s="3228"/>
      <c r="J4" s="3229"/>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14849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4">
        <f>ROUND(IF(E2="商业",IF(F16="增加",C6*C7+C16,C6*C7-C16),IF(E2="住宅",IF(F16="增加",C6*C12+C16,C6*C12-C16),IF(F16="增加",C6+C16,C6-C16))),0)</f>
        <v>10680</v>
      </c>
      <c r="D5" s="1787">
        <f>ROUND(IF(E2="商业",IF(F16="增加",C6+C16,C6-C16)),0)</f>
        <v>10680</v>
      </c>
      <c r="E5" s="2730"/>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11914</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2820</v>
      </c>
      <c r="B6" s="2739" t="s">
        <v>2821</v>
      </c>
      <c r="C6" s="915">
        <f>SUMIF(L1:L12,G2,M1:M12)</f>
        <v>10680</v>
      </c>
      <c r="D6" s="2740" t="s">
        <v>2822</v>
      </c>
      <c r="E6" s="2741"/>
      <c r="F6" s="2741"/>
      <c r="G6" s="2742"/>
      <c r="H6" s="2742"/>
      <c r="I6" s="2742"/>
      <c r="J6" s="2743"/>
      <c r="K6" s="1842"/>
      <c r="L6" s="2725" t="s">
        <v>2823</v>
      </c>
      <c r="M6" s="1081">
        <f>SUMPRODUCT((区片价!B110:B157=I2)*(区片价!C3:F3=E2)*(区片价!C110:F157))</f>
        <v>10680</v>
      </c>
      <c r="N6" s="1083">
        <f>SUMPRODUCT((因素修正幅度!B110:B157=I2)*(因素修正幅度!C3:F3=E2)*(因素修正幅度!C110:F157))</f>
        <v>0.13</v>
      </c>
      <c r="O6" s="1370"/>
      <c r="P6" s="1370"/>
      <c r="Q6" s="1370"/>
      <c r="R6" s="1602">
        <v>5</v>
      </c>
      <c r="S6" s="1602">
        <f>ROUND(IF(G3&gt;1,IF(R6&lt;7,SUMPRODUCT((B93:B98=R6)*(C92:N92=G2)*(C93:N98)),SUMIF(C92:N92,G2,C100:N100)),IF(R6&lt;7,SUMPRODUCT((B102:B107=R6)*(C92:N92=G2)*(C102:N107)),SUMIF(C92:N92,G2,C109:N109))),4)</f>
        <v>0.73709999999999998</v>
      </c>
      <c r="T6" s="1602">
        <f t="shared" ca="1" si="0"/>
        <v>10146</v>
      </c>
      <c r="U6" s="1603"/>
      <c r="V6" s="1602">
        <f t="shared" ca="1" si="1"/>
        <v>0</v>
      </c>
      <c r="W6" s="1606"/>
      <c r="X6" s="1606"/>
      <c r="Y6" s="1606"/>
      <c r="Z6" s="1606"/>
      <c r="AA6" s="1606"/>
      <c r="AB6" s="1606"/>
      <c r="AC6" s="2734"/>
      <c r="AD6" s="2735"/>
      <c r="AE6" s="2735"/>
      <c r="AF6" s="2735"/>
      <c r="AG6" s="2735"/>
      <c r="AH6" s="2735"/>
      <c r="AI6" s="2735"/>
      <c r="AJ6" s="2736"/>
    </row>
    <row r="7" spans="1:36" ht="24">
      <c r="A7" s="3219" t="str">
        <f>IF(E2="商业",IF(C8="不临58条商业街","",2),"")</f>
        <v/>
      </c>
      <c r="B7" s="2744" t="s">
        <v>2824</v>
      </c>
      <c r="C7" s="916">
        <f>IF(C8="不临58条商业街",1,ROUND(1+(1.6*E8+1.2*E9+0.8*E10+0.4*E11)*C9,4))</f>
        <v>1</v>
      </c>
      <c r="D7" s="2745" t="s">
        <v>2825</v>
      </c>
      <c r="E7" s="945">
        <v>60</v>
      </c>
      <c r="F7" s="2746"/>
      <c r="G7" s="2747"/>
      <c r="H7" s="2747"/>
      <c r="I7" s="2747"/>
      <c r="J7" s="2748"/>
      <c r="K7" s="1842"/>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8922</v>
      </c>
      <c r="U7" s="1603"/>
      <c r="V7" s="1602">
        <f t="shared" ca="1" si="1"/>
        <v>0</v>
      </c>
      <c r="W7" s="2958" t="s">
        <v>2827</v>
      </c>
      <c r="X7" s="1604" t="str">
        <f>G2</f>
        <v>六级</v>
      </c>
      <c r="Y7" s="1604" t="s">
        <v>2828</v>
      </c>
      <c r="Z7" s="1605">
        <f>G3</f>
        <v>1.9</v>
      </c>
      <c r="AA7" s="1606"/>
      <c r="AB7" s="1606"/>
      <c r="AC7" s="1607"/>
      <c r="AD7" s="1608"/>
      <c r="AE7" s="1608"/>
      <c r="AF7" s="1608"/>
      <c r="AG7" s="1608"/>
      <c r="AH7" s="1608"/>
      <c r="AI7" s="1608"/>
      <c r="AJ7" s="1609"/>
    </row>
    <row r="8" spans="1:36" ht="25.5">
      <c r="A8" s="3220"/>
      <c r="B8" s="198" t="s">
        <v>2829</v>
      </c>
      <c r="C8" s="2749" t="s">
        <v>3162</v>
      </c>
      <c r="D8" s="917" t="s">
        <v>139</v>
      </c>
      <c r="E8" s="918">
        <f>ROUND(C11/E7,4)</f>
        <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0" t="s">
        <v>2832</v>
      </c>
      <c r="X8" s="3231"/>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20"/>
      <c r="B9" s="198" t="s">
        <v>2845</v>
      </c>
      <c r="C9" s="919">
        <f>SUMIF(修正!C59:C119,C8,修正!E59:E119)</f>
        <v>0</v>
      </c>
      <c r="D9" s="200" t="s">
        <v>140</v>
      </c>
      <c r="E9" s="200">
        <f>ROUND(C11/E7,4)</f>
        <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32"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2850</v>
      </c>
      <c r="C10" s="200">
        <f>SUMIF(修正!C59:C119,C8,修正!F59:F119)</f>
        <v>0</v>
      </c>
      <c r="D10" s="200" t="s">
        <v>141</v>
      </c>
      <c r="E10" s="200">
        <f>ROUND(C11/E7,4)</f>
        <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3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53" t="s">
        <v>2853</v>
      </c>
      <c r="C11" s="920">
        <f>C10/4</f>
        <v>0</v>
      </c>
      <c r="D11" s="920" t="s">
        <v>142</v>
      </c>
      <c r="E11" s="920">
        <f>ROUND(C11/E7,4)</f>
        <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32" t="s">
        <v>2856</v>
      </c>
      <c r="X11" s="1614" t="s">
        <v>2828</v>
      </c>
      <c r="Y11" s="1615">
        <f>$G$3</f>
        <v>1.9</v>
      </c>
      <c r="Z11" s="1615">
        <f t="shared" ref="Z11:AJ11" si="3">$G$3</f>
        <v>1.9</v>
      </c>
      <c r="AA11" s="1615">
        <f t="shared" si="3"/>
        <v>1.9</v>
      </c>
      <c r="AB11" s="1615">
        <f t="shared" si="3"/>
        <v>1.9</v>
      </c>
      <c r="AC11" s="1615">
        <f t="shared" si="3"/>
        <v>1.9</v>
      </c>
      <c r="AD11" s="1615">
        <f t="shared" si="3"/>
        <v>1.9</v>
      </c>
      <c r="AE11" s="1615">
        <f t="shared" si="3"/>
        <v>1.9</v>
      </c>
      <c r="AF11" s="1615">
        <f t="shared" si="3"/>
        <v>1.9</v>
      </c>
      <c r="AG11" s="1615">
        <f t="shared" si="3"/>
        <v>1.9</v>
      </c>
      <c r="AH11" s="1615">
        <f t="shared" si="3"/>
        <v>1.9</v>
      </c>
      <c r="AI11" s="1615">
        <f t="shared" si="3"/>
        <v>1.9</v>
      </c>
      <c r="AJ11" s="1615">
        <f t="shared" si="3"/>
        <v>1.9</v>
      </c>
    </row>
    <row r="12" spans="1:36" ht="25.5" thickBot="1">
      <c r="A12" s="3219" t="s">
        <v>2858</v>
      </c>
      <c r="B12" s="2757" t="s">
        <v>2859</v>
      </c>
      <c r="C12" s="916">
        <f>ROUND(C15*D15*E15*F15*G15*H15*I15*J15,4)</f>
        <v>1.21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32"/>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3"/>
      <c r="B13" s="2763" t="s">
        <v>2863</v>
      </c>
      <c r="C13" s="2764" t="s">
        <v>2864</v>
      </c>
      <c r="D13" s="2946" t="s">
        <v>2865</v>
      </c>
      <c r="E13" s="2946" t="s">
        <v>2866</v>
      </c>
      <c r="F13" s="30" t="s">
        <v>2867</v>
      </c>
      <c r="G13" s="2765" t="s">
        <v>2868</v>
      </c>
      <c r="H13" s="2765" t="s">
        <v>2868</v>
      </c>
      <c r="I13" s="2765" t="s">
        <v>2868</v>
      </c>
      <c r="J13" s="2766" t="s">
        <v>2868</v>
      </c>
      <c r="K13" s="1370"/>
      <c r="L13" s="1370"/>
      <c r="M13" s="1370"/>
      <c r="N13" s="1370"/>
      <c r="O13" s="1370"/>
      <c r="P13" s="1370"/>
      <c r="Q13" s="1370"/>
      <c r="R13" s="1602">
        <v>12</v>
      </c>
      <c r="S13" s="1603"/>
      <c r="T13" s="1602">
        <f t="shared" ca="1" si="0"/>
        <v>0</v>
      </c>
      <c r="U13" s="1603"/>
      <c r="V13" s="1602">
        <f t="shared" ca="1" si="1"/>
        <v>0</v>
      </c>
      <c r="W13" s="3232"/>
      <c r="X13" s="1616"/>
      <c r="Y13" s="1613">
        <f>(-0.163*(Y12^2)-0.59*Y12+7617)*(10^(-4))/Y11</f>
        <v>0.4008947368421053</v>
      </c>
      <c r="Z13" s="1613">
        <f t="shared" ref="Z13:AJ13" si="5">(-0.163*(Z12^2)-0.59*Z12+7617)*(10^(-4))/Z11</f>
        <v>0.4008947368421053</v>
      </c>
      <c r="AA13" s="1613">
        <f t="shared" si="5"/>
        <v>0.4008947368421053</v>
      </c>
      <c r="AB13" s="1613">
        <f t="shared" si="5"/>
        <v>0.4008947368421053</v>
      </c>
      <c r="AC13" s="1613">
        <f t="shared" si="5"/>
        <v>0.4008947368421053</v>
      </c>
      <c r="AD13" s="1613">
        <f t="shared" si="5"/>
        <v>0.4008947368421053</v>
      </c>
      <c r="AE13" s="1613">
        <f t="shared" si="5"/>
        <v>0.4008947368421053</v>
      </c>
      <c r="AF13" s="1613">
        <f t="shared" si="5"/>
        <v>0.4008947368421053</v>
      </c>
      <c r="AG13" s="1613">
        <f t="shared" si="5"/>
        <v>0.4008947368421053</v>
      </c>
      <c r="AH13" s="1613">
        <f t="shared" si="5"/>
        <v>0.4008947368421053</v>
      </c>
      <c r="AI13" s="1613">
        <f t="shared" si="5"/>
        <v>0.4008947368421053</v>
      </c>
      <c r="AJ13" s="1613">
        <f t="shared" si="5"/>
        <v>0.4008947368421053</v>
      </c>
    </row>
    <row r="14" spans="1:36" ht="15">
      <c r="A14" s="3233"/>
      <c r="B14" s="2767"/>
      <c r="C14" s="2768" t="s">
        <v>3163</v>
      </c>
      <c r="D14" s="2769" t="s">
        <v>3135</v>
      </c>
      <c r="E14" s="2769" t="s">
        <v>3163</v>
      </c>
      <c r="F14" s="2770" t="s">
        <v>3164</v>
      </c>
      <c r="G14" s="2771" t="s">
        <v>2869</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4"/>
      <c r="B15" s="2775" t="s">
        <v>2870</v>
      </c>
      <c r="C15" s="229">
        <f>IF(C14="有",1.1,1)</f>
        <v>1.1000000000000001</v>
      </c>
      <c r="D15" s="229">
        <f>IF(D14="有",1.1,1)</f>
        <v>1</v>
      </c>
      <c r="E15" s="229">
        <f>IF(E14="有",1.1,1)</f>
        <v>1.1000000000000001</v>
      </c>
      <c r="F15" s="229">
        <f>IF(F14="500米范围内",1.2,IF(F14="500-1000米",1.1,1))</f>
        <v>1</v>
      </c>
      <c r="G15" s="946">
        <v>1</v>
      </c>
      <c r="H15" s="946">
        <v>1</v>
      </c>
      <c r="I15" s="946">
        <v>1</v>
      </c>
      <c r="J15" s="947">
        <v>1</v>
      </c>
      <c r="K15" s="1370"/>
      <c r="L15" s="2776" t="s">
        <v>2807</v>
      </c>
      <c r="M15" s="917" t="s">
        <v>2871</v>
      </c>
      <c r="N15" s="917" t="s">
        <v>2872</v>
      </c>
      <c r="O15" s="917" t="s">
        <v>2873</v>
      </c>
      <c r="P15" s="2777" t="s">
        <v>2874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19" t="s">
        <v>2875</v>
      </c>
      <c r="B16" s="2744" t="s">
        <v>2876</v>
      </c>
      <c r="C16" s="2947">
        <f>ROUND(SUM(G17:J17)/C17,0)</f>
        <v>0</v>
      </c>
      <c r="D16" s="2778" t="s">
        <v>2877</v>
      </c>
      <c r="E16" s="2779" t="s">
        <v>3211</v>
      </c>
      <c r="F16" s="2780" t="s">
        <v>3212</v>
      </c>
      <c r="G16" s="2781" t="s">
        <v>70</v>
      </c>
      <c r="H16" s="2781" t="s">
        <v>70</v>
      </c>
      <c r="I16" s="2781" t="s">
        <v>70</v>
      </c>
      <c r="J16" s="2782" t="s">
        <v>70</v>
      </c>
      <c r="K16" s="1370"/>
      <c r="L16" s="2783" t="s">
        <v>2878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20"/>
      <c r="B17" s="2784" t="s">
        <v>2879</v>
      </c>
      <c r="C17" s="921">
        <f>SUMPRODUCT((修正!A2:A5=E2)*(修正!B1:M1=G2)*(修正!B2:M5))</f>
        <v>2.5</v>
      </c>
      <c r="D17" s="2785" t="s">
        <v>2880</v>
      </c>
      <c r="E17" s="920" t="str">
        <f>IF(OR(G2="八级",G2="九级",G2="十级",G2="十一级",G2="十二级"),"五通一平","七通一平")</f>
        <v>七通一平</v>
      </c>
      <c r="F17" s="921" t="s">
        <v>2881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2883</v>
      </c>
      <c r="C18" s="923">
        <f>SUMIF(修正!C18:C39,E3,修正!E18:E39)</f>
        <v>1.1000000000000001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2884</v>
      </c>
      <c r="C19" s="924">
        <f>ROUND(IF(H19="按公示增长率计算",SUMPRODUCT((地价!A3:A22=YEAR(G19)&amp;"-"&amp;ROUNDUP(MONTH(G19)/3,0))*(地价!X2:AB2=E2)*(地价!X3:AB22)),IF(H19="地价指数",M20/M19,(1+I19)^O19)),4)</f>
        <v>1.2928999999999999</v>
      </c>
      <c r="D19" s="2796" t="s">
        <v>2885</v>
      </c>
      <c r="E19" s="925">
        <v>41640</v>
      </c>
      <c r="F19" s="2796" t="s">
        <v>2886</v>
      </c>
      <c r="G19" s="926">
        <f>'数据-取费表'!B2</f>
        <v>43222</v>
      </c>
      <c r="H19" s="2797" t="s">
        <v>3165</v>
      </c>
      <c r="I19" s="927" t="str">
        <f>IF(H19="季度增幅（自定义）",SUMIF(N21:N24,E2,O21:O24),"")</f>
        <v/>
      </c>
      <c r="J19" s="2794"/>
      <c r="K19" s="1377"/>
      <c r="L19" s="2798" t="s">
        <v>2887</v>
      </c>
      <c r="M19" s="1734">
        <f>ROUND(SUMIF(地价!B2:F2,E2,地价!B22:F22),0)</f>
        <v>258</v>
      </c>
      <c r="N19" s="2799" t="s">
        <v>2888</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2889</v>
      </c>
      <c r="C20" s="929">
        <f ca="1">ROUND(POWER(1+G20,J20-I20)*(POWER(1+G20,I20)-1)/(POWER(1+G20,J20)-1),4)</f>
        <v>0.8579</v>
      </c>
      <c r="D20" s="2805" t="s">
        <v>2890</v>
      </c>
      <c r="E20" s="1768">
        <f ca="1">存贷款利率!D4/100</f>
        <v>4.3499999999999997E-2</v>
      </c>
      <c r="F20" s="2805" t="s">
        <v>2882</v>
      </c>
      <c r="G20" s="934">
        <f ca="1">SUMIF(M15:P15,E2,M17:P17)</f>
        <v>5.3999999999999999E-2</v>
      </c>
      <c r="H20" s="2805" t="s">
        <v>2891</v>
      </c>
      <c r="I20" s="935">
        <f>SUMIF('数据-取费表'!C6:C15,E2,'数据-取费表'!F6:F15)/COUNTIF('数据-取费表'!C6:C15,E2)</f>
        <v>26.61</v>
      </c>
      <c r="J20" s="936">
        <f>IF(E2="住宅",70,IF(E2="商业",40,50))</f>
        <v>40</v>
      </c>
      <c r="K20" s="1377"/>
      <c r="L20" s="2806" t="s">
        <v>2892</v>
      </c>
      <c r="M20" s="1735">
        <f>ROUND(SUMPRODUCT((地价!A4:A22=YEAR(G19)&amp;"-"&amp;ROUNDUP(MONTH(G19)/3,0))*(地价!B2:F2=E2)*(地价!B4:F22)),0)</f>
        <v>333</v>
      </c>
      <c r="N20" s="2807" t="s">
        <v>2893</v>
      </c>
      <c r="O20" s="2808" t="s">
        <v>2894</v>
      </c>
      <c r="P20" s="2809" t="s">
        <v>2895</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2896</v>
      </c>
      <c r="C21" s="2954">
        <f>IF(B21="容积率修正",IF(G3&lt;=10,D22,J22),C23)</f>
        <v>1.8629</v>
      </c>
      <c r="D21" s="2812"/>
      <c r="E21" s="2812"/>
      <c r="F21" s="2812"/>
      <c r="G21" s="2812"/>
      <c r="H21" s="2812"/>
      <c r="I21" s="2812"/>
      <c r="J21" s="2813"/>
      <c r="K21" s="1377"/>
      <c r="N21" s="2814" t="s">
        <v>2897</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15" t="s">
        <v>2899</v>
      </c>
      <c r="C22" s="2953" t="s">
        <v>2900</v>
      </c>
      <c r="D22" s="2953">
        <f>IF(E22=G22,F22,IF(G3&lt;=10,ROUND(F22+(H22-F22)*(G3-E22)/(G22-E22),4),"——"))</f>
        <v>1.1089</v>
      </c>
      <c r="E22" s="913">
        <f>ROUNDDOWN(G3,1)</f>
        <v>1.9</v>
      </c>
      <c r="F22" s="29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3">
        <f>ROUNDUP(G3,1)</f>
        <v>1.9</v>
      </c>
      <c r="H22" s="2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53" t="s">
        <v>155</v>
      </c>
      <c r="J22" s="938" t="str">
        <f>IF(G3&gt;10,D113,"——")</f>
        <v>——</v>
      </c>
      <c r="K22" s="1377"/>
      <c r="N22" s="2814" t="s">
        <v>2901</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2902</v>
      </c>
      <c r="B23" s="2816" t="s">
        <v>2903</v>
      </c>
      <c r="C23" s="1013">
        <f>ROUND(IF(G3&gt;1,IF(I3&lt;7,SUMPRODUCT((B93:B98=I3)*(C92:N92=G2)*(C93:N98)),SUMIF(C92:N92,G2,C100:N100)),IF(I3&lt;7,SUMPRODUCT((B102:B107=I3)*(C92:N92=G2)*(C102:N107)),SUMIF(C92:N92,G2,C109:N109))),4)</f>
        <v>1.8629</v>
      </c>
      <c r="D23" s="2772"/>
      <c r="E23" s="2772"/>
      <c r="F23" s="2817"/>
      <c r="G23" s="2818"/>
      <c r="H23" s="2819"/>
      <c r="I23" s="2820"/>
      <c r="J23" s="2821"/>
      <c r="K23" s="1370"/>
      <c r="N23" s="2814" t="s">
        <v>2904</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2905</v>
      </c>
      <c r="C24" s="924">
        <f>SUMIF(A45:A88,E2,B45:B88)</f>
        <v>1.0563</v>
      </c>
      <c r="D24" s="2792"/>
      <c r="E24" s="2822"/>
      <c r="F24" s="2822"/>
      <c r="G24" s="2822"/>
      <c r="H24" s="2822"/>
      <c r="I24" s="2822"/>
      <c r="J24" s="2823"/>
      <c r="K24" s="1377"/>
      <c r="N24" s="2824" t="s">
        <v>2906</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2907</v>
      </c>
      <c r="C25" s="930"/>
      <c r="D25" s="2747"/>
      <c r="E25" s="2747"/>
      <c r="F25" s="2826"/>
      <c r="G25" s="2747"/>
      <c r="H25" s="2747"/>
      <c r="I25" s="2747"/>
      <c r="J25" s="2748"/>
      <c r="K25" s="1370"/>
      <c r="N25" s="2827" t="s">
        <v>2908</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2909</v>
      </c>
      <c r="C26" s="206">
        <f ca="1">E29+SUM(E33:E39)</f>
        <v>8839</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2910</v>
      </c>
      <c r="C27" s="931">
        <f ca="1">E30+SUM(I33:I39)</f>
        <v>551</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2911</v>
      </c>
      <c r="C28" s="2839" t="s">
        <v>2912</v>
      </c>
      <c r="D28" s="2839" t="s">
        <v>2913</v>
      </c>
      <c r="E28" s="2840" t="s">
        <v>2914</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2915</v>
      </c>
      <c r="C29" s="206">
        <f ca="1">ROUND(C5*C18*C19*C20*C21*C24,0)</f>
        <v>25641</v>
      </c>
      <c r="D29" s="2844">
        <f>U2</f>
        <v>2587.25</v>
      </c>
      <c r="E29" s="2957">
        <f ca="1">ROUND(C29*D29/10000,0)</f>
        <v>6634</v>
      </c>
      <c r="F29" s="2845" t="s">
        <v>2916</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2917</v>
      </c>
      <c r="C30" s="229">
        <f ca="1">ROUND(IF(E2="工业",C29*M39,C29*M38),0)</f>
        <v>6410</v>
      </c>
      <c r="D30" s="2850"/>
      <c r="E30" s="2957">
        <f ca="1">ROUND(C30*D30/10000,0)</f>
        <v>0</v>
      </c>
      <c r="F30" s="2851" t="s">
        <v>2918</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2919</v>
      </c>
      <c r="C31" s="2856" t="s">
        <v>2920</v>
      </c>
      <c r="D31" s="2760"/>
      <c r="E31" s="2856"/>
      <c r="F31" s="2856"/>
      <c r="G31" s="2758" t="s">
        <v>2921</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2912</v>
      </c>
      <c r="D32" s="498" t="s">
        <v>2913</v>
      </c>
      <c r="E32" s="498" t="s">
        <v>2914</v>
      </c>
      <c r="F32" s="388" t="s">
        <v>2922</v>
      </c>
      <c r="G32" s="2859" t="s">
        <v>2912</v>
      </c>
      <c r="H32" s="2859" t="s">
        <v>2913</v>
      </c>
      <c r="I32" s="285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21" t="s">
        <v>2923</v>
      </c>
      <c r="B33" s="2860" t="s">
        <v>2924</v>
      </c>
      <c r="C33" s="206">
        <f ca="1">ROUND(D5*C19*C20*C24*F33,0)</f>
        <v>8759</v>
      </c>
      <c r="D33" s="2844">
        <f>'数据-基础表'!M13</f>
        <v>2517.69</v>
      </c>
      <c r="E33" s="200">
        <f ca="1">ROUND(C33*D33/10000,0)</f>
        <v>2205</v>
      </c>
      <c r="F33" s="200">
        <f>SUMIF(修正!A45:A56,G2,修正!B45:B56)</f>
        <v>0.7</v>
      </c>
      <c r="G33" s="200">
        <f t="shared" ref="G33:G39" ca="1" si="6">ROUND(IF(E2="工业",C33*$M$39,C33*$M$38),0)</f>
        <v>2190</v>
      </c>
      <c r="H33" s="200">
        <f>D33</f>
        <v>2517.69</v>
      </c>
      <c r="I33" s="200">
        <f ca="1">ROUND(G33*H33/10000,0)</f>
        <v>551</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2"/>
      <c r="B34" s="2764" t="s">
        <v>2925</v>
      </c>
      <c r="C34" s="206">
        <f ca="1">ROUND(D5*C19*C20*C24*F34,0)</f>
        <v>5005</v>
      </c>
      <c r="D34" s="2844"/>
      <c r="E34" s="200">
        <f t="shared" ref="E34:E39" ca="1" si="7">ROUND(C34*D34/10000,0)</f>
        <v>0</v>
      </c>
      <c r="F34" s="200">
        <f>SUMIF(修正!A45:A56,G2,修正!C45:C56)</f>
        <v>0.4</v>
      </c>
      <c r="G34" s="200">
        <f t="shared" ca="1" si="6"/>
        <v>1251</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2"/>
      <c r="B35" s="2764" t="s">
        <v>2926</v>
      </c>
      <c r="C35" s="206">
        <f ca="1">ROUND(D5*C19*C20*C24*F35,0)</f>
        <v>3504</v>
      </c>
      <c r="D35" s="2844"/>
      <c r="E35" s="200">
        <f t="shared" ca="1" si="7"/>
        <v>0</v>
      </c>
      <c r="F35" s="200">
        <f>SUMIF(修正!A45:A56,G2,修正!D45:D56)</f>
        <v>0.28000000000000003</v>
      </c>
      <c r="G35" s="200">
        <f t="shared" ca="1" si="6"/>
        <v>876</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23"/>
      <c r="B36" s="2764" t="s">
        <v>2927</v>
      </c>
      <c r="C36" s="206">
        <f ca="1">ROUND(D5*C19*C20*C24*F36,0)</f>
        <v>3128</v>
      </c>
      <c r="D36" s="2844"/>
      <c r="E36" s="200">
        <f t="shared" ca="1" si="7"/>
        <v>0</v>
      </c>
      <c r="F36" s="200">
        <f>SUMIF(修正!A45:A56,G2,修正!E45:E56)</f>
        <v>0.25</v>
      </c>
      <c r="G36" s="200">
        <f t="shared" ca="1" si="6"/>
        <v>782</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2928</v>
      </c>
      <c r="C37" s="200">
        <f ca="1">ROUND(C5*C19*C20*C24*F37,0)</f>
        <v>3128</v>
      </c>
      <c r="D37" s="2844"/>
      <c r="E37" s="200">
        <f t="shared" ca="1" si="7"/>
        <v>0</v>
      </c>
      <c r="F37" s="206">
        <f>SUMIF(修正!A45:A56,G2,修正!F45:F56)</f>
        <v>0.25</v>
      </c>
      <c r="G37" s="200">
        <f t="shared" ca="1" si="6"/>
        <v>782</v>
      </c>
      <c r="H37" s="200">
        <f t="shared" si="8"/>
        <v>0</v>
      </c>
      <c r="I37" s="200">
        <f t="shared" ca="1" si="9"/>
        <v>0</v>
      </c>
      <c r="J37" s="2861"/>
      <c r="K37" s="1370"/>
      <c r="L37" s="2863" t="s">
        <v>2929</v>
      </c>
      <c r="M37" s="2864"/>
      <c r="N37" s="1370"/>
      <c r="O37" s="1370"/>
      <c r="P37" s="1370"/>
      <c r="Q37" s="1370"/>
      <c r="R37" s="1370"/>
      <c r="S37" s="1370"/>
      <c r="T37" s="1370"/>
      <c r="U37" s="1370"/>
      <c r="V37" s="1370"/>
      <c r="W37" s="1370"/>
      <c r="X37" s="1370"/>
      <c r="Y37" s="1370"/>
      <c r="Z37" s="1371"/>
    </row>
    <row r="38" spans="1:37">
      <c r="A38" s="2862"/>
      <c r="B38" s="2764" t="s">
        <v>2930</v>
      </c>
      <c r="C38" s="200">
        <f ca="1">ROUND(C5*C19*C20*C24*F38,0)</f>
        <v>3128</v>
      </c>
      <c r="D38" s="2844"/>
      <c r="E38" s="200">
        <f t="shared" ca="1" si="7"/>
        <v>0</v>
      </c>
      <c r="F38" s="206">
        <f>SUMIF(修正!A45:A56,G2,修正!G45:G56)</f>
        <v>0.25</v>
      </c>
      <c r="G38" s="200">
        <f t="shared" ca="1" si="6"/>
        <v>782</v>
      </c>
      <c r="H38" s="200">
        <f t="shared" si="8"/>
        <v>0</v>
      </c>
      <c r="I38" s="200">
        <f t="shared" ca="1" si="9"/>
        <v>0</v>
      </c>
      <c r="J38" s="2861"/>
      <c r="K38" s="1370"/>
      <c r="L38" s="1887" t="s">
        <v>2931</v>
      </c>
      <c r="M38" s="2865">
        <v>0.25</v>
      </c>
      <c r="N38" s="1370"/>
      <c r="O38" s="1370"/>
      <c r="P38" s="1370"/>
      <c r="Q38" s="1370"/>
      <c r="R38" s="1370"/>
      <c r="S38" s="1370"/>
      <c r="T38" s="1370"/>
      <c r="U38" s="1370"/>
      <c r="V38" s="1370"/>
      <c r="W38" s="1370"/>
      <c r="X38" s="1370"/>
      <c r="Y38" s="1370"/>
      <c r="Z38" s="1371"/>
    </row>
    <row r="39" spans="1:37" ht="13.5" thickBot="1">
      <c r="A39" s="2848"/>
      <c r="B39" s="2866" t="s">
        <v>2932</v>
      </c>
      <c r="C39" s="229">
        <f ca="1">ROUND(C5*C19*C20*C24*F39,0)</f>
        <v>2503</v>
      </c>
      <c r="D39" s="2850"/>
      <c r="E39" s="229">
        <f t="shared" ca="1" si="7"/>
        <v>0</v>
      </c>
      <c r="F39" s="932">
        <f>SUMIF(修正!A45:A56,G2,修正!H45:H56)</f>
        <v>0.2</v>
      </c>
      <c r="G39" s="229">
        <f t="shared" ca="1" si="6"/>
        <v>626</v>
      </c>
      <c r="H39" s="229">
        <f t="shared" si="8"/>
        <v>0</v>
      </c>
      <c r="I39" s="229">
        <f t="shared" ca="1" si="9"/>
        <v>0</v>
      </c>
      <c r="J39" s="2867"/>
      <c r="K39" s="1370"/>
      <c r="L39" s="2868" t="s">
        <v>2874</v>
      </c>
      <c r="M39" s="2869">
        <v>0.15</v>
      </c>
      <c r="N39" s="1370"/>
      <c r="O39" s="1370"/>
      <c r="P39" s="1370"/>
      <c r="Q39" s="1370"/>
      <c r="R39" s="1370"/>
      <c r="S39" s="1370"/>
      <c r="T39" s="1370"/>
      <c r="U39" s="1370"/>
      <c r="V39" s="1370"/>
      <c r="W39" s="1370"/>
      <c r="X39" s="1370"/>
      <c r="Y39" s="1370"/>
      <c r="Z39" s="1371"/>
    </row>
    <row r="40" spans="1:37" s="1370" customFormat="1">
      <c r="B40" s="3008" t="s">
        <v>3166</v>
      </c>
      <c r="C40" s="3009">
        <f ca="1">T3</f>
        <v>18406</v>
      </c>
      <c r="D40" s="3009">
        <f>U3</f>
        <v>1705.36</v>
      </c>
      <c r="E40" s="3009">
        <f ca="1">ROUND(C40*D40/10000,0)</f>
        <v>3139</v>
      </c>
      <c r="Z40" s="1371"/>
      <c r="AA40" s="1371"/>
      <c r="AB40" s="1371"/>
      <c r="AC40" s="1371"/>
      <c r="AD40" s="1371"/>
      <c r="AE40" s="1371"/>
      <c r="AF40" s="1371"/>
      <c r="AG40" s="1371"/>
      <c r="AH40" s="1371"/>
      <c r="AI40" s="1371"/>
      <c r="AJ40" s="1371"/>
    </row>
    <row r="41" spans="1:37" s="1370" customFormat="1">
      <c r="A41" s="1371"/>
      <c r="B41" s="3010" t="s">
        <v>3167</v>
      </c>
      <c r="C41" s="3009"/>
      <c r="D41" s="3009"/>
      <c r="E41" s="3009">
        <f ca="1">E29+E33+E40</f>
        <v>11978</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2933</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2934</v>
      </c>
      <c r="B46" s="2874">
        <f>1+E48</f>
        <v>1.0563</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2935</v>
      </c>
      <c r="B47" s="2945" t="s">
        <v>2936</v>
      </c>
      <c r="C47" s="2945" t="s">
        <v>2937</v>
      </c>
      <c r="D47" s="2945" t="s">
        <v>2938</v>
      </c>
      <c r="E47" s="816" t="s">
        <v>2939</v>
      </c>
      <c r="F47" s="2878" t="s">
        <v>2940</v>
      </c>
      <c r="G47" s="2945" t="s">
        <v>754</v>
      </c>
      <c r="H47" s="2879" t="s">
        <v>2941</v>
      </c>
      <c r="I47" s="2945"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77" t="s">
        <v>2943</v>
      </c>
      <c r="B48" s="2880" t="str">
        <f>估价对象房地状况!C4</f>
        <v>估价对象位于XX商圈，周边商业氛围成熟，人流量大，商业繁华度好</v>
      </c>
      <c r="C48" s="2769" t="s">
        <v>3168</v>
      </c>
      <c r="D48" s="1286">
        <f t="shared" ref="D48:D56" si="10">SUMIF($J$47:$N$47,C48,J48:N48)</f>
        <v>2.1399999999999999E-2</v>
      </c>
      <c r="E48" s="818">
        <f>ROUND(SUM(D48:D56),4)</f>
        <v>5.6300000000000003E-2</v>
      </c>
      <c r="F48" s="2500">
        <f>IF(E2="商业",SUMIF(L1:L12,G2,N1:N12),"——")</f>
        <v>0.13</v>
      </c>
      <c r="G48" s="1284">
        <f>H48</f>
        <v>2.1399999999999999E-2</v>
      </c>
      <c r="H48" s="1288">
        <f t="shared" ref="H48:H56" si="11">IFERROR(ROUNDDOWN($F$48*I48/2,4),"——")</f>
        <v>2.1399999999999999E-2</v>
      </c>
      <c r="I48" s="817">
        <v>0.33</v>
      </c>
      <c r="J48" s="1285">
        <f t="shared" ref="J48:J56" si="12">K48+$G48</f>
        <v>4.2799999999999998E-2</v>
      </c>
      <c r="K48" s="1285">
        <f t="shared" ref="K48:K56" si="13">$L48+$G48</f>
        <v>2.1399999999999999E-2</v>
      </c>
      <c r="L48" s="1285">
        <v>0</v>
      </c>
      <c r="M48" s="1285">
        <f t="shared" ref="M48:N56" si="14">L48-$G48</f>
        <v>-2.1399999999999999E-2</v>
      </c>
      <c r="N48" s="1285">
        <f t="shared" si="14"/>
        <v>-4.2799999999999998E-2</v>
      </c>
      <c r="AA48" s="1371"/>
      <c r="AB48" s="1371"/>
      <c r="AC48" s="1371"/>
      <c r="AD48" s="1371"/>
      <c r="AE48" s="1371"/>
      <c r="AF48" s="1371"/>
      <c r="AG48" s="1371"/>
      <c r="AH48" s="1371"/>
      <c r="AI48" s="1371"/>
      <c r="AJ48" s="1371"/>
      <c r="AK48" s="1371"/>
    </row>
    <row r="49" spans="1:37" s="1370" customFormat="1" ht="51">
      <c r="A49" s="2877" t="s">
        <v>2944</v>
      </c>
      <c r="B49" s="2881" t="str">
        <f>估价对象房地状况!C18</f>
        <v>估价对象周边道路状况、公共交通通达情况、停车便捷程度，综合评价交通便捷度较好</v>
      </c>
      <c r="C49" s="2769" t="s">
        <v>3168</v>
      </c>
      <c r="D49" s="1286">
        <f t="shared" si="10"/>
        <v>1.6199999999999999E-2</v>
      </c>
      <c r="E49" s="819"/>
      <c r="F49" s="2500"/>
      <c r="G49" s="1284">
        <f t="shared" ref="G49:G56" si="15">H49</f>
        <v>1.6199999999999999E-2</v>
      </c>
      <c r="H49" s="1288">
        <f t="shared" si="11"/>
        <v>1.6199999999999999E-2</v>
      </c>
      <c r="I49" s="817">
        <v>0.25</v>
      </c>
      <c r="J49" s="1285">
        <f t="shared" si="12"/>
        <v>3.2399999999999998E-2</v>
      </c>
      <c r="K49" s="1285">
        <f t="shared" si="13"/>
        <v>1.6199999999999999E-2</v>
      </c>
      <c r="L49" s="1285">
        <v>0</v>
      </c>
      <c r="M49" s="1285">
        <f t="shared" si="14"/>
        <v>-1.6199999999999999E-2</v>
      </c>
      <c r="N49" s="1285">
        <f t="shared" si="14"/>
        <v>-3.2399999999999998E-2</v>
      </c>
      <c r="AA49" s="1371"/>
      <c r="AB49" s="1371"/>
      <c r="AC49" s="1371"/>
      <c r="AD49" s="1371"/>
      <c r="AE49" s="1371"/>
      <c r="AF49" s="1371"/>
      <c r="AG49" s="1371"/>
      <c r="AH49" s="1371"/>
      <c r="AI49" s="1371"/>
      <c r="AJ49" s="1371"/>
      <c r="AK49" s="1371"/>
    </row>
    <row r="50" spans="1:37" s="1370" customFormat="1" ht="24">
      <c r="A50" s="2877" t="s">
        <v>2945</v>
      </c>
      <c r="B50" s="2881">
        <f>估价对象房地状况!C19</f>
        <v>0</v>
      </c>
      <c r="C50" s="2769" t="s">
        <v>3168</v>
      </c>
      <c r="D50" s="1286">
        <f t="shared" si="10"/>
        <v>3.2000000000000002E-3</v>
      </c>
      <c r="E50" s="819"/>
      <c r="F50" s="2500"/>
      <c r="G50" s="1284">
        <f t="shared" si="15"/>
        <v>3.2000000000000002E-3</v>
      </c>
      <c r="H50" s="1288">
        <f t="shared" si="11"/>
        <v>3.2000000000000002E-3</v>
      </c>
      <c r="I50" s="817">
        <v>0.05</v>
      </c>
      <c r="J50" s="1285">
        <f t="shared" si="12"/>
        <v>6.4000000000000003E-3</v>
      </c>
      <c r="K50" s="1285">
        <f t="shared" si="13"/>
        <v>3.2000000000000002E-3</v>
      </c>
      <c r="L50" s="1285">
        <v>0</v>
      </c>
      <c r="M50" s="1285">
        <f t="shared" si="14"/>
        <v>-3.2000000000000002E-3</v>
      </c>
      <c r="N50" s="1285">
        <f t="shared" si="14"/>
        <v>-6.4000000000000003E-3</v>
      </c>
      <c r="AA50" s="1371"/>
      <c r="AB50" s="1371"/>
      <c r="AC50" s="1371"/>
      <c r="AD50" s="1371"/>
      <c r="AE50" s="1371"/>
      <c r="AF50" s="1371"/>
      <c r="AG50" s="1371"/>
      <c r="AH50" s="1371"/>
      <c r="AI50" s="1371"/>
      <c r="AJ50" s="1371"/>
      <c r="AK50" s="1371"/>
    </row>
    <row r="51" spans="1:37" s="1370" customFormat="1" ht="36.75">
      <c r="A51" s="2877" t="s">
        <v>2946</v>
      </c>
      <c r="B51" s="2882" t="s">
        <v>2947</v>
      </c>
      <c r="C51" s="2769" t="s">
        <v>3169</v>
      </c>
      <c r="D51" s="1286">
        <f t="shared" si="10"/>
        <v>0</v>
      </c>
      <c r="E51" s="819"/>
      <c r="F51" s="2500"/>
      <c r="G51" s="1284">
        <f t="shared" si="15"/>
        <v>3.2000000000000002E-3</v>
      </c>
      <c r="H51" s="1288">
        <f t="shared" si="11"/>
        <v>3.2000000000000002E-3</v>
      </c>
      <c r="I51" s="817">
        <v>0.05</v>
      </c>
      <c r="J51" s="1285">
        <f t="shared" si="12"/>
        <v>6.4000000000000003E-3</v>
      </c>
      <c r="K51" s="1285">
        <f t="shared" si="13"/>
        <v>3.2000000000000002E-3</v>
      </c>
      <c r="L51" s="1285">
        <v>0</v>
      </c>
      <c r="M51" s="1285">
        <f t="shared" si="14"/>
        <v>-3.2000000000000002E-3</v>
      </c>
      <c r="N51" s="1285">
        <f t="shared" si="14"/>
        <v>-6.4000000000000003E-3</v>
      </c>
      <c r="AA51" s="1371"/>
      <c r="AB51" s="1371"/>
      <c r="AC51" s="1371"/>
      <c r="AD51" s="1371"/>
      <c r="AE51" s="1371"/>
      <c r="AF51" s="1371"/>
      <c r="AG51" s="1371"/>
      <c r="AH51" s="1371"/>
      <c r="AI51" s="1371"/>
      <c r="AJ51" s="1371"/>
      <c r="AK51" s="1371"/>
    </row>
    <row r="52" spans="1:37" s="1370" customFormat="1" ht="24">
      <c r="A52" s="2877" t="s">
        <v>2948</v>
      </c>
      <c r="B52" s="2881">
        <f>估价对象房地状况!C24</f>
        <v>0</v>
      </c>
      <c r="C52" s="2769" t="s">
        <v>3169</v>
      </c>
      <c r="D52" s="1286">
        <f t="shared" si="10"/>
        <v>0</v>
      </c>
      <c r="E52" s="819"/>
      <c r="F52" s="2500"/>
      <c r="G52" s="1284">
        <f t="shared" si="15"/>
        <v>5.1999999999999998E-3</v>
      </c>
      <c r="H52" s="1288">
        <f t="shared" si="11"/>
        <v>5.1999999999999998E-3</v>
      </c>
      <c r="I52" s="817">
        <v>0.08</v>
      </c>
      <c r="J52" s="1285">
        <f t="shared" si="12"/>
        <v>1.04E-2</v>
      </c>
      <c r="K52" s="1285">
        <f t="shared" si="13"/>
        <v>5.1999999999999998E-3</v>
      </c>
      <c r="L52" s="1285">
        <v>0</v>
      </c>
      <c r="M52" s="1285">
        <f t="shared" si="14"/>
        <v>-5.1999999999999998E-3</v>
      </c>
      <c r="N52" s="1285">
        <f t="shared" si="14"/>
        <v>-1.04E-2</v>
      </c>
      <c r="AA52" s="1371"/>
      <c r="AB52" s="1371"/>
      <c r="AC52" s="1371"/>
      <c r="AD52" s="1371"/>
      <c r="AE52" s="1371"/>
      <c r="AF52" s="1371"/>
      <c r="AG52" s="1371"/>
      <c r="AH52" s="1371"/>
      <c r="AI52" s="1371"/>
      <c r="AJ52" s="1371"/>
      <c r="AK52" s="1371"/>
    </row>
    <row r="53" spans="1:37" s="1370" customFormat="1" ht="24">
      <c r="A53" s="2877" t="s">
        <v>2949</v>
      </c>
      <c r="B53" s="2883" t="s">
        <v>2950</v>
      </c>
      <c r="C53" s="2769" t="s">
        <v>3168</v>
      </c>
      <c r="D53" s="1286">
        <f t="shared" si="10"/>
        <v>1.9E-3</v>
      </c>
      <c r="E53" s="819"/>
      <c r="F53" s="2500"/>
      <c r="G53" s="1284">
        <f t="shared" si="15"/>
        <v>1.9E-3</v>
      </c>
      <c r="H53" s="1288">
        <f t="shared" si="11"/>
        <v>1.9E-3</v>
      </c>
      <c r="I53" s="817">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5.5">
      <c r="A54" s="2884" t="s">
        <v>2951</v>
      </c>
      <c r="B54" s="1725" t="str">
        <f>估价对象房地状况!C21</f>
        <v>估价对象所在区域公共配套设施齐备情况</v>
      </c>
      <c r="C54" s="2769" t="s">
        <v>3168</v>
      </c>
      <c r="D54" s="1286">
        <f t="shared" si="10"/>
        <v>3.2000000000000002E-3</v>
      </c>
      <c r="E54" s="819"/>
      <c r="F54" s="2500"/>
      <c r="G54" s="1284">
        <f t="shared" si="15"/>
        <v>3.2000000000000002E-3</v>
      </c>
      <c r="H54" s="1288">
        <f t="shared" si="11"/>
        <v>3.2000000000000002E-3</v>
      </c>
      <c r="I54" s="817">
        <v>0.05</v>
      </c>
      <c r="J54" s="1285">
        <f t="shared" si="12"/>
        <v>6.4000000000000003E-3</v>
      </c>
      <c r="K54" s="1285">
        <f t="shared" si="13"/>
        <v>3.2000000000000002E-3</v>
      </c>
      <c r="L54" s="1285">
        <v>0</v>
      </c>
      <c r="M54" s="1285">
        <f t="shared" si="14"/>
        <v>-3.2000000000000002E-3</v>
      </c>
      <c r="N54" s="1285">
        <f t="shared" si="14"/>
        <v>-6.4000000000000003E-3</v>
      </c>
      <c r="AA54" s="1371"/>
      <c r="AB54" s="1371"/>
      <c r="AC54" s="1371"/>
      <c r="AD54" s="1371"/>
      <c r="AE54" s="1371"/>
      <c r="AF54" s="1371"/>
      <c r="AG54" s="1371"/>
      <c r="AH54" s="1371"/>
      <c r="AI54" s="1371"/>
      <c r="AJ54" s="1371"/>
      <c r="AK54" s="1371"/>
    </row>
    <row r="55" spans="1:37" s="1370" customFormat="1" ht="25.5">
      <c r="A55" s="2884" t="s">
        <v>2952</v>
      </c>
      <c r="B55" s="2881" t="str">
        <f>估价对象房地状况!C22</f>
        <v>估价对象所在区域基础设施水平</v>
      </c>
      <c r="C55" s="2769" t="s">
        <v>3168</v>
      </c>
      <c r="D55" s="1286">
        <f t="shared" si="10"/>
        <v>6.4999999999999997E-3</v>
      </c>
      <c r="E55" s="819"/>
      <c r="F55" s="2500"/>
      <c r="G55" s="1284">
        <f t="shared" si="15"/>
        <v>6.4999999999999997E-3</v>
      </c>
      <c r="H55" s="1288">
        <f t="shared" si="11"/>
        <v>6.4999999999999997E-3</v>
      </c>
      <c r="I55" s="817">
        <v>0.1</v>
      </c>
      <c r="J55" s="1285">
        <f t="shared" si="12"/>
        <v>1.2999999999999999E-2</v>
      </c>
      <c r="K55" s="1285">
        <f t="shared" si="13"/>
        <v>6.4999999999999997E-3</v>
      </c>
      <c r="L55" s="1285">
        <v>0</v>
      </c>
      <c r="M55" s="1285">
        <f t="shared" si="14"/>
        <v>-6.4999999999999997E-3</v>
      </c>
      <c r="N55" s="1285">
        <f t="shared" si="14"/>
        <v>-1.2999999999999999E-2</v>
      </c>
      <c r="AA55" s="1371"/>
      <c r="AB55" s="1371"/>
      <c r="AC55" s="1371"/>
      <c r="AD55" s="1371"/>
      <c r="AE55" s="1371"/>
      <c r="AF55" s="1371"/>
      <c r="AG55" s="1371"/>
      <c r="AH55" s="1371"/>
      <c r="AI55" s="1371"/>
      <c r="AJ55" s="1371"/>
      <c r="AK55" s="1371"/>
    </row>
    <row r="56" spans="1:37" s="1370" customFormat="1" ht="39" thickBot="1">
      <c r="A56" s="2885" t="s">
        <v>2953</v>
      </c>
      <c r="B56" s="2886" t="str">
        <f>估价对象房地状况!C20</f>
        <v>区域自然环境：；人文环境；综合评价环境状况一般</v>
      </c>
      <c r="C56" s="2769" t="s">
        <v>3168</v>
      </c>
      <c r="D56" s="1286">
        <f t="shared" si="10"/>
        <v>3.8999999999999998E-3</v>
      </c>
      <c r="E56" s="822"/>
      <c r="F56" s="2500"/>
      <c r="G56" s="1284">
        <f t="shared" si="15"/>
        <v>3.8999999999999998E-3</v>
      </c>
      <c r="H56" s="1288">
        <f t="shared" si="11"/>
        <v>3.8999999999999998E-3</v>
      </c>
      <c r="I56" s="821">
        <v>0.06</v>
      </c>
      <c r="J56" s="1285">
        <f t="shared" si="12"/>
        <v>7.7999999999999996E-3</v>
      </c>
      <c r="K56" s="1285">
        <f t="shared" si="13"/>
        <v>3.8999999999999998E-3</v>
      </c>
      <c r="L56" s="1285">
        <v>0</v>
      </c>
      <c r="M56" s="1285">
        <f t="shared" si="14"/>
        <v>-3.8999999999999998E-3</v>
      </c>
      <c r="N56" s="1285">
        <f t="shared" si="14"/>
        <v>-7.7999999999999996E-3</v>
      </c>
      <c r="AA56" s="1371"/>
      <c r="AB56" s="1371"/>
      <c r="AC56" s="1371"/>
      <c r="AD56" s="1371"/>
      <c r="AE56" s="1371"/>
      <c r="AF56" s="1371"/>
      <c r="AG56" s="1371"/>
      <c r="AH56" s="1371"/>
      <c r="AI56" s="1371"/>
      <c r="AJ56" s="1371"/>
      <c r="AK56" s="1371"/>
    </row>
    <row r="57" spans="1:37" s="1370" customFormat="1" ht="15">
      <c r="A57" s="2873" t="s">
        <v>2954</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2935</v>
      </c>
      <c r="B58" s="2945"/>
      <c r="C58" s="2945" t="s">
        <v>2937</v>
      </c>
      <c r="D58" s="2945" t="s">
        <v>2938</v>
      </c>
      <c r="E58" s="816" t="s">
        <v>2939</v>
      </c>
      <c r="F58" s="2878" t="s">
        <v>2955</v>
      </c>
      <c r="G58" s="2945" t="s">
        <v>754</v>
      </c>
      <c r="H58" s="2879" t="s">
        <v>2941</v>
      </c>
      <c r="I58" s="2945"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77" t="s">
        <v>2956</v>
      </c>
      <c r="B59" s="2880" t="str">
        <f>估价对象房地状况!C17</f>
        <v>估价对象位于XX商圈，周边办公楼项目较多，入驻率高，办公集聚程度较好</v>
      </c>
      <c r="C59" s="2769"/>
      <c r="D59" s="1286">
        <f t="shared" ref="D59:D67" si="16">SUMIF($J$58:$N$58,C59,J59:N59)</f>
        <v>0</v>
      </c>
      <c r="E59" s="818">
        <f>ROUND(SUM(D59:D67),4)</f>
        <v>0</v>
      </c>
      <c r="F59" s="2500"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7" t="s">
        <v>2944</v>
      </c>
      <c r="B60" s="2881" t="str">
        <f>估价对象房地状况!C18</f>
        <v>估价对象周边道路状况、公共交通通达情况、停车便捷程度，综合评价交通便捷度较好</v>
      </c>
      <c r="C60" s="2769"/>
      <c r="D60" s="1286">
        <f t="shared" si="16"/>
        <v>0</v>
      </c>
      <c r="E60" s="819"/>
      <c r="F60" s="2500"/>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7" t="s">
        <v>2945</v>
      </c>
      <c r="B61" s="2881">
        <f>估价对象房地状况!C19</f>
        <v>0</v>
      </c>
      <c r="C61" s="2769"/>
      <c r="D61" s="1286">
        <f t="shared" si="16"/>
        <v>0</v>
      </c>
      <c r="E61" s="819"/>
      <c r="F61" s="2500"/>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7" t="s">
        <v>2946</v>
      </c>
      <c r="B62" s="2882" t="s">
        <v>2947</v>
      </c>
      <c r="C62" s="2769"/>
      <c r="D62" s="1286">
        <f t="shared" si="16"/>
        <v>0</v>
      </c>
      <c r="E62" s="819"/>
      <c r="F62" s="2500"/>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7" t="s">
        <v>2948</v>
      </c>
      <c r="B63" s="2881">
        <f>估价对象房地状况!C24</f>
        <v>0</v>
      </c>
      <c r="C63" s="2769"/>
      <c r="D63" s="1286">
        <f t="shared" si="16"/>
        <v>0</v>
      </c>
      <c r="E63" s="819"/>
      <c r="F63" s="2500"/>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7" t="s">
        <v>2949</v>
      </c>
      <c r="B64" s="2883" t="s">
        <v>2950</v>
      </c>
      <c r="C64" s="2769"/>
      <c r="D64" s="1286">
        <f t="shared" si="16"/>
        <v>0</v>
      </c>
      <c r="E64" s="819"/>
      <c r="F64" s="2500"/>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7" t="s">
        <v>2951</v>
      </c>
      <c r="B65" s="1725" t="str">
        <f>估价对象房地状况!C21</f>
        <v>估价对象所在区域公共配套设施齐备情况</v>
      </c>
      <c r="C65" s="2769"/>
      <c r="D65" s="1286">
        <f t="shared" si="16"/>
        <v>0</v>
      </c>
      <c r="E65" s="819"/>
      <c r="F65" s="2500"/>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7" t="s">
        <v>2952</v>
      </c>
      <c r="B66" s="1725" t="str">
        <f>估价对象房地状况!C22</f>
        <v>估价对象所在区域基础设施水平</v>
      </c>
      <c r="C66" s="2769"/>
      <c r="D66" s="1286">
        <f t="shared" si="16"/>
        <v>0</v>
      </c>
      <c r="E66" s="819"/>
      <c r="F66" s="2500"/>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5" t="s">
        <v>2953</v>
      </c>
      <c r="B67" s="2887" t="str">
        <f>估价对象房地状况!C20</f>
        <v>区域自然环境：；人文环境；综合评价环境状况一般</v>
      </c>
      <c r="C67" s="2769"/>
      <c r="D67" s="1286">
        <f t="shared" si="16"/>
        <v>0</v>
      </c>
      <c r="E67" s="822"/>
      <c r="F67" s="2500"/>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3" t="s">
        <v>2957</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2935</v>
      </c>
      <c r="B69" s="2945"/>
      <c r="C69" s="2945" t="s">
        <v>2937</v>
      </c>
      <c r="D69" s="2945" t="s">
        <v>2938</v>
      </c>
      <c r="E69" s="816" t="s">
        <v>2939</v>
      </c>
      <c r="F69" s="2878" t="s">
        <v>2955</v>
      </c>
      <c r="G69" s="2945" t="s">
        <v>754</v>
      </c>
      <c r="H69" s="2879" t="s">
        <v>2941</v>
      </c>
      <c r="I69" s="2945"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77" t="s">
        <v>2958</v>
      </c>
      <c r="B70" s="2880" t="str">
        <f>估价对象房地状况!C15</f>
        <v>估价对象周边居住用地比例、居住小区规模和社区发展完善程度，综合评价居住社区成熟度一般</v>
      </c>
      <c r="C70" s="2769"/>
      <c r="D70" s="1286">
        <f t="shared" ref="D70:D78" si="21">SUMIF($J$69:$N$69,C70,J70:N70)</f>
        <v>0</v>
      </c>
      <c r="E70" s="818">
        <f>ROUND(SUM(D70:D78),4)</f>
        <v>0</v>
      </c>
      <c r="F70" s="2500"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7" t="s">
        <v>2944</v>
      </c>
      <c r="B71" s="2881" t="str">
        <f>估价对象房地状况!C18</f>
        <v>估价对象周边道路状况、公共交通通达情况、停车便捷程度，综合评价交通便捷度较好</v>
      </c>
      <c r="C71" s="2769"/>
      <c r="D71" s="1286">
        <f t="shared" si="21"/>
        <v>0</v>
      </c>
      <c r="E71" s="823"/>
      <c r="F71" s="2500"/>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7" t="s">
        <v>2945</v>
      </c>
      <c r="B72" s="2881">
        <f>估价对象房地状况!C19</f>
        <v>0</v>
      </c>
      <c r="C72" s="2769"/>
      <c r="D72" s="1286">
        <f t="shared" si="21"/>
        <v>0</v>
      </c>
      <c r="E72" s="823"/>
      <c r="F72" s="2500"/>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7" t="s">
        <v>2959</v>
      </c>
      <c r="B73" s="2881">
        <f>估价对象房地状况!C24</f>
        <v>0</v>
      </c>
      <c r="C73" s="2769"/>
      <c r="D73" s="1286">
        <f t="shared" si="21"/>
        <v>0</v>
      </c>
      <c r="E73" s="823"/>
      <c r="F73" s="2500"/>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7" t="s">
        <v>2951</v>
      </c>
      <c r="B74" s="1725" t="str">
        <f>估价对象房地状况!C21</f>
        <v>估价对象所在区域公共配套设施齐备情况</v>
      </c>
      <c r="C74" s="2769"/>
      <c r="D74" s="1286">
        <f t="shared" si="21"/>
        <v>0</v>
      </c>
      <c r="E74" s="823"/>
      <c r="F74" s="2500"/>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7" t="s">
        <v>2952</v>
      </c>
      <c r="B75" s="1725" t="str">
        <f>估价对象房地状况!C22</f>
        <v>估价对象所在区域基础设施水平</v>
      </c>
      <c r="C75" s="2769"/>
      <c r="D75" s="1286">
        <f t="shared" si="21"/>
        <v>0</v>
      </c>
      <c r="E75" s="823"/>
      <c r="F75" s="2500"/>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77" t="s">
        <v>2949</v>
      </c>
      <c r="B76" s="2883" t="s">
        <v>2950</v>
      </c>
      <c r="C76" s="2769"/>
      <c r="D76" s="1286">
        <f t="shared" si="21"/>
        <v>0</v>
      </c>
      <c r="E76" s="823"/>
      <c r="F76" s="2500"/>
      <c r="G76" s="1284"/>
      <c r="H76" s="1288" t="str">
        <f t="shared" si="22"/>
        <v>——</v>
      </c>
      <c r="I76" s="817">
        <v>0.05</v>
      </c>
      <c r="J76" s="1285">
        <f t="shared" si="23"/>
        <v>0</v>
      </c>
      <c r="K76" s="1285">
        <f t="shared" si="24"/>
        <v>0</v>
      </c>
      <c r="L76" s="1285">
        <v>0</v>
      </c>
      <c r="M76" s="1285">
        <f t="shared" si="25"/>
        <v>0</v>
      </c>
      <c r="N76" s="1285">
        <f t="shared" si="25"/>
        <v>0</v>
      </c>
      <c r="AA76" s="2888"/>
      <c r="AB76" s="1371"/>
      <c r="AC76" s="1371"/>
      <c r="AD76" s="1371"/>
      <c r="AE76" s="1371"/>
      <c r="AF76" s="1371"/>
      <c r="AG76" s="1371"/>
      <c r="AH76" s="2888"/>
      <c r="AI76" s="2888"/>
      <c r="AJ76" s="2888"/>
      <c r="AK76" s="2888"/>
    </row>
    <row r="77" spans="1:37" ht="38.25">
      <c r="A77" s="2877" t="s">
        <v>2953</v>
      </c>
      <c r="B77" s="2880" t="str">
        <f>估价对象房地状况!C20</f>
        <v>区域自然环境：；人文环境；综合评价环境状况一般</v>
      </c>
      <c r="C77" s="2769"/>
      <c r="D77" s="1286">
        <f t="shared" si="21"/>
        <v>0</v>
      </c>
      <c r="E77" s="823"/>
      <c r="F77" s="2500"/>
      <c r="G77" s="1284"/>
      <c r="H77" s="1288" t="str">
        <f t="shared" si="22"/>
        <v>——</v>
      </c>
      <c r="I77" s="817">
        <v>0.15</v>
      </c>
      <c r="J77" s="1285">
        <f t="shared" si="23"/>
        <v>0</v>
      </c>
      <c r="K77" s="1285">
        <f t="shared" si="24"/>
        <v>0</v>
      </c>
      <c r="L77" s="1285">
        <v>0</v>
      </c>
      <c r="M77" s="1285">
        <f t="shared" si="25"/>
        <v>0</v>
      </c>
      <c r="N77" s="1285">
        <f t="shared" si="25"/>
        <v>0</v>
      </c>
      <c r="Z77" s="2719"/>
      <c r="AA77" s="2795"/>
      <c r="AG77" s="1372"/>
      <c r="AK77" s="2795"/>
    </row>
    <row r="78" spans="1:37" ht="24.75" thickBot="1">
      <c r="A78" s="2885" t="s">
        <v>2960</v>
      </c>
      <c r="B78" s="2889"/>
      <c r="C78" s="2769"/>
      <c r="D78" s="1286">
        <f t="shared" si="21"/>
        <v>0</v>
      </c>
      <c r="E78" s="824"/>
      <c r="F78" s="2500"/>
      <c r="G78" s="1284"/>
      <c r="H78" s="1288" t="str">
        <f t="shared" si="22"/>
        <v>——</v>
      </c>
      <c r="I78" s="821">
        <v>0.04</v>
      </c>
      <c r="J78" s="1285">
        <f t="shared" si="23"/>
        <v>0</v>
      </c>
      <c r="K78" s="1285">
        <f t="shared" si="24"/>
        <v>0</v>
      </c>
      <c r="L78" s="1285">
        <v>0</v>
      </c>
      <c r="M78" s="1285">
        <f t="shared" si="25"/>
        <v>0</v>
      </c>
      <c r="N78" s="1285">
        <f t="shared" si="25"/>
        <v>0</v>
      </c>
      <c r="Z78" s="2719"/>
      <c r="AA78" s="2795"/>
      <c r="AG78" s="1372"/>
      <c r="AK78" s="2795"/>
    </row>
    <row r="79" spans="1:37" ht="15">
      <c r="A79" s="2873" t="s">
        <v>2961</v>
      </c>
      <c r="B79" s="2874">
        <f>1+E81</f>
        <v>1</v>
      </c>
      <c r="C79" s="811"/>
      <c r="D79" s="811"/>
      <c r="E79" s="812"/>
      <c r="F79" s="2876"/>
      <c r="G79" s="6"/>
      <c r="H79" s="6"/>
      <c r="I79" s="6"/>
      <c r="J79" s="7"/>
      <c r="K79" s="7"/>
      <c r="L79" s="7"/>
      <c r="M79" s="7"/>
      <c r="N79" s="7"/>
      <c r="Z79" s="2719"/>
      <c r="AA79" s="2795"/>
      <c r="AG79" s="1372"/>
      <c r="AK79" s="2795"/>
    </row>
    <row r="80" spans="1:37" ht="24.75">
      <c r="A80" s="2877" t="s">
        <v>2935</v>
      </c>
      <c r="B80" s="2945"/>
      <c r="C80" s="2945" t="s">
        <v>2937</v>
      </c>
      <c r="D80" s="2945" t="s">
        <v>2938</v>
      </c>
      <c r="E80" s="816" t="s">
        <v>2939</v>
      </c>
      <c r="F80" s="2878" t="s">
        <v>2955</v>
      </c>
      <c r="G80" s="2945" t="s">
        <v>754</v>
      </c>
      <c r="H80" s="2879" t="s">
        <v>2941</v>
      </c>
      <c r="I80" s="2945" t="s">
        <v>2942</v>
      </c>
      <c r="J80" s="603" t="s">
        <v>2590</v>
      </c>
      <c r="K80" s="603" t="s">
        <v>2591</v>
      </c>
      <c r="L80" s="603" t="s">
        <v>2592</v>
      </c>
      <c r="M80" s="603" t="s">
        <v>2593</v>
      </c>
      <c r="N80" s="603" t="s">
        <v>2594</v>
      </c>
      <c r="Z80" s="2719"/>
      <c r="AA80" s="2795"/>
      <c r="AG80" s="1372"/>
      <c r="AK80" s="2795"/>
    </row>
    <row r="81" spans="1:37" ht="38.25">
      <c r="A81" s="2877" t="s">
        <v>2962</v>
      </c>
      <c r="B81" s="2881" t="str">
        <f>估价对象房地状况!G15</f>
        <v>估价对象位于XX开发区，园区建设成熟度XX，产业集聚程度XX</v>
      </c>
      <c r="C81" s="2769"/>
      <c r="D81" s="1286">
        <f t="shared" ref="D81:D88" si="26">SUMIF($J$80:$N$80,C81,J81:N81)</f>
        <v>0</v>
      </c>
      <c r="E81" s="818">
        <f>ROUND(SUM(D81:D88),4)</f>
        <v>0</v>
      </c>
      <c r="F81" s="2500"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9"/>
      <c r="AA81" s="2795"/>
      <c r="AG81" s="1372"/>
      <c r="AK81" s="2795"/>
    </row>
    <row r="82" spans="1:37" ht="51">
      <c r="A82" s="2877" t="s">
        <v>2944</v>
      </c>
      <c r="B82" s="2881" t="str">
        <f>估价对象房地状况!G16</f>
        <v>估价对象周边道路状况、公共交通通达情况、停车便捷程度，综合评价交通便捷度较好</v>
      </c>
      <c r="C82" s="2769"/>
      <c r="D82" s="1286">
        <f t="shared" si="26"/>
        <v>0</v>
      </c>
      <c r="E82" s="823"/>
      <c r="F82" s="2500"/>
      <c r="G82" s="1284"/>
      <c r="H82" s="1288" t="str">
        <f t="shared" si="27"/>
        <v>——</v>
      </c>
      <c r="I82" s="817">
        <v>0.33</v>
      </c>
      <c r="J82" s="1285">
        <f t="shared" si="28"/>
        <v>0</v>
      </c>
      <c r="K82" s="1285">
        <f t="shared" si="29"/>
        <v>0</v>
      </c>
      <c r="L82" s="1285">
        <v>0</v>
      </c>
      <c r="M82" s="1285">
        <f t="shared" si="30"/>
        <v>0</v>
      </c>
      <c r="N82" s="1285">
        <f t="shared" si="30"/>
        <v>0</v>
      </c>
      <c r="Z82" s="2719"/>
      <c r="AA82" s="2795"/>
      <c r="AG82" s="1372"/>
      <c r="AK82" s="2795"/>
    </row>
    <row r="83" spans="1:37" ht="24">
      <c r="A83" s="2877" t="s">
        <v>2945</v>
      </c>
      <c r="B83" s="2881">
        <f>估价对象房地状况!G17</f>
        <v>0</v>
      </c>
      <c r="C83" s="2769"/>
      <c r="D83" s="1286">
        <f t="shared" si="26"/>
        <v>0</v>
      </c>
      <c r="E83" s="823"/>
      <c r="F83" s="2500"/>
      <c r="G83" s="1284"/>
      <c r="H83" s="1288" t="str">
        <f t="shared" si="27"/>
        <v>——</v>
      </c>
      <c r="I83" s="817">
        <v>0.05</v>
      </c>
      <c r="J83" s="1285">
        <f t="shared" si="28"/>
        <v>0</v>
      </c>
      <c r="K83" s="1285">
        <f t="shared" si="29"/>
        <v>0</v>
      </c>
      <c r="L83" s="1285">
        <v>0</v>
      </c>
      <c r="M83" s="1285">
        <f t="shared" si="30"/>
        <v>0</v>
      </c>
      <c r="N83" s="1285">
        <f t="shared" si="30"/>
        <v>0</v>
      </c>
      <c r="Z83" s="2719"/>
      <c r="AA83" s="2795"/>
      <c r="AG83" s="1372"/>
      <c r="AK83" s="2795"/>
    </row>
    <row r="84" spans="1:37" ht="14.25">
      <c r="A84" s="2877" t="s">
        <v>2959</v>
      </c>
      <c r="B84" s="2881">
        <f>估价对象房地状况!G22</f>
        <v>0</v>
      </c>
      <c r="C84" s="2769"/>
      <c r="D84" s="1286">
        <f t="shared" si="26"/>
        <v>0</v>
      </c>
      <c r="E84" s="823"/>
      <c r="F84" s="2500"/>
      <c r="G84" s="1284"/>
      <c r="H84" s="1288" t="str">
        <f t="shared" si="27"/>
        <v>——</v>
      </c>
      <c r="I84" s="817">
        <v>0.04</v>
      </c>
      <c r="J84" s="1285">
        <f t="shared" si="28"/>
        <v>0</v>
      </c>
      <c r="K84" s="1285">
        <f t="shared" si="29"/>
        <v>0</v>
      </c>
      <c r="L84" s="1285">
        <v>0</v>
      </c>
      <c r="M84" s="1285">
        <f t="shared" si="30"/>
        <v>0</v>
      </c>
      <c r="N84" s="1285">
        <f t="shared" si="30"/>
        <v>0</v>
      </c>
      <c r="Z84" s="2719"/>
      <c r="AA84" s="2795"/>
      <c r="AG84" s="1372"/>
      <c r="AK84" s="2795"/>
    </row>
    <row r="85" spans="1:37" ht="25.5">
      <c r="A85" s="2877" t="s">
        <v>2951</v>
      </c>
      <c r="B85" s="1725" t="str">
        <f>估价对象房地状况!G19</f>
        <v>估价对象所在区域公共配套设施齐备情况</v>
      </c>
      <c r="C85" s="2769"/>
      <c r="D85" s="1286">
        <f t="shared" si="26"/>
        <v>0</v>
      </c>
      <c r="E85" s="823"/>
      <c r="F85" s="2500"/>
      <c r="G85" s="1284"/>
      <c r="H85" s="1288" t="str">
        <f t="shared" si="27"/>
        <v>——</v>
      </c>
      <c r="I85" s="817">
        <v>0.06</v>
      </c>
      <c r="J85" s="1285">
        <f t="shared" si="28"/>
        <v>0</v>
      </c>
      <c r="K85" s="1285">
        <f t="shared" si="29"/>
        <v>0</v>
      </c>
      <c r="L85" s="1285">
        <v>0</v>
      </c>
      <c r="M85" s="1285">
        <f t="shared" si="30"/>
        <v>0</v>
      </c>
      <c r="N85" s="1285">
        <f t="shared" si="30"/>
        <v>0</v>
      </c>
      <c r="Z85" s="2719"/>
      <c r="AA85" s="2795"/>
      <c r="AG85" s="1372"/>
      <c r="AK85" s="2795"/>
    </row>
    <row r="86" spans="1:37" ht="25.5">
      <c r="A86" s="2877" t="s">
        <v>2952</v>
      </c>
      <c r="B86" s="1725" t="str">
        <f>估价对象房地状况!G20</f>
        <v>估价对象所在区域基础设施水平</v>
      </c>
      <c r="C86" s="2769"/>
      <c r="D86" s="1286">
        <f t="shared" si="26"/>
        <v>0</v>
      </c>
      <c r="E86" s="823"/>
      <c r="F86" s="2500"/>
      <c r="G86" s="1284"/>
      <c r="H86" s="1288" t="str">
        <f t="shared" si="27"/>
        <v>——</v>
      </c>
      <c r="I86" s="817">
        <v>0.15</v>
      </c>
      <c r="J86" s="1285">
        <f t="shared" si="28"/>
        <v>0</v>
      </c>
      <c r="K86" s="1285">
        <f t="shared" si="29"/>
        <v>0</v>
      </c>
      <c r="L86" s="1285">
        <v>0</v>
      </c>
      <c r="M86" s="1285">
        <f t="shared" si="30"/>
        <v>0</v>
      </c>
      <c r="N86" s="1285">
        <f t="shared" si="30"/>
        <v>0</v>
      </c>
      <c r="Z86" s="2719"/>
      <c r="AA86" s="2795"/>
      <c r="AG86" s="1372"/>
      <c r="AK86" s="2795"/>
    </row>
    <row r="87" spans="1:37" ht="24">
      <c r="A87" s="2877" t="s">
        <v>2949</v>
      </c>
      <c r="B87" s="2883" t="s">
        <v>2963</v>
      </c>
      <c r="C87" s="2769"/>
      <c r="D87" s="1286">
        <f t="shared" si="26"/>
        <v>0</v>
      </c>
      <c r="E87" s="823"/>
      <c r="F87" s="2500"/>
      <c r="G87" s="1284"/>
      <c r="H87" s="1288" t="str">
        <f t="shared" si="27"/>
        <v>——</v>
      </c>
      <c r="I87" s="817">
        <v>0.05</v>
      </c>
      <c r="J87" s="1285">
        <f t="shared" si="28"/>
        <v>0</v>
      </c>
      <c r="K87" s="1285">
        <f t="shared" si="29"/>
        <v>0</v>
      </c>
      <c r="L87" s="1285">
        <v>0</v>
      </c>
      <c r="M87" s="1285">
        <f t="shared" si="30"/>
        <v>0</v>
      </c>
      <c r="N87" s="1285">
        <f t="shared" si="30"/>
        <v>0</v>
      </c>
      <c r="Z87" s="2719"/>
      <c r="AA87" s="2795"/>
      <c r="AG87" s="1372"/>
      <c r="AK87" s="2795"/>
    </row>
    <row r="88" spans="1:37" ht="39" thickBot="1">
      <c r="A88" s="2885" t="s">
        <v>2964</v>
      </c>
      <c r="B88" s="2890" t="str">
        <f>估价对象房地状况!G18</f>
        <v>该园区内是否有污染型企业，绿化情况，卫生条件，整体环境状况判断</v>
      </c>
      <c r="C88" s="2769"/>
      <c r="D88" s="1286">
        <f t="shared" si="26"/>
        <v>0</v>
      </c>
      <c r="E88" s="824"/>
      <c r="F88" s="2500"/>
      <c r="G88" s="1284"/>
      <c r="H88" s="1288" t="str">
        <f t="shared" si="27"/>
        <v>——</v>
      </c>
      <c r="I88" s="821">
        <v>0.06</v>
      </c>
      <c r="J88" s="1285">
        <f t="shared" si="28"/>
        <v>0</v>
      </c>
      <c r="K88" s="1285">
        <f t="shared" si="29"/>
        <v>0</v>
      </c>
      <c r="L88" s="1285">
        <v>0</v>
      </c>
      <c r="M88" s="1285">
        <f t="shared" si="30"/>
        <v>0</v>
      </c>
      <c r="N88" s="1285">
        <f t="shared" si="30"/>
        <v>0</v>
      </c>
      <c r="Z88" s="2719"/>
      <c r="AA88" s="2795"/>
      <c r="AG88" s="1372"/>
      <c r="AK88" s="2795"/>
    </row>
    <row r="90" spans="1:37">
      <c r="A90" s="3224" t="s">
        <v>2965</v>
      </c>
      <c r="B90" s="3224"/>
      <c r="C90" s="3224"/>
      <c r="D90" s="3224"/>
      <c r="E90" s="3224"/>
      <c r="F90" s="3224"/>
      <c r="G90" s="3224"/>
      <c r="H90" s="3224"/>
      <c r="I90" s="3224"/>
      <c r="J90" s="3224"/>
      <c r="K90" s="2955"/>
      <c r="L90" s="2955"/>
      <c r="M90" s="2955"/>
      <c r="N90" s="2955"/>
    </row>
    <row r="91" spans="1:37">
      <c r="A91" s="3225" t="s">
        <v>2966</v>
      </c>
      <c r="B91" s="3225" t="s">
        <v>2967</v>
      </c>
      <c r="C91" s="2845" t="s">
        <v>2968</v>
      </c>
      <c r="D91" s="2846"/>
      <c r="E91" s="2846"/>
      <c r="F91" s="2846"/>
      <c r="G91" s="2846"/>
      <c r="H91" s="2846"/>
      <c r="I91" s="2846"/>
      <c r="J91" s="2892"/>
      <c r="K91" s="2893"/>
      <c r="L91" s="2893"/>
      <c r="M91" s="2893"/>
      <c r="N91" s="2893"/>
    </row>
    <row r="92" spans="1:37">
      <c r="A92" s="3225"/>
      <c r="B92" s="3225"/>
      <c r="C92" s="2957" t="s">
        <v>2833</v>
      </c>
      <c r="D92" s="2957" t="s">
        <v>2834</v>
      </c>
      <c r="E92" s="2957" t="s">
        <v>2835</v>
      </c>
      <c r="F92" s="2957" t="s">
        <v>2836</v>
      </c>
      <c r="G92" s="2957" t="s">
        <v>2837</v>
      </c>
      <c r="H92" s="2957" t="s">
        <v>2838</v>
      </c>
      <c r="I92" s="2957" t="s">
        <v>2839</v>
      </c>
      <c r="J92" s="2957" t="s">
        <v>2840</v>
      </c>
      <c r="K92" s="2957" t="s">
        <v>2841</v>
      </c>
      <c r="L92" s="2957" t="s">
        <v>2842</v>
      </c>
      <c r="M92" s="2957" t="s">
        <v>2843</v>
      </c>
      <c r="N92" s="2957" t="s">
        <v>2844</v>
      </c>
    </row>
    <row r="93" spans="1:37">
      <c r="A93" s="3215" t="s">
        <v>2969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1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1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1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1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1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16"/>
      <c r="B99" s="2894" t="s">
        <v>2849</v>
      </c>
      <c r="C99" s="2896">
        <f>$I$3</f>
        <v>1</v>
      </c>
      <c r="D99" s="2896">
        <f t="shared" ref="D99:M99" si="31">$I$3</f>
        <v>1</v>
      </c>
      <c r="E99" s="2896">
        <f t="shared" si="31"/>
        <v>1</v>
      </c>
      <c r="F99" s="2896">
        <f t="shared" si="31"/>
        <v>1</v>
      </c>
      <c r="G99" s="2896">
        <f t="shared" si="31"/>
        <v>1</v>
      </c>
      <c r="H99" s="2896">
        <f t="shared" si="31"/>
        <v>1</v>
      </c>
      <c r="I99" s="2896">
        <f t="shared" si="31"/>
        <v>1</v>
      </c>
      <c r="J99" s="2896">
        <f t="shared" si="31"/>
        <v>1</v>
      </c>
      <c r="K99" s="2896">
        <f t="shared" si="31"/>
        <v>1</v>
      </c>
      <c r="L99" s="2896">
        <f t="shared" si="31"/>
        <v>1</v>
      </c>
      <c r="M99" s="2896">
        <f t="shared" si="31"/>
        <v>1</v>
      </c>
      <c r="N99" s="2896">
        <f>$I$3</f>
        <v>1</v>
      </c>
    </row>
    <row r="100" spans="1:14">
      <c r="A100" s="3217"/>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215" t="s">
        <v>2970</v>
      </c>
      <c r="B101" s="2898" t="s">
        <v>2971</v>
      </c>
      <c r="C101" s="2899">
        <f>$G$3</f>
        <v>1.9</v>
      </c>
      <c r="D101" s="2899">
        <f t="shared" ref="D101:N101" si="32">$G$3</f>
        <v>1.9</v>
      </c>
      <c r="E101" s="2899">
        <f t="shared" si="32"/>
        <v>1.9</v>
      </c>
      <c r="F101" s="2899">
        <f t="shared" si="32"/>
        <v>1.9</v>
      </c>
      <c r="G101" s="2899">
        <f t="shared" si="32"/>
        <v>1.9</v>
      </c>
      <c r="H101" s="2899">
        <f t="shared" si="32"/>
        <v>1.9</v>
      </c>
      <c r="I101" s="2899">
        <f t="shared" si="32"/>
        <v>1.9</v>
      </c>
      <c r="J101" s="2899">
        <f t="shared" si="32"/>
        <v>1.9</v>
      </c>
      <c r="K101" s="2899">
        <f t="shared" si="32"/>
        <v>1.9</v>
      </c>
      <c r="L101" s="2899">
        <f t="shared" si="32"/>
        <v>1.9</v>
      </c>
      <c r="M101" s="2899">
        <f t="shared" si="32"/>
        <v>1.9</v>
      </c>
      <c r="N101" s="2899">
        <f t="shared" si="32"/>
        <v>1.9</v>
      </c>
    </row>
    <row r="102" spans="1:14">
      <c r="A102" s="3216"/>
      <c r="B102" s="2894">
        <v>1</v>
      </c>
      <c r="C102" s="2895">
        <f>1.9362/C101</f>
        <v>1.0190526315789474</v>
      </c>
      <c r="D102" s="2895">
        <f>1.9362/D101</f>
        <v>1.0190526315789474</v>
      </c>
      <c r="E102" s="2895">
        <f>1.8629/E101</f>
        <v>0.98047368421052639</v>
      </c>
      <c r="F102" s="2895">
        <f>1.8629/F101</f>
        <v>0.98047368421052639</v>
      </c>
      <c r="G102" s="2895">
        <f>1.8629/G101</f>
        <v>0.98047368421052639</v>
      </c>
      <c r="H102" s="2895">
        <f>1.8629/H101</f>
        <v>0.98047368421052639</v>
      </c>
      <c r="I102" s="2895">
        <f>1.8629/I101</f>
        <v>0.98047368421052639</v>
      </c>
      <c r="J102" s="2895">
        <f>1.942/J101</f>
        <v>1.0221052631578948</v>
      </c>
      <c r="K102" s="2895">
        <f>1.942/K101</f>
        <v>1.0221052631578948</v>
      </c>
      <c r="L102" s="2895">
        <f>1.942/L101</f>
        <v>1.0221052631578948</v>
      </c>
      <c r="M102" s="2895">
        <f>1.942/M101</f>
        <v>1.0221052631578948</v>
      </c>
      <c r="N102" s="2895">
        <f>1.942/N101</f>
        <v>1.0221052631578948</v>
      </c>
    </row>
    <row r="103" spans="1:14">
      <c r="A103" s="3216"/>
      <c r="B103" s="2894">
        <v>2</v>
      </c>
      <c r="C103" s="2895">
        <f>1.4198/C101</f>
        <v>0.74726315789473685</v>
      </c>
      <c r="D103" s="2895">
        <f>1.4198/D101</f>
        <v>0.74726315789473685</v>
      </c>
      <c r="E103" s="2895">
        <f>1.3372/E101</f>
        <v>0.70378947368421052</v>
      </c>
      <c r="F103" s="2895">
        <f>1.3372/F101</f>
        <v>0.70378947368421052</v>
      </c>
      <c r="G103" s="2895">
        <f>1.3372/G101</f>
        <v>0.70378947368421052</v>
      </c>
      <c r="H103" s="2895">
        <f>1.3372/H101</f>
        <v>0.70378947368421052</v>
      </c>
      <c r="I103" s="2895">
        <f>1.3372/I101</f>
        <v>0.70378947368421052</v>
      </c>
      <c r="J103" s="2895">
        <f>1.2799/J101</f>
        <v>0.67363157894736847</v>
      </c>
      <c r="K103" s="2895">
        <f>1.2799/K101</f>
        <v>0.67363157894736847</v>
      </c>
      <c r="L103" s="2895">
        <f>1.2799/L101</f>
        <v>0.67363157894736847</v>
      </c>
      <c r="M103" s="2895">
        <f>1.2799/M101</f>
        <v>0.67363157894736847</v>
      </c>
      <c r="N103" s="2895">
        <f>1.2799/N101</f>
        <v>0.67363157894736847</v>
      </c>
    </row>
    <row r="104" spans="1:14">
      <c r="A104" s="3216"/>
      <c r="B104" s="2894">
        <v>3</v>
      </c>
      <c r="C104" s="2895">
        <f>1.1594/C101</f>
        <v>0.61021052631578954</v>
      </c>
      <c r="D104" s="2895">
        <f>1.1594/D101</f>
        <v>0.61021052631578954</v>
      </c>
      <c r="E104" s="2895">
        <f>1.0788/E101</f>
        <v>0.56778947368421051</v>
      </c>
      <c r="F104" s="2895">
        <f>1.0788/F101</f>
        <v>0.56778947368421051</v>
      </c>
      <c r="G104" s="2895">
        <f>1.0788/G101</f>
        <v>0.56778947368421051</v>
      </c>
      <c r="H104" s="2895">
        <f>1.0788/H101</f>
        <v>0.56778947368421051</v>
      </c>
      <c r="I104" s="2895">
        <f>1.0788/I101</f>
        <v>0.56778947368421051</v>
      </c>
      <c r="J104" s="2895">
        <f>1.0072/J101</f>
        <v>0.53010526315789486</v>
      </c>
      <c r="K104" s="2895">
        <f>1.0072/K101</f>
        <v>0.53010526315789486</v>
      </c>
      <c r="L104" s="2895">
        <f>1.0072/L101</f>
        <v>0.53010526315789486</v>
      </c>
      <c r="M104" s="2895">
        <f>1.0072/M101</f>
        <v>0.53010526315789486</v>
      </c>
      <c r="N104" s="2895">
        <f>1.0072/N101</f>
        <v>0.53010526315789486</v>
      </c>
    </row>
    <row r="105" spans="1:14">
      <c r="A105" s="3216"/>
      <c r="B105" s="2894">
        <v>4</v>
      </c>
      <c r="C105" s="2895">
        <f>0.9622/C101</f>
        <v>0.50642105263157899</v>
      </c>
      <c r="D105" s="2895">
        <f>0.9622/D101</f>
        <v>0.50642105263157899</v>
      </c>
      <c r="E105" s="2895">
        <f>0.8656/E101</f>
        <v>0.45557894736842108</v>
      </c>
      <c r="F105" s="2895">
        <f>0.8656/F101</f>
        <v>0.45557894736842108</v>
      </c>
      <c r="G105" s="2895">
        <f>0.8656/G101</f>
        <v>0.45557894736842108</v>
      </c>
      <c r="H105" s="2895">
        <f>0.8656/H101</f>
        <v>0.45557894736842108</v>
      </c>
      <c r="I105" s="2895">
        <f>0.8656/I101</f>
        <v>0.45557894736842108</v>
      </c>
      <c r="J105" s="2895">
        <f>0.7525/J101</f>
        <v>0.39605263157894738</v>
      </c>
      <c r="K105" s="2895">
        <f>0.7525/K101</f>
        <v>0.39605263157894738</v>
      </c>
      <c r="L105" s="2895">
        <f>0.7525/L101</f>
        <v>0.39605263157894738</v>
      </c>
      <c r="M105" s="2895">
        <f>0.7525/M101</f>
        <v>0.39605263157894738</v>
      </c>
      <c r="N105" s="2895">
        <f>0.7525/N101</f>
        <v>0.39605263157894738</v>
      </c>
    </row>
    <row r="106" spans="1:14">
      <c r="A106" s="3216"/>
      <c r="B106" s="2894">
        <v>5</v>
      </c>
      <c r="C106" s="2895">
        <f>0.8417/C101</f>
        <v>0.443</v>
      </c>
      <c r="D106" s="2895">
        <f>0.8417/D101</f>
        <v>0.443</v>
      </c>
      <c r="E106" s="2895">
        <f>0.7371/E101</f>
        <v>0.38794736842105265</v>
      </c>
      <c r="F106" s="2895">
        <f>0.7371/F101</f>
        <v>0.38794736842105265</v>
      </c>
      <c r="G106" s="2895">
        <f>0.7371/G101</f>
        <v>0.38794736842105265</v>
      </c>
      <c r="H106" s="2895">
        <f>0.7371/H101</f>
        <v>0.38794736842105265</v>
      </c>
      <c r="I106" s="2895">
        <f>0.7371/I101</f>
        <v>0.38794736842105265</v>
      </c>
      <c r="J106" s="2895">
        <f>0.5659/J101</f>
        <v>0.29784210526315791</v>
      </c>
      <c r="K106" s="2895">
        <f>0.5659/K101</f>
        <v>0.29784210526315791</v>
      </c>
      <c r="L106" s="2895">
        <f>0.5659/L101</f>
        <v>0.29784210526315791</v>
      </c>
      <c r="M106" s="2895">
        <f>0.5659/M101</f>
        <v>0.29784210526315791</v>
      </c>
      <c r="N106" s="2895">
        <f>0.5659/N101</f>
        <v>0.29784210526315791</v>
      </c>
    </row>
    <row r="107" spans="1:14">
      <c r="A107" s="3216"/>
      <c r="B107" s="2894">
        <v>6</v>
      </c>
      <c r="C107" s="2895">
        <f>0.7608/C101</f>
        <v>0.40042105263157896</v>
      </c>
      <c r="D107" s="2895">
        <f>0.7608/D101</f>
        <v>0.40042105263157896</v>
      </c>
      <c r="E107" s="2895">
        <f>0.6482/E101</f>
        <v>0.3411578947368421</v>
      </c>
      <c r="F107" s="2895">
        <f>0.6482/F101</f>
        <v>0.3411578947368421</v>
      </c>
      <c r="G107" s="2895">
        <f>0.6482/G101</f>
        <v>0.3411578947368421</v>
      </c>
      <c r="H107" s="2895">
        <f>0.6482/H101</f>
        <v>0.3411578947368421</v>
      </c>
      <c r="I107" s="2895">
        <f>0.6482/I101</f>
        <v>0.3411578947368421</v>
      </c>
      <c r="J107" s="2895">
        <f>0.4525/J101</f>
        <v>0.23815789473684212</v>
      </c>
      <c r="K107" s="2895">
        <f>0.4525/K101</f>
        <v>0.23815789473684212</v>
      </c>
      <c r="L107" s="2895">
        <f>0.4525/L101</f>
        <v>0.23815789473684212</v>
      </c>
      <c r="M107" s="2895">
        <f>0.4525/M101</f>
        <v>0.23815789473684212</v>
      </c>
      <c r="N107" s="2895">
        <f>0.4525/N101</f>
        <v>0.23815789473684212</v>
      </c>
    </row>
    <row r="108" spans="1:14">
      <c r="A108" s="3216"/>
      <c r="B108" s="3146" t="s">
        <v>2972</v>
      </c>
      <c r="C108" s="2896">
        <f>C99</f>
        <v>1</v>
      </c>
      <c r="D108" s="2896">
        <f t="shared" ref="D108:N108" si="33">D99</f>
        <v>1</v>
      </c>
      <c r="E108" s="2896">
        <f t="shared" si="33"/>
        <v>1</v>
      </c>
      <c r="F108" s="2896">
        <f t="shared" si="33"/>
        <v>1</v>
      </c>
      <c r="G108" s="2896">
        <f t="shared" si="33"/>
        <v>1</v>
      </c>
      <c r="H108" s="2896">
        <f t="shared" si="33"/>
        <v>1</v>
      </c>
      <c r="I108" s="2896">
        <f t="shared" si="33"/>
        <v>1</v>
      </c>
      <c r="J108" s="2896">
        <f t="shared" si="33"/>
        <v>1</v>
      </c>
      <c r="K108" s="2896">
        <f t="shared" si="33"/>
        <v>1</v>
      </c>
      <c r="L108" s="2896">
        <f t="shared" si="33"/>
        <v>1</v>
      </c>
      <c r="M108" s="2896">
        <f t="shared" si="33"/>
        <v>1</v>
      </c>
      <c r="N108" s="2896">
        <f t="shared" si="33"/>
        <v>1</v>
      </c>
    </row>
    <row r="109" spans="1:14">
      <c r="A109" s="3217"/>
      <c r="B109" s="3147"/>
      <c r="C109" s="2897">
        <f>(-0.163*(C108^2)-0.59*C108+7617)*(10^(-4))/C101</f>
        <v>0.40085510526315793</v>
      </c>
      <c r="D109" s="2897">
        <f>(-0.163*(D108^2)-0.59*D108+7617)*(10^(-4))/D101</f>
        <v>0.40085510526315793</v>
      </c>
      <c r="E109" s="2897">
        <f>(-0.161*(E108^2)-7.509*E108+6533)*(10^(-4))/E101</f>
        <v>0.34343842105263162</v>
      </c>
      <c r="F109" s="2897">
        <f>(-0.161*(F108^2)-7.509*F108+6533)*(10^(-4))/F101</f>
        <v>0.34343842105263162</v>
      </c>
      <c r="G109" s="2897">
        <f>(-0.161*(G108^2)-7.509*G108+6533)*(10^(-4))/G101</f>
        <v>0.34343842105263162</v>
      </c>
      <c r="H109" s="2897">
        <f>(-0.161*(H108^2)-7.509*H108+6533)*(10^(-4))/H101</f>
        <v>0.34343842105263162</v>
      </c>
      <c r="I109" s="2897">
        <f>(-0.161*(I108^2)-7.509*I108+6533)*(10^(-4))/I101</f>
        <v>0.34343842105263162</v>
      </c>
      <c r="J109" s="2897">
        <f>(-0.214*(J108^2)-21.991*J108+4665)*(10^(-4))/J101</f>
        <v>0.24435763157894738</v>
      </c>
      <c r="K109" s="2897">
        <f>(-0.214*(K108^2)-21.991*K108+4665)*(10^(-4))/K101</f>
        <v>0.24435763157894738</v>
      </c>
      <c r="L109" s="2897">
        <f>(-0.214*(L108^2)-21.991*L108+4665)*(10^(-4))/L101</f>
        <v>0.24435763157894738</v>
      </c>
      <c r="M109" s="2897">
        <f>(-0.214*(M108^2)-21.991*M108+4665)*(10^(-4))/M101</f>
        <v>0.24435763157894738</v>
      </c>
      <c r="N109" s="2897">
        <f>(-0.214*(N108^2)-21.991*N108+4665)*(10^(-4))/N101</f>
        <v>0.24435763157894738</v>
      </c>
    </row>
    <row r="110" spans="1:14">
      <c r="A110" s="3218" t="s">
        <v>2973</v>
      </c>
      <c r="B110" s="3218"/>
      <c r="C110" s="3218"/>
      <c r="D110" s="3218"/>
      <c r="E110" s="3218"/>
      <c r="F110" s="3218"/>
      <c r="G110" s="3218"/>
      <c r="H110" s="3218"/>
      <c r="I110" s="3218"/>
      <c r="J110" s="3218"/>
      <c r="K110" s="2956"/>
      <c r="L110" s="2956"/>
      <c r="M110" s="2956"/>
      <c r="N110" s="2956"/>
    </row>
    <row r="112" spans="1:14" ht="13.5" thickBot="1"/>
    <row r="113" spans="1:13" ht="25.5" thickBot="1">
      <c r="A113" s="900" t="s">
        <v>2974</v>
      </c>
      <c r="B113" s="1287">
        <f>G3</f>
        <v>1.9</v>
      </c>
      <c r="C113" s="901" t="s">
        <v>2975</v>
      </c>
      <c r="D113" s="902">
        <f>SUMPRODUCT((A115:A118=F113)*(B114:M114=H113)*B115:M118)</f>
        <v>0.81240000000000001</v>
      </c>
      <c r="E113" s="2723" t="s">
        <v>2807</v>
      </c>
      <c r="F113" s="2902" t="str">
        <f>E2</f>
        <v>商业</v>
      </c>
      <c r="G113" s="2723" t="s">
        <v>2808</v>
      </c>
      <c r="H113" s="2902" t="str">
        <f>G2</f>
        <v>六级</v>
      </c>
      <c r="I113" s="2723"/>
      <c r="J113" s="2903"/>
      <c r="K113" s="2903"/>
      <c r="L113" s="2903"/>
      <c r="M113" s="2903"/>
    </row>
    <row r="114" spans="1:13">
      <c r="A114" s="905"/>
      <c r="B114" s="2904" t="s">
        <v>2976</v>
      </c>
      <c r="C114" s="2904" t="s">
        <v>2977</v>
      </c>
      <c r="D114" s="2904" t="s">
        <v>2978</v>
      </c>
      <c r="E114" s="2905" t="s">
        <v>2979</v>
      </c>
      <c r="F114" s="2905" t="s">
        <v>2980</v>
      </c>
      <c r="G114" s="2905" t="s">
        <v>2981</v>
      </c>
      <c r="H114" s="2906" t="s">
        <v>2982</v>
      </c>
      <c r="I114" s="2906" t="s">
        <v>2983</v>
      </c>
      <c r="J114" s="2907" t="s">
        <v>2984</v>
      </c>
      <c r="K114" s="2907" t="s">
        <v>2985</v>
      </c>
      <c r="L114" s="2907" t="s">
        <v>2986</v>
      </c>
      <c r="M114" s="2908" t="s">
        <v>2987</v>
      </c>
    </row>
    <row r="115" spans="1:13">
      <c r="A115" s="906" t="s">
        <v>2871</v>
      </c>
      <c r="B115" s="907">
        <f>ROUND(0.9335-0.0094*B113,4)</f>
        <v>0.91559999999999997</v>
      </c>
      <c r="C115" s="907">
        <f>B115</f>
        <v>0.91559999999999997</v>
      </c>
      <c r="D115" s="907">
        <f>ROUND(0.8331-0.0109*B113,4)</f>
        <v>0.81240000000000001</v>
      </c>
      <c r="E115" s="907">
        <f>D115</f>
        <v>0.81240000000000001</v>
      </c>
      <c r="F115" s="907">
        <f>E115</f>
        <v>0.81240000000000001</v>
      </c>
      <c r="G115" s="907">
        <f>F115</f>
        <v>0.81240000000000001</v>
      </c>
      <c r="H115" s="907">
        <f>G115</f>
        <v>0.81240000000000001</v>
      </c>
      <c r="I115" s="907">
        <f>ROUND(0.689-0.0155*B113,4)</f>
        <v>0.65959999999999996</v>
      </c>
      <c r="J115" s="907">
        <f t="shared" ref="J115:M118" si="34">I115</f>
        <v>0.65959999999999996</v>
      </c>
      <c r="K115" s="907">
        <f t="shared" si="34"/>
        <v>0.65959999999999996</v>
      </c>
      <c r="L115" s="907">
        <f t="shared" si="34"/>
        <v>0.65959999999999996</v>
      </c>
      <c r="M115" s="908">
        <f t="shared" si="34"/>
        <v>0.65959999999999996</v>
      </c>
    </row>
    <row r="116" spans="1:13">
      <c r="A116" s="906" t="s">
        <v>2872</v>
      </c>
      <c r="B116" s="907">
        <f>ROUND(0.949-0.012*B113,4)</f>
        <v>0.92620000000000002</v>
      </c>
      <c r="C116" s="907">
        <f>B116</f>
        <v>0.92620000000000002</v>
      </c>
      <c r="D116" s="907">
        <f>ROUND(0.8567-0.013*B113,4)</f>
        <v>0.83199999999999996</v>
      </c>
      <c r="E116" s="907">
        <f t="shared" ref="E116:H117" si="35">D116</f>
        <v>0.83199999999999996</v>
      </c>
      <c r="F116" s="907">
        <f t="shared" si="35"/>
        <v>0.83199999999999996</v>
      </c>
      <c r="G116" s="907">
        <f t="shared" si="35"/>
        <v>0.83199999999999996</v>
      </c>
      <c r="H116" s="907">
        <f t="shared" si="35"/>
        <v>0.83199999999999996</v>
      </c>
      <c r="I116" s="907">
        <f>ROUND(0.7694-0.014*B113,4)</f>
        <v>0.74280000000000002</v>
      </c>
      <c r="J116" s="907">
        <f t="shared" si="34"/>
        <v>0.74280000000000002</v>
      </c>
      <c r="K116" s="907">
        <f t="shared" si="34"/>
        <v>0.74280000000000002</v>
      </c>
      <c r="L116" s="907">
        <f t="shared" si="34"/>
        <v>0.74280000000000002</v>
      </c>
      <c r="M116" s="908">
        <f t="shared" si="34"/>
        <v>0.74280000000000002</v>
      </c>
    </row>
    <row r="117" spans="1:13">
      <c r="A117" s="906" t="s">
        <v>2873</v>
      </c>
      <c r="B117" s="907">
        <f>ROUND(0.8808-0.006*B113,4)</f>
        <v>0.86939999999999995</v>
      </c>
      <c r="C117" s="907">
        <f>B117</f>
        <v>0.86939999999999995</v>
      </c>
      <c r="D117" s="907">
        <f>ROUND(0.8748-0.008*B113,4)</f>
        <v>0.85960000000000003</v>
      </c>
      <c r="E117" s="907">
        <f t="shared" si="35"/>
        <v>0.85960000000000003</v>
      </c>
      <c r="F117" s="907">
        <f t="shared" si="35"/>
        <v>0.85960000000000003</v>
      </c>
      <c r="G117" s="907">
        <f t="shared" si="35"/>
        <v>0.85960000000000003</v>
      </c>
      <c r="H117" s="907">
        <f t="shared" si="35"/>
        <v>0.85960000000000003</v>
      </c>
      <c r="I117" s="907">
        <f>ROUND(0.7412-0.0095*B113,4)</f>
        <v>0.72319999999999995</v>
      </c>
      <c r="J117" s="907">
        <f t="shared" si="34"/>
        <v>0.72319999999999995</v>
      </c>
      <c r="K117" s="907">
        <f t="shared" si="34"/>
        <v>0.72319999999999995</v>
      </c>
      <c r="L117" s="907">
        <f t="shared" si="34"/>
        <v>0.72319999999999995</v>
      </c>
      <c r="M117" s="908">
        <f t="shared" si="34"/>
        <v>0.72319999999999995</v>
      </c>
    </row>
    <row r="118" spans="1:13" ht="13.5" thickBot="1">
      <c r="A118" s="714" t="s">
        <v>2874</v>
      </c>
      <c r="B118" s="909">
        <f>ROUND(0.7275-0.01*B113,4)</f>
        <v>0.70850000000000002</v>
      </c>
      <c r="C118" s="909">
        <f>B118</f>
        <v>0.70850000000000002</v>
      </c>
      <c r="D118" s="909">
        <f>ROUND(0.7043-0.012*B113,4)</f>
        <v>0.68149999999999999</v>
      </c>
      <c r="E118" s="909">
        <f>D118</f>
        <v>0.68149999999999999</v>
      </c>
      <c r="F118" s="909">
        <f>E118</f>
        <v>0.68149999999999999</v>
      </c>
      <c r="G118" s="909">
        <f>ROUND(0.6299-0.0122*B113,4)</f>
        <v>0.60670000000000002</v>
      </c>
      <c r="H118" s="909">
        <f>G118</f>
        <v>0.60670000000000002</v>
      </c>
      <c r="I118" s="909">
        <f>ROUND(0.5667-0.0136*B113,4)</f>
        <v>0.54090000000000005</v>
      </c>
      <c r="J118" s="909">
        <f t="shared" si="34"/>
        <v>0.54090000000000005</v>
      </c>
      <c r="K118" s="909">
        <f t="shared" si="34"/>
        <v>0.54090000000000005</v>
      </c>
      <c r="L118" s="909">
        <f t="shared" si="34"/>
        <v>0.54090000000000005</v>
      </c>
      <c r="M118" s="910">
        <f t="shared" si="34"/>
        <v>0.54090000000000005</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topLeftCell="A13" zoomScale="80" zoomScaleNormal="80" zoomScaleSheetLayoutView="96" workbookViewId="0">
      <selection activeCell="L32" sqref="L3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2797</v>
      </c>
      <c r="B1" s="241"/>
      <c r="C1" s="245" t="s">
        <v>2798</v>
      </c>
      <c r="D1" s="388">
        <f>SUM(D29:D30,D33:D39)</f>
        <v>22062.67</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26056</v>
      </c>
      <c r="C2" s="2720" t="s">
        <v>2806</v>
      </c>
      <c r="D2" s="2721" t="s">
        <v>2807</v>
      </c>
      <c r="E2" s="2722" t="s">
        <v>27</v>
      </c>
      <c r="F2" s="2721" t="s">
        <v>2808</v>
      </c>
      <c r="G2" s="2723" t="str">
        <f>IF(E2="商业",项目基本情况!B37,IF(E2="办公",项目基本情况!C37,IF(E2="住宅",项目基本情况!D37,项目基本情况!E37)))</f>
        <v>六级</v>
      </c>
      <c r="H2" s="2721" t="s">
        <v>2809</v>
      </c>
      <c r="I2" s="2723" t="str">
        <f>IF(E2="商业",项目基本情况!B38,IF(E2="办公",项目基本情况!C38,IF(E2="住宅",项目基本情况!D38,项目基本情况!E38)))</f>
        <v>Ⅵ-08</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24529</v>
      </c>
      <c r="U2" s="1603"/>
      <c r="V2" s="1602">
        <f ca="1">ROUND(T2*U2/10000,0)</f>
        <v>0</v>
      </c>
      <c r="W2" s="1606"/>
      <c r="X2" s="1606"/>
      <c r="Y2" s="1606"/>
      <c r="Z2" s="1606"/>
      <c r="AA2" s="1606"/>
      <c r="AB2" s="1606"/>
      <c r="AC2" s="1607"/>
      <c r="AD2" s="1608"/>
      <c r="AE2" s="1608"/>
      <c r="AF2" s="1608"/>
      <c r="AG2" s="1608"/>
      <c r="AH2" s="1608"/>
      <c r="AI2" s="1608"/>
      <c r="AJ2" s="1609"/>
    </row>
    <row r="3" spans="1:36" ht="25.5">
      <c r="A3" s="247" t="s">
        <v>2811</v>
      </c>
      <c r="B3" s="248">
        <f ca="1">ROUND(B2*10000/D1,0)</f>
        <v>11810</v>
      </c>
      <c r="C3" s="2720" t="s">
        <v>2812</v>
      </c>
      <c r="D3" s="2721" t="s">
        <v>2813</v>
      </c>
      <c r="E3" s="2726" t="s">
        <v>3170</v>
      </c>
      <c r="F3" s="2727" t="s">
        <v>3161</v>
      </c>
      <c r="G3" s="913">
        <f>IF(F3="宗地容积率",'数据-汇总表'!I4,IF(F3="估价对象容积率",'数据-汇总表'!I6,'数据-汇总表'!I7))</f>
        <v>1.9</v>
      </c>
      <c r="H3" s="198" t="s">
        <v>2814</v>
      </c>
      <c r="I3" s="944"/>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17607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6"/>
      <c r="B4" s="3227"/>
      <c r="C4" s="3227"/>
      <c r="D4" s="3228"/>
      <c r="E4" s="3228"/>
      <c r="F4" s="3228"/>
      <c r="G4" s="3228"/>
      <c r="H4" s="3228"/>
      <c r="I4" s="3228"/>
      <c r="J4" s="3229"/>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14205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4">
        <f>ROUND(IF(E2="商业",IF(F16="增加",C6*C7+C16,C6*C7-C16),IF(E2="住宅",IF(F16="增加",C6*C12+C16,C6*C12-C16),IF(F16="增加",C6+C16,C6-C16))),0)</f>
        <v>10650</v>
      </c>
      <c r="D5" s="1787">
        <f>ROUND(IF(E2="商业",IF(F16="增加",C6+C16,C6-C16)),0)</f>
        <v>0</v>
      </c>
      <c r="E5" s="2730"/>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11397</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2820</v>
      </c>
      <c r="B6" s="2739" t="s">
        <v>2821</v>
      </c>
      <c r="C6" s="915">
        <f>SUMIF(L1:L12,G2,M1:M12)</f>
        <v>10650</v>
      </c>
      <c r="D6" s="2740" t="s">
        <v>2822</v>
      </c>
      <c r="E6" s="2741"/>
      <c r="F6" s="2741"/>
      <c r="G6" s="2742"/>
      <c r="H6" s="2742"/>
      <c r="I6" s="2742"/>
      <c r="J6" s="2743"/>
      <c r="K6" s="1842"/>
      <c r="L6" s="2725" t="s">
        <v>2823</v>
      </c>
      <c r="M6" s="1081">
        <f>SUMPRODUCT((区片价!B110:B157=I2)*(区片价!C3:F3=E2)*(区片价!C110:F157))</f>
        <v>10650</v>
      </c>
      <c r="N6" s="1083">
        <f>SUMPRODUCT((因素修正幅度!B110:B157=I2)*(因素修正幅度!C3:F3=E2)*(因素修正幅度!C110:F157))</f>
        <v>0.13</v>
      </c>
      <c r="O6" s="1370"/>
      <c r="P6" s="1370"/>
      <c r="Q6" s="1370"/>
      <c r="R6" s="1602">
        <v>5</v>
      </c>
      <c r="S6" s="1602">
        <f>ROUND(IF(G3&gt;1,IF(R6&lt;7,SUMPRODUCT((B93:B98=R6)*(C92:N92=G2)*(C93:N98)),SUMIF(C92:N92,G2,C100:N100)),IF(R6&lt;7,SUMPRODUCT((B102:B107=R6)*(C92:N92=G2)*(C102:N107)),SUMIF(C92:N92,G2,C109:N109))),4)</f>
        <v>0.73709999999999998</v>
      </c>
      <c r="T6" s="1602">
        <f t="shared" ca="1" si="0"/>
        <v>9706</v>
      </c>
      <c r="U6" s="1603"/>
      <c r="V6" s="1602">
        <f t="shared" ca="1" si="1"/>
        <v>0</v>
      </c>
      <c r="W6" s="1606"/>
      <c r="X6" s="1606"/>
      <c r="Y6" s="1606"/>
      <c r="Z6" s="1606"/>
      <c r="AA6" s="1606"/>
      <c r="AB6" s="1606"/>
      <c r="AC6" s="2734"/>
      <c r="AD6" s="2735"/>
      <c r="AE6" s="2735"/>
      <c r="AF6" s="2735"/>
      <c r="AG6" s="2735"/>
      <c r="AH6" s="2735"/>
      <c r="AI6" s="2735"/>
      <c r="AJ6" s="2736"/>
    </row>
    <row r="7" spans="1:36" ht="24">
      <c r="A7" s="3219" t="str">
        <f>IF(E2="商业",IF(C8="不临58条商业街","",2),"")</f>
        <v/>
      </c>
      <c r="B7" s="2744" t="s">
        <v>2824</v>
      </c>
      <c r="C7" s="916">
        <f>IF(C8="不临58条商业街",1,ROUND(1+(1.6*E8+1.2*E9+0.8*E10+0.4*E11)*C9,4))</f>
        <v>1</v>
      </c>
      <c r="D7" s="2745" t="s">
        <v>2825</v>
      </c>
      <c r="E7" s="945">
        <v>60</v>
      </c>
      <c r="F7" s="2746"/>
      <c r="G7" s="2747"/>
      <c r="H7" s="2747"/>
      <c r="I7" s="2747"/>
      <c r="J7" s="2748"/>
      <c r="K7" s="1842"/>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8535</v>
      </c>
      <c r="U7" s="1603"/>
      <c r="V7" s="1602">
        <f t="shared" ca="1" si="1"/>
        <v>0</v>
      </c>
      <c r="W7" s="1816" t="s">
        <v>2827</v>
      </c>
      <c r="X7" s="1604" t="str">
        <f>G2</f>
        <v>六级</v>
      </c>
      <c r="Y7" s="1604" t="s">
        <v>2828</v>
      </c>
      <c r="Z7" s="1605">
        <f>G3</f>
        <v>1.9</v>
      </c>
      <c r="AA7" s="1606"/>
      <c r="AB7" s="1606"/>
      <c r="AC7" s="1607"/>
      <c r="AD7" s="1608"/>
      <c r="AE7" s="1608"/>
      <c r="AF7" s="1608"/>
      <c r="AG7" s="1608"/>
      <c r="AH7" s="1608"/>
      <c r="AI7" s="1608"/>
      <c r="AJ7" s="1609"/>
    </row>
    <row r="8" spans="1:36" ht="25.5">
      <c r="A8" s="3220"/>
      <c r="B8" s="198" t="s">
        <v>2829</v>
      </c>
      <c r="C8" s="2749" t="s">
        <v>3162</v>
      </c>
      <c r="D8" s="917" t="s">
        <v>139</v>
      </c>
      <c r="E8" s="918">
        <f>ROUND(C11/E7,4)</f>
        <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0" t="s">
        <v>2832</v>
      </c>
      <c r="X8" s="3231"/>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20"/>
      <c r="B9" s="198" t="s">
        <v>2845</v>
      </c>
      <c r="C9" s="919">
        <f>SUMIF(修正!C59:C119,C8,修正!E59:E119)</f>
        <v>0</v>
      </c>
      <c r="D9" s="200" t="s">
        <v>140</v>
      </c>
      <c r="E9" s="200">
        <f>ROUND(C11/E7,4)</f>
        <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32"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2850</v>
      </c>
      <c r="C10" s="200">
        <f>SUMIF(修正!C59:C119,C8,修正!F59:F119)</f>
        <v>0</v>
      </c>
      <c r="D10" s="200" t="s">
        <v>141</v>
      </c>
      <c r="E10" s="200">
        <f>ROUND(C11/E7,4)</f>
        <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3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53" t="s">
        <v>2853</v>
      </c>
      <c r="C11" s="920">
        <f>C10/4</f>
        <v>0</v>
      </c>
      <c r="D11" s="920" t="s">
        <v>142</v>
      </c>
      <c r="E11" s="920">
        <f>ROUND(C11/E7,4)</f>
        <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32" t="s">
        <v>2856</v>
      </c>
      <c r="X11" s="1614" t="s">
        <v>2857</v>
      </c>
      <c r="Y11" s="1615">
        <f>$G$3</f>
        <v>1.9</v>
      </c>
      <c r="Z11" s="1615">
        <f t="shared" ref="Z11:AJ11" si="3">$G$3</f>
        <v>1.9</v>
      </c>
      <c r="AA11" s="1615">
        <f t="shared" si="3"/>
        <v>1.9</v>
      </c>
      <c r="AB11" s="1615">
        <f t="shared" si="3"/>
        <v>1.9</v>
      </c>
      <c r="AC11" s="1615">
        <f t="shared" si="3"/>
        <v>1.9</v>
      </c>
      <c r="AD11" s="1615">
        <f t="shared" si="3"/>
        <v>1.9</v>
      </c>
      <c r="AE11" s="1615">
        <f t="shared" si="3"/>
        <v>1.9</v>
      </c>
      <c r="AF11" s="1615">
        <f t="shared" si="3"/>
        <v>1.9</v>
      </c>
      <c r="AG11" s="1615">
        <f t="shared" si="3"/>
        <v>1.9</v>
      </c>
      <c r="AH11" s="1615">
        <f t="shared" si="3"/>
        <v>1.9</v>
      </c>
      <c r="AI11" s="1615">
        <f t="shared" si="3"/>
        <v>1.9</v>
      </c>
      <c r="AJ11" s="1615">
        <f t="shared" si="3"/>
        <v>1.9</v>
      </c>
    </row>
    <row r="12" spans="1:36" ht="25.5" thickBot="1">
      <c r="A12" s="3219" t="s">
        <v>2858</v>
      </c>
      <c r="B12" s="2757" t="s">
        <v>2859</v>
      </c>
      <c r="C12" s="916">
        <f>ROUND(C15*D15*E15*F15*G15*H15*I15*J15,4)</f>
        <v>1.21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32"/>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3"/>
      <c r="B13" s="2763" t="s">
        <v>2863</v>
      </c>
      <c r="C13" s="2764" t="s">
        <v>2864</v>
      </c>
      <c r="D13" s="1808" t="s">
        <v>2865</v>
      </c>
      <c r="E13" s="1808" t="s">
        <v>2866</v>
      </c>
      <c r="F13" s="30" t="s">
        <v>2867</v>
      </c>
      <c r="G13" s="2765" t="s">
        <v>2868</v>
      </c>
      <c r="H13" s="2765" t="s">
        <v>2868</v>
      </c>
      <c r="I13" s="2765" t="s">
        <v>2868</v>
      </c>
      <c r="J13" s="2766" t="s">
        <v>2868</v>
      </c>
      <c r="K13" s="1370"/>
      <c r="L13" s="1370"/>
      <c r="M13" s="1370"/>
      <c r="N13" s="1370"/>
      <c r="O13" s="1370"/>
      <c r="P13" s="1370"/>
      <c r="Q13" s="1370"/>
      <c r="R13" s="1602">
        <v>12</v>
      </c>
      <c r="S13" s="1603"/>
      <c r="T13" s="1602">
        <f t="shared" ca="1" si="0"/>
        <v>0</v>
      </c>
      <c r="U13" s="1603"/>
      <c r="V13" s="1602">
        <f t="shared" ca="1" si="1"/>
        <v>0</v>
      </c>
      <c r="W13" s="3232"/>
      <c r="X13" s="1616"/>
      <c r="Y13" s="1613">
        <f>(-0.163*(Y12^2)-0.59*Y12+7617)*(10^(-4))/Y11</f>
        <v>0.4008947368421053</v>
      </c>
      <c r="Z13" s="1613">
        <f t="shared" ref="Z13:AJ13" si="5">(-0.163*(Z12^2)-0.59*Z12+7617)*(10^(-4))/Z11</f>
        <v>0.4008947368421053</v>
      </c>
      <c r="AA13" s="1613">
        <f t="shared" si="5"/>
        <v>0.4008947368421053</v>
      </c>
      <c r="AB13" s="1613">
        <f t="shared" si="5"/>
        <v>0.4008947368421053</v>
      </c>
      <c r="AC13" s="1613">
        <f t="shared" si="5"/>
        <v>0.4008947368421053</v>
      </c>
      <c r="AD13" s="1613">
        <f t="shared" si="5"/>
        <v>0.4008947368421053</v>
      </c>
      <c r="AE13" s="1613">
        <f t="shared" si="5"/>
        <v>0.4008947368421053</v>
      </c>
      <c r="AF13" s="1613">
        <f t="shared" si="5"/>
        <v>0.4008947368421053</v>
      </c>
      <c r="AG13" s="1613">
        <f t="shared" si="5"/>
        <v>0.4008947368421053</v>
      </c>
      <c r="AH13" s="1613">
        <f t="shared" si="5"/>
        <v>0.4008947368421053</v>
      </c>
      <c r="AI13" s="1613">
        <f t="shared" si="5"/>
        <v>0.4008947368421053</v>
      </c>
      <c r="AJ13" s="1613">
        <f t="shared" si="5"/>
        <v>0.4008947368421053</v>
      </c>
    </row>
    <row r="14" spans="1:36" ht="15">
      <c r="A14" s="3233"/>
      <c r="B14" s="2767"/>
      <c r="C14" s="2768" t="s">
        <v>3163</v>
      </c>
      <c r="D14" s="2769" t="s">
        <v>3135</v>
      </c>
      <c r="E14" s="2769" t="s">
        <v>3163</v>
      </c>
      <c r="F14" s="2770" t="s">
        <v>3164</v>
      </c>
      <c r="G14" s="2771" t="s">
        <v>2869</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4"/>
      <c r="B15" s="2775" t="s">
        <v>2870</v>
      </c>
      <c r="C15" s="229">
        <f>IF(C14="有",1.1,1)</f>
        <v>1.1000000000000001</v>
      </c>
      <c r="D15" s="229">
        <f>IF(D14="有",1.1,1)</f>
        <v>1</v>
      </c>
      <c r="E15" s="229">
        <f>IF(E14="有",1.1,1)</f>
        <v>1.1000000000000001</v>
      </c>
      <c r="F15" s="229">
        <f>IF(F14="500米范围内",1.2,IF(F14="500-1000米",1.1,1))</f>
        <v>1</v>
      </c>
      <c r="G15" s="946">
        <v>1</v>
      </c>
      <c r="H15" s="946">
        <v>1</v>
      </c>
      <c r="I15" s="946">
        <v>1</v>
      </c>
      <c r="J15" s="947">
        <v>1</v>
      </c>
      <c r="K15" s="1370"/>
      <c r="L15" s="2776" t="s">
        <v>2807</v>
      </c>
      <c r="M15" s="917" t="s">
        <v>2871</v>
      </c>
      <c r="N15" s="917" t="s">
        <v>2872</v>
      </c>
      <c r="O15" s="917" t="s">
        <v>2873</v>
      </c>
      <c r="P15" s="2777" t="s">
        <v>2874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19" t="s">
        <v>2875</v>
      </c>
      <c r="B16" s="2744" t="s">
        <v>2876</v>
      </c>
      <c r="C16" s="1801">
        <f>ROUND(SUM(G17:J17)/C17,0)</f>
        <v>0</v>
      </c>
      <c r="D16" s="2778" t="s">
        <v>2877</v>
      </c>
      <c r="E16" s="2779" t="s">
        <v>3211</v>
      </c>
      <c r="F16" s="2780" t="s">
        <v>3212</v>
      </c>
      <c r="G16" s="2781" t="s">
        <v>70</v>
      </c>
      <c r="H16" s="2781" t="s">
        <v>70</v>
      </c>
      <c r="I16" s="2781" t="s">
        <v>70</v>
      </c>
      <c r="J16" s="2782" t="s">
        <v>70</v>
      </c>
      <c r="K16" s="1370"/>
      <c r="L16" s="2783" t="s">
        <v>2878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20"/>
      <c r="B17" s="2784" t="s">
        <v>2879</v>
      </c>
      <c r="C17" s="921">
        <f>SUMPRODUCT((修正!A2:A5=E2)*(修正!B1:M1=G2)*(修正!B2:M5))</f>
        <v>2.5</v>
      </c>
      <c r="D17" s="2785" t="s">
        <v>2880</v>
      </c>
      <c r="E17" s="920" t="str">
        <f>IF(OR(G2="八级",G2="九级",G2="十级",G2="十一级",G2="十二级"),"五通一平","七通一平")</f>
        <v>七通一平</v>
      </c>
      <c r="F17" s="921" t="s">
        <v>2881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2883</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2884</v>
      </c>
      <c r="C19" s="924">
        <f>ROUND(IF(H19="按公示增长率计算",SUMPRODUCT((地价!A3:A22=YEAR(G19)&amp;"-"&amp;ROUNDUP(MONTH(G19)/3,0))*(地价!X2:AB2=E2)*(地价!X3:AB22)),IF(H19="地价指数",M20/M19,(1+I19)^O19)),4)</f>
        <v>1.2928999999999999</v>
      </c>
      <c r="D19" s="2796" t="s">
        <v>2885</v>
      </c>
      <c r="E19" s="925">
        <v>41640</v>
      </c>
      <c r="F19" s="2796" t="s">
        <v>2886</v>
      </c>
      <c r="G19" s="926">
        <f>'数据-取费表'!B2</f>
        <v>43222</v>
      </c>
      <c r="H19" s="2797" t="s">
        <v>3165</v>
      </c>
      <c r="I19" s="927" t="str">
        <f>IF(H19="季度增幅（自定义）",SUMIF(N21:N24,E2,O21:O24),"")</f>
        <v/>
      </c>
      <c r="J19" s="2794"/>
      <c r="K19" s="1377"/>
      <c r="L19" s="2798" t="s">
        <v>2887</v>
      </c>
      <c r="M19" s="1734">
        <f>ROUND(SUMIF(地价!B2:F2,E2,地价!B22:F22),0)</f>
        <v>258</v>
      </c>
      <c r="N19" s="2799" t="s">
        <v>2888</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2889</v>
      </c>
      <c r="C20" s="929">
        <f ca="1">ROUND(POWER(1+G20,J20-I20)*(POWER(1+G20,I20)-1)/(POWER(1+G20,J20)-1),4)</f>
        <v>0.91639999999999999</v>
      </c>
      <c r="D20" s="2805" t="s">
        <v>2890</v>
      </c>
      <c r="E20" s="1768">
        <f ca="1">存贷款利率!D4/100</f>
        <v>4.3499999999999997E-2</v>
      </c>
      <c r="F20" s="2805" t="s">
        <v>2882</v>
      </c>
      <c r="G20" s="934">
        <f ca="1">SUMIF(M15:P15,E2,M17:P17)</f>
        <v>5.1999999999999998E-2</v>
      </c>
      <c r="H20" s="2805" t="s">
        <v>2891</v>
      </c>
      <c r="I20" s="935">
        <f>SUMIF('数据-取费表'!C6:C15,E2,'数据-取费表'!F6:F15)/COUNTIF('数据-取费表'!C6:C15,E2)</f>
        <v>36.619999999999997</v>
      </c>
      <c r="J20" s="936">
        <f>IF(E2="住宅",70,IF(E2="商业",40,50))</f>
        <v>50</v>
      </c>
      <c r="K20" s="1377"/>
      <c r="L20" s="2806" t="s">
        <v>2892</v>
      </c>
      <c r="M20" s="1735">
        <f>ROUND(SUMPRODUCT((地价!A4:A22=YEAR(G19)&amp;"-"&amp;ROUNDUP(MONTH(G19)/3,0))*(地价!B2:F2=E2)*(地价!B4:F22)),0)</f>
        <v>333</v>
      </c>
      <c r="N20" s="2807" t="s">
        <v>2893</v>
      </c>
      <c r="O20" s="2808" t="s">
        <v>2894</v>
      </c>
      <c r="P20" s="2809" t="s">
        <v>2895</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3171</v>
      </c>
      <c r="C21" s="937">
        <f>IF(B21="容积率修正",IF(G3&lt;=10,D22,J22),C23)</f>
        <v>1.0901000000000001</v>
      </c>
      <c r="D21" s="2812"/>
      <c r="E21" s="2812"/>
      <c r="F21" s="2812"/>
      <c r="G21" s="2812"/>
      <c r="H21" s="2812"/>
      <c r="I21" s="2812"/>
      <c r="J21" s="2813"/>
      <c r="K21" s="1377"/>
      <c r="N21" s="2814" t="s">
        <v>2897</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15" t="s">
        <v>2899</v>
      </c>
      <c r="C22" s="1810" t="s">
        <v>2900</v>
      </c>
      <c r="D22" s="1810">
        <f>IF(E22=G22,F22,IF(G3&lt;=10,ROUND(F22+(H22-F22)*(G3-E22)/(G22-E22),4),"——"))</f>
        <v>1.0901000000000001</v>
      </c>
      <c r="E22" s="913">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3">
        <f>ROUNDUP(G3,1)</f>
        <v>1.9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1810" t="s">
        <v>155</v>
      </c>
      <c r="J22" s="938" t="str">
        <f>IF(G3&gt;10,D113,"——")</f>
        <v>——</v>
      </c>
      <c r="K22" s="1377"/>
      <c r="N22" s="2814" t="s">
        <v>2901</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2902</v>
      </c>
      <c r="B23" s="2816" t="s">
        <v>2903</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2904</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2905</v>
      </c>
      <c r="C24" s="924">
        <f>SUMIF(A45:A88,E2,B45:B88)</f>
        <v>1.0435000000000001</v>
      </c>
      <c r="D24" s="2792"/>
      <c r="E24" s="2822"/>
      <c r="F24" s="2822"/>
      <c r="G24" s="2822"/>
      <c r="H24" s="2822"/>
      <c r="I24" s="2822"/>
      <c r="J24" s="2823"/>
      <c r="K24" s="1377"/>
      <c r="N24" s="2824" t="s">
        <v>2906</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2907</v>
      </c>
      <c r="C25" s="930"/>
      <c r="D25" s="2747"/>
      <c r="E25" s="2747"/>
      <c r="F25" s="2826"/>
      <c r="G25" s="2747"/>
      <c r="H25" s="2747"/>
      <c r="I25" s="2747"/>
      <c r="J25" s="2748"/>
      <c r="K25" s="1370"/>
      <c r="N25" s="2827" t="s">
        <v>2908</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2909</v>
      </c>
      <c r="C26" s="206">
        <f ca="1">E29+SUM(E33:E39)</f>
        <v>26056</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2910</v>
      </c>
      <c r="C27" s="931">
        <f ca="1">E30+SUM(I33:I39)</f>
        <v>315</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2911</v>
      </c>
      <c r="C28" s="2839" t="s">
        <v>2912</v>
      </c>
      <c r="D28" s="2839" t="s">
        <v>2913</v>
      </c>
      <c r="E28" s="2840" t="s">
        <v>2914</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2915</v>
      </c>
      <c r="C29" s="206">
        <f ca="1">ROUND(C5*C18*C19*C20*C21*C24,0)</f>
        <v>14354</v>
      </c>
      <c r="D29" s="2844">
        <f>'数据-汇总表'!F20</f>
        <v>17274</v>
      </c>
      <c r="E29" s="942">
        <f ca="1">ROUND(C29*D29/10000,0)</f>
        <v>24795</v>
      </c>
      <c r="F29" s="2845" t="s">
        <v>2916</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2917</v>
      </c>
      <c r="C30" s="229">
        <f ca="1">ROUND(IF(E2="工业",C29*M39,C29*M38),0)</f>
        <v>3589</v>
      </c>
      <c r="D30" s="2850"/>
      <c r="E30" s="942">
        <f ca="1">ROUND(C30*D30/10000,0)</f>
        <v>0</v>
      </c>
      <c r="F30" s="2851" t="s">
        <v>2918</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2919</v>
      </c>
      <c r="C31" s="2856" t="s">
        <v>2920</v>
      </c>
      <c r="D31" s="2760"/>
      <c r="E31" s="2856"/>
      <c r="F31" s="2856"/>
      <c r="G31" s="2758" t="s">
        <v>2921</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2912</v>
      </c>
      <c r="D32" s="498" t="s">
        <v>2913</v>
      </c>
      <c r="E32" s="498" t="s">
        <v>2914</v>
      </c>
      <c r="F32" s="388" t="s">
        <v>2922</v>
      </c>
      <c r="G32" s="2859" t="s">
        <v>2912</v>
      </c>
      <c r="H32" s="2859" t="s">
        <v>2913</v>
      </c>
      <c r="I32" s="285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21" t="s">
        <v>2923</v>
      </c>
      <c r="B33" s="2860" t="s">
        <v>2924</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2"/>
      <c r="B34" s="2764" t="s">
        <v>2925</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2"/>
      <c r="B35" s="2764" t="s">
        <v>2926</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23"/>
      <c r="B36" s="2764" t="s">
        <v>2927</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2928</v>
      </c>
      <c r="C37" s="200">
        <f ca="1">ROUND(C5*C19*C20*C24*F37,0)</f>
        <v>3292</v>
      </c>
      <c r="D37" s="2844"/>
      <c r="E37" s="200">
        <f t="shared" ca="1" si="7"/>
        <v>0</v>
      </c>
      <c r="F37" s="206">
        <f>SUMIF(修正!A45:A56,G2,修正!F45:F56)</f>
        <v>0.25</v>
      </c>
      <c r="G37" s="200">
        <f t="shared" ca="1" si="6"/>
        <v>823</v>
      </c>
      <c r="H37" s="200">
        <f t="shared" si="8"/>
        <v>0</v>
      </c>
      <c r="I37" s="200">
        <f t="shared" ca="1" si="9"/>
        <v>0</v>
      </c>
      <c r="J37" s="2861"/>
      <c r="K37" s="1370"/>
      <c r="L37" s="2863" t="s">
        <v>2929</v>
      </c>
      <c r="M37" s="2864"/>
      <c r="N37" s="1370"/>
      <c r="O37" s="1370"/>
      <c r="P37" s="1370"/>
      <c r="Q37" s="1370"/>
      <c r="R37" s="1370"/>
      <c r="S37" s="1370"/>
      <c r="T37" s="1370"/>
      <c r="U37" s="1370"/>
      <c r="V37" s="1370"/>
      <c r="W37" s="1370"/>
      <c r="X37" s="1370"/>
      <c r="Y37" s="1370"/>
      <c r="Z37" s="1371"/>
    </row>
    <row r="38" spans="1:37">
      <c r="A38" s="2862"/>
      <c r="B38" s="2764" t="s">
        <v>2930</v>
      </c>
      <c r="C38" s="200">
        <f ca="1">ROUND(C5*C19*C20*C24*F38,0)</f>
        <v>3292</v>
      </c>
      <c r="D38" s="2844"/>
      <c r="E38" s="200">
        <f t="shared" ca="1" si="7"/>
        <v>0</v>
      </c>
      <c r="F38" s="206">
        <f>SUMIF(修正!A45:A56,G2,修正!G45:G56)</f>
        <v>0.25</v>
      </c>
      <c r="G38" s="200">
        <f t="shared" ca="1" si="6"/>
        <v>823</v>
      </c>
      <c r="H38" s="200">
        <f t="shared" si="8"/>
        <v>0</v>
      </c>
      <c r="I38" s="200">
        <f t="shared" ca="1" si="9"/>
        <v>0</v>
      </c>
      <c r="J38" s="2861"/>
      <c r="K38" s="1370"/>
      <c r="L38" s="1887" t="s">
        <v>2931</v>
      </c>
      <c r="M38" s="2865">
        <v>0.25</v>
      </c>
      <c r="N38" s="1370"/>
      <c r="O38" s="1370"/>
      <c r="P38" s="1370"/>
      <c r="Q38" s="1370"/>
      <c r="R38" s="1370"/>
      <c r="S38" s="1370"/>
      <c r="T38" s="1370"/>
      <c r="U38" s="1370"/>
      <c r="V38" s="1370"/>
      <c r="W38" s="1370"/>
      <c r="X38" s="1370"/>
      <c r="Y38" s="1370"/>
      <c r="Z38" s="1371"/>
    </row>
    <row r="39" spans="1:37" ht="13.5" thickBot="1">
      <c r="A39" s="2848"/>
      <c r="B39" s="2866" t="s">
        <v>2932</v>
      </c>
      <c r="C39" s="229">
        <f ca="1">ROUND(C5*C19*C20*C24*F39,0)</f>
        <v>2633</v>
      </c>
      <c r="D39" s="2850">
        <f>'数据-汇总表'!G21</f>
        <v>4788.67</v>
      </c>
      <c r="E39" s="229">
        <f t="shared" ca="1" si="7"/>
        <v>1261</v>
      </c>
      <c r="F39" s="932">
        <f>SUMIF(修正!A45:A56,G2,修正!H45:H56)</f>
        <v>0.2</v>
      </c>
      <c r="G39" s="229">
        <f t="shared" ca="1" si="6"/>
        <v>658</v>
      </c>
      <c r="H39" s="229">
        <f t="shared" si="8"/>
        <v>4788.67</v>
      </c>
      <c r="I39" s="229">
        <f t="shared" ca="1" si="9"/>
        <v>315</v>
      </c>
      <c r="J39" s="2867"/>
      <c r="K39" s="1370"/>
      <c r="L39" s="2868" t="s">
        <v>2874</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2933</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2934</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2935</v>
      </c>
      <c r="B47" s="1809" t="s">
        <v>2936</v>
      </c>
      <c r="C47" s="1809" t="s">
        <v>2937</v>
      </c>
      <c r="D47" s="1809" t="s">
        <v>2938</v>
      </c>
      <c r="E47" s="816" t="s">
        <v>2939</v>
      </c>
      <c r="F47" s="2878" t="s">
        <v>2940</v>
      </c>
      <c r="G47" s="1809" t="s">
        <v>754</v>
      </c>
      <c r="H47" s="2879" t="s">
        <v>2941</v>
      </c>
      <c r="I47" s="1809"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77" t="s">
        <v>2943</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2944</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2945</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2946</v>
      </c>
      <c r="B51" s="2882" t="s">
        <v>2947</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2948</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2949</v>
      </c>
      <c r="B53" s="2883" t="s">
        <v>2950</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2951</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2952</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2953</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2954</v>
      </c>
      <c r="B57" s="2874">
        <f>1+E59</f>
        <v>1.0435000000000001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2935</v>
      </c>
      <c r="B58" s="1809"/>
      <c r="C58" s="1809" t="s">
        <v>2937</v>
      </c>
      <c r="D58" s="1809" t="s">
        <v>2938</v>
      </c>
      <c r="E58" s="816" t="s">
        <v>2939</v>
      </c>
      <c r="F58" s="2878" t="s">
        <v>2955</v>
      </c>
      <c r="G58" s="1809" t="s">
        <v>754</v>
      </c>
      <c r="H58" s="2879" t="s">
        <v>2941</v>
      </c>
      <c r="I58" s="1809"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77" t="s">
        <v>2956</v>
      </c>
      <c r="B59" s="2880" t="str">
        <f>估价对象房地状况!C17</f>
        <v>估价对象位于XX商圈，周边办公楼项目较多，入驻率高，办公集聚程度较好</v>
      </c>
      <c r="C59" s="2769" t="s">
        <v>3169</v>
      </c>
      <c r="D59" s="1286">
        <f t="shared" ref="D59:D67" si="15">SUMIF($J$58:$N$58,C59,J59:N59)</f>
        <v>0</v>
      </c>
      <c r="E59" s="818">
        <f>ROUND(SUM(D59:D67),4)</f>
        <v>4.3499999999999997E-2</v>
      </c>
      <c r="F59" s="2500">
        <f>IF(E2="办公",SUMIF(L1:L12,G2,N1:N12),"——")</f>
        <v>0.13</v>
      </c>
      <c r="G59" s="1284">
        <f>H59</f>
        <v>1.5599999999999999E-2</v>
      </c>
      <c r="H59" s="1288">
        <f t="shared" ref="H59:H67" si="16">IFERROR(ROUNDDOWN($F$59*I59/2,4),"——")</f>
        <v>1.5599999999999999E-2</v>
      </c>
      <c r="I59" s="817">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51">
      <c r="A60" s="2877" t="s">
        <v>2944</v>
      </c>
      <c r="B60" s="2881" t="str">
        <f>估价对象房地状况!C18</f>
        <v>估价对象周边道路状况、公共交通通达情况、停车便捷程度，综合评价交通便捷度较好</v>
      </c>
      <c r="C60" s="2769" t="s">
        <v>3168</v>
      </c>
      <c r="D60" s="1286">
        <f t="shared" si="15"/>
        <v>1.95E-2</v>
      </c>
      <c r="E60" s="819"/>
      <c r="F60" s="2500"/>
      <c r="G60" s="1284">
        <f t="shared" ref="G60:G67" si="20">H60</f>
        <v>1.95E-2</v>
      </c>
      <c r="H60" s="1288">
        <f t="shared" si="16"/>
        <v>1.95E-2</v>
      </c>
      <c r="I60" s="817">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77" t="s">
        <v>2945</v>
      </c>
      <c r="B61" s="2881">
        <f>估价对象房地状况!C19</f>
        <v>0</v>
      </c>
      <c r="C61" s="2769" t="s">
        <v>3168</v>
      </c>
      <c r="D61" s="1286">
        <f t="shared" si="15"/>
        <v>5.1999999999999998E-3</v>
      </c>
      <c r="E61" s="819"/>
      <c r="F61" s="2500"/>
      <c r="G61" s="1284">
        <f t="shared" si="20"/>
        <v>5.1999999999999998E-3</v>
      </c>
      <c r="H61" s="1288">
        <f t="shared" si="16"/>
        <v>5.1999999999999998E-3</v>
      </c>
      <c r="I61" s="817">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77" t="s">
        <v>2946</v>
      </c>
      <c r="B62" s="2882" t="s">
        <v>2947</v>
      </c>
      <c r="C62" s="2769" t="s">
        <v>3169</v>
      </c>
      <c r="D62" s="1286">
        <f t="shared" si="15"/>
        <v>0</v>
      </c>
      <c r="E62" s="819"/>
      <c r="F62" s="2500"/>
      <c r="G62" s="1284">
        <f t="shared" si="20"/>
        <v>2.5999999999999999E-3</v>
      </c>
      <c r="H62" s="1288">
        <f t="shared" si="16"/>
        <v>2.5999999999999999E-3</v>
      </c>
      <c r="I62" s="817">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77" t="s">
        <v>2948</v>
      </c>
      <c r="B63" s="2881">
        <f>估价对象房地状况!C24</f>
        <v>0</v>
      </c>
      <c r="C63" s="2769" t="s">
        <v>3169</v>
      </c>
      <c r="D63" s="1286">
        <f t="shared" si="15"/>
        <v>0</v>
      </c>
      <c r="E63" s="819"/>
      <c r="F63" s="2500"/>
      <c r="G63" s="1284">
        <f t="shared" si="20"/>
        <v>3.2000000000000002E-3</v>
      </c>
      <c r="H63" s="1288">
        <f t="shared" si="16"/>
        <v>3.2000000000000002E-3</v>
      </c>
      <c r="I63" s="817">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77" t="s">
        <v>2949</v>
      </c>
      <c r="B64" s="2883" t="s">
        <v>2950</v>
      </c>
      <c r="C64" s="2769" t="s">
        <v>3168</v>
      </c>
      <c r="D64" s="1286">
        <f t="shared" si="15"/>
        <v>3.2000000000000002E-3</v>
      </c>
      <c r="E64" s="819"/>
      <c r="F64" s="2500"/>
      <c r="G64" s="1284">
        <f t="shared" si="20"/>
        <v>3.2000000000000002E-3</v>
      </c>
      <c r="H64" s="1288">
        <f t="shared" si="16"/>
        <v>3.2000000000000002E-3</v>
      </c>
      <c r="I64" s="817">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77" t="s">
        <v>2951</v>
      </c>
      <c r="B65" s="1725" t="str">
        <f>估价对象房地状况!C21</f>
        <v>估价对象所在区域公共配套设施齐备情况</v>
      </c>
      <c r="C65" s="2769" t="s">
        <v>3168</v>
      </c>
      <c r="D65" s="1286">
        <f t="shared" si="15"/>
        <v>3.8999999999999998E-3</v>
      </c>
      <c r="E65" s="819"/>
      <c r="F65" s="2500"/>
      <c r="G65" s="1284">
        <f t="shared" si="20"/>
        <v>3.8999999999999998E-3</v>
      </c>
      <c r="H65" s="1288">
        <f t="shared" si="16"/>
        <v>3.8999999999999998E-3</v>
      </c>
      <c r="I65" s="817">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77" t="s">
        <v>2952</v>
      </c>
      <c r="B66" s="1725" t="str">
        <f>估价对象房地状况!C22</f>
        <v>估价对象所在区域基础设施水平</v>
      </c>
      <c r="C66" s="2769" t="s">
        <v>3168</v>
      </c>
      <c r="D66" s="1286">
        <f t="shared" si="15"/>
        <v>7.7999999999999996E-3</v>
      </c>
      <c r="E66" s="819"/>
      <c r="F66" s="2500"/>
      <c r="G66" s="1284">
        <f t="shared" si="20"/>
        <v>7.7999999999999996E-3</v>
      </c>
      <c r="H66" s="1288">
        <f t="shared" si="16"/>
        <v>7.7999999999999996E-3</v>
      </c>
      <c r="I66" s="817">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39" thickBot="1">
      <c r="A67" s="2885" t="s">
        <v>2953</v>
      </c>
      <c r="B67" s="2887" t="str">
        <f>估价对象房地状况!C20</f>
        <v>区域自然环境：；人文环境；综合评价环境状况一般</v>
      </c>
      <c r="C67" s="2769" t="s">
        <v>3168</v>
      </c>
      <c r="D67" s="1286">
        <f t="shared" si="15"/>
        <v>3.8999999999999998E-3</v>
      </c>
      <c r="E67" s="822"/>
      <c r="F67" s="2500"/>
      <c r="G67" s="1284">
        <f t="shared" si="20"/>
        <v>3.8999999999999998E-3</v>
      </c>
      <c r="H67" s="1288">
        <f t="shared" si="16"/>
        <v>3.8999999999999998E-3</v>
      </c>
      <c r="I67" s="821">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73" t="s">
        <v>2957</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2935</v>
      </c>
      <c r="B69" s="1809"/>
      <c r="C69" s="1809" t="s">
        <v>2937</v>
      </c>
      <c r="D69" s="1809" t="s">
        <v>2938</v>
      </c>
      <c r="E69" s="816" t="s">
        <v>2939</v>
      </c>
      <c r="F69" s="2878" t="s">
        <v>2955</v>
      </c>
      <c r="G69" s="1809" t="s">
        <v>754</v>
      </c>
      <c r="H69" s="2879" t="s">
        <v>2941</v>
      </c>
      <c r="I69" s="1809"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77" t="s">
        <v>2958</v>
      </c>
      <c r="B70" s="2880" t="str">
        <f>估价对象房地状况!C15</f>
        <v>估价对象周边居住用地比例、居住小区规模和社区发展完善程度，综合评价居住社区成熟度一般</v>
      </c>
      <c r="C70" s="2769"/>
      <c r="D70" s="1286">
        <f t="shared" ref="D70:D78" si="21">SUMIF($J$69:$N$69,C70,J70:N70)</f>
        <v>0</v>
      </c>
      <c r="E70" s="818">
        <f>ROUND(SUM(D70:D78),4)</f>
        <v>0</v>
      </c>
      <c r="F70" s="2500"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7" t="s">
        <v>2944</v>
      </c>
      <c r="B71" s="2881" t="str">
        <f>估价对象房地状况!C18</f>
        <v>估价对象周边道路状况、公共交通通达情况、停车便捷程度，综合评价交通便捷度较好</v>
      </c>
      <c r="C71" s="2769"/>
      <c r="D71" s="1286">
        <f t="shared" si="21"/>
        <v>0</v>
      </c>
      <c r="E71" s="823"/>
      <c r="F71" s="2500"/>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7" t="s">
        <v>2945</v>
      </c>
      <c r="B72" s="2881">
        <f>估价对象房地状况!C19</f>
        <v>0</v>
      </c>
      <c r="C72" s="2769"/>
      <c r="D72" s="1286">
        <f t="shared" si="21"/>
        <v>0</v>
      </c>
      <c r="E72" s="823"/>
      <c r="F72" s="2500"/>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7" t="s">
        <v>2959</v>
      </c>
      <c r="B73" s="2881">
        <f>估价对象房地状况!C24</f>
        <v>0</v>
      </c>
      <c r="C73" s="2769"/>
      <c r="D73" s="1286">
        <f t="shared" si="21"/>
        <v>0</v>
      </c>
      <c r="E73" s="823"/>
      <c r="F73" s="2500"/>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7" t="s">
        <v>2951</v>
      </c>
      <c r="B74" s="1725" t="str">
        <f>估价对象房地状况!C21</f>
        <v>估价对象所在区域公共配套设施齐备情况</v>
      </c>
      <c r="C74" s="2769"/>
      <c r="D74" s="1286">
        <f t="shared" si="21"/>
        <v>0</v>
      </c>
      <c r="E74" s="823"/>
      <c r="F74" s="2500"/>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7" t="s">
        <v>2952</v>
      </c>
      <c r="B75" s="1725" t="str">
        <f>估价对象房地状况!C22</f>
        <v>估价对象所在区域基础设施水平</v>
      </c>
      <c r="C75" s="2769"/>
      <c r="D75" s="1286">
        <f t="shared" si="21"/>
        <v>0</v>
      </c>
      <c r="E75" s="823"/>
      <c r="F75" s="2500"/>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77" t="s">
        <v>2949</v>
      </c>
      <c r="B76" s="2883" t="s">
        <v>2950</v>
      </c>
      <c r="C76" s="2769"/>
      <c r="D76" s="1286">
        <f t="shared" si="21"/>
        <v>0</v>
      </c>
      <c r="E76" s="823"/>
      <c r="F76" s="2500"/>
      <c r="G76" s="1284"/>
      <c r="H76" s="1288" t="str">
        <f t="shared" si="22"/>
        <v>——</v>
      </c>
      <c r="I76" s="817">
        <v>0.05</v>
      </c>
      <c r="J76" s="1285">
        <f t="shared" si="23"/>
        <v>0</v>
      </c>
      <c r="K76" s="1285">
        <f t="shared" si="24"/>
        <v>0</v>
      </c>
      <c r="L76" s="1285">
        <v>0</v>
      </c>
      <c r="M76" s="1285">
        <f t="shared" si="25"/>
        <v>0</v>
      </c>
      <c r="N76" s="1285">
        <f t="shared" si="25"/>
        <v>0</v>
      </c>
      <c r="AA76" s="2888"/>
      <c r="AB76" s="1371"/>
      <c r="AC76" s="1371"/>
      <c r="AD76" s="1371"/>
      <c r="AE76" s="1371"/>
      <c r="AF76" s="1371"/>
      <c r="AG76" s="1371"/>
      <c r="AH76" s="2888"/>
      <c r="AI76" s="2888"/>
      <c r="AJ76" s="2888"/>
      <c r="AK76" s="2888"/>
    </row>
    <row r="77" spans="1:37" ht="38.25">
      <c r="A77" s="2877" t="s">
        <v>2953</v>
      </c>
      <c r="B77" s="2880" t="str">
        <f>估价对象房地状况!C20</f>
        <v>区域自然环境：；人文环境；综合评价环境状况一般</v>
      </c>
      <c r="C77" s="2769"/>
      <c r="D77" s="1286">
        <f t="shared" si="21"/>
        <v>0</v>
      </c>
      <c r="E77" s="823"/>
      <c r="F77" s="2500"/>
      <c r="G77" s="1284"/>
      <c r="H77" s="1288" t="str">
        <f t="shared" si="22"/>
        <v>——</v>
      </c>
      <c r="I77" s="817">
        <v>0.15</v>
      </c>
      <c r="J77" s="1285">
        <f t="shared" si="23"/>
        <v>0</v>
      </c>
      <c r="K77" s="1285">
        <f t="shared" si="24"/>
        <v>0</v>
      </c>
      <c r="L77" s="1285">
        <v>0</v>
      </c>
      <c r="M77" s="1285">
        <f t="shared" si="25"/>
        <v>0</v>
      </c>
      <c r="N77" s="1285">
        <f t="shared" si="25"/>
        <v>0</v>
      </c>
      <c r="Z77" s="2719"/>
      <c r="AA77" s="2795"/>
      <c r="AG77" s="1372"/>
      <c r="AK77" s="2795"/>
    </row>
    <row r="78" spans="1:37" ht="24.75" thickBot="1">
      <c r="A78" s="2885" t="s">
        <v>2960</v>
      </c>
      <c r="B78" s="2889"/>
      <c r="C78" s="2769"/>
      <c r="D78" s="1286">
        <f t="shared" si="21"/>
        <v>0</v>
      </c>
      <c r="E78" s="824"/>
      <c r="F78" s="2500"/>
      <c r="G78" s="1284"/>
      <c r="H78" s="1288" t="str">
        <f t="shared" si="22"/>
        <v>——</v>
      </c>
      <c r="I78" s="821">
        <v>0.04</v>
      </c>
      <c r="J78" s="1285">
        <f t="shared" si="23"/>
        <v>0</v>
      </c>
      <c r="K78" s="1285">
        <f t="shared" si="24"/>
        <v>0</v>
      </c>
      <c r="L78" s="1285">
        <v>0</v>
      </c>
      <c r="M78" s="1285">
        <f t="shared" si="25"/>
        <v>0</v>
      </c>
      <c r="N78" s="1285">
        <f t="shared" si="25"/>
        <v>0</v>
      </c>
      <c r="Z78" s="2719"/>
      <c r="AA78" s="2795"/>
      <c r="AG78" s="1372"/>
      <c r="AK78" s="2795"/>
    </row>
    <row r="79" spans="1:37" ht="15">
      <c r="A79" s="2873" t="s">
        <v>2961</v>
      </c>
      <c r="B79" s="2874">
        <f>1+E81</f>
        <v>1</v>
      </c>
      <c r="C79" s="811"/>
      <c r="D79" s="811"/>
      <c r="E79" s="812"/>
      <c r="F79" s="2876"/>
      <c r="G79" s="6"/>
      <c r="H79" s="6"/>
      <c r="I79" s="6"/>
      <c r="J79" s="7"/>
      <c r="K79" s="7"/>
      <c r="L79" s="7"/>
      <c r="M79" s="7"/>
      <c r="N79" s="7"/>
      <c r="Z79" s="2719"/>
      <c r="AA79" s="2795"/>
      <c r="AG79" s="1372"/>
      <c r="AK79" s="2795"/>
    </row>
    <row r="80" spans="1:37" ht="24.75">
      <c r="A80" s="2877" t="s">
        <v>2935</v>
      </c>
      <c r="B80" s="1809"/>
      <c r="C80" s="1809" t="s">
        <v>2937</v>
      </c>
      <c r="D80" s="1809" t="s">
        <v>2938</v>
      </c>
      <c r="E80" s="816" t="s">
        <v>2939</v>
      </c>
      <c r="F80" s="2878" t="s">
        <v>2955</v>
      </c>
      <c r="G80" s="1809" t="s">
        <v>754</v>
      </c>
      <c r="H80" s="2879" t="s">
        <v>2941</v>
      </c>
      <c r="I80" s="1809" t="s">
        <v>2942</v>
      </c>
      <c r="J80" s="603" t="s">
        <v>2590</v>
      </c>
      <c r="K80" s="603" t="s">
        <v>2591</v>
      </c>
      <c r="L80" s="603" t="s">
        <v>2592</v>
      </c>
      <c r="M80" s="603" t="s">
        <v>2593</v>
      </c>
      <c r="N80" s="603" t="s">
        <v>2594</v>
      </c>
      <c r="Z80" s="2719"/>
      <c r="AA80" s="2795"/>
      <c r="AG80" s="1372"/>
      <c r="AK80" s="2795"/>
    </row>
    <row r="81" spans="1:37" ht="38.25">
      <c r="A81" s="2877" t="s">
        <v>2962</v>
      </c>
      <c r="B81" s="2881" t="str">
        <f>估价对象房地状况!G15</f>
        <v>估价对象位于XX开发区，园区建设成熟度XX，产业集聚程度XX</v>
      </c>
      <c r="C81" s="2769"/>
      <c r="D81" s="1286">
        <f t="shared" ref="D81:D88" si="26">SUMIF($J$80:$N$80,C81,J81:N81)</f>
        <v>0</v>
      </c>
      <c r="E81" s="818">
        <f>ROUND(SUM(D81:D88),4)</f>
        <v>0</v>
      </c>
      <c r="F81" s="2500"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9"/>
      <c r="AA81" s="2795"/>
      <c r="AG81" s="1372"/>
      <c r="AK81" s="2795"/>
    </row>
    <row r="82" spans="1:37" ht="51">
      <c r="A82" s="2877" t="s">
        <v>2944</v>
      </c>
      <c r="B82" s="2881" t="str">
        <f>估价对象房地状况!G16</f>
        <v>估价对象周边道路状况、公共交通通达情况、停车便捷程度，综合评价交通便捷度较好</v>
      </c>
      <c r="C82" s="2769"/>
      <c r="D82" s="1286">
        <f t="shared" si="26"/>
        <v>0</v>
      </c>
      <c r="E82" s="823"/>
      <c r="F82" s="2500"/>
      <c r="G82" s="1284"/>
      <c r="H82" s="1288" t="str">
        <f t="shared" si="27"/>
        <v>——</v>
      </c>
      <c r="I82" s="817">
        <v>0.33</v>
      </c>
      <c r="J82" s="1285">
        <f t="shared" si="28"/>
        <v>0</v>
      </c>
      <c r="K82" s="1285">
        <f t="shared" si="29"/>
        <v>0</v>
      </c>
      <c r="L82" s="1285">
        <v>0</v>
      </c>
      <c r="M82" s="1285">
        <f t="shared" si="30"/>
        <v>0</v>
      </c>
      <c r="N82" s="1285">
        <f t="shared" si="30"/>
        <v>0</v>
      </c>
      <c r="Z82" s="2719"/>
      <c r="AA82" s="2795"/>
      <c r="AG82" s="1372"/>
      <c r="AK82" s="2795"/>
    </row>
    <row r="83" spans="1:37" ht="24">
      <c r="A83" s="2877" t="s">
        <v>2945</v>
      </c>
      <c r="B83" s="2881">
        <f>估价对象房地状况!G17</f>
        <v>0</v>
      </c>
      <c r="C83" s="2769"/>
      <c r="D83" s="1286">
        <f t="shared" si="26"/>
        <v>0</v>
      </c>
      <c r="E83" s="823"/>
      <c r="F83" s="2500"/>
      <c r="G83" s="1284"/>
      <c r="H83" s="1288" t="str">
        <f t="shared" si="27"/>
        <v>——</v>
      </c>
      <c r="I83" s="817">
        <v>0.05</v>
      </c>
      <c r="J83" s="1285">
        <f t="shared" si="28"/>
        <v>0</v>
      </c>
      <c r="K83" s="1285">
        <f t="shared" si="29"/>
        <v>0</v>
      </c>
      <c r="L83" s="1285">
        <v>0</v>
      </c>
      <c r="M83" s="1285">
        <f t="shared" si="30"/>
        <v>0</v>
      </c>
      <c r="N83" s="1285">
        <f t="shared" si="30"/>
        <v>0</v>
      </c>
      <c r="Z83" s="2719"/>
      <c r="AA83" s="2795"/>
      <c r="AG83" s="1372"/>
      <c r="AK83" s="2795"/>
    </row>
    <row r="84" spans="1:37" ht="14.25">
      <c r="A84" s="2877" t="s">
        <v>2959</v>
      </c>
      <c r="B84" s="2881">
        <f>估价对象房地状况!G22</f>
        <v>0</v>
      </c>
      <c r="C84" s="2769"/>
      <c r="D84" s="1286">
        <f t="shared" si="26"/>
        <v>0</v>
      </c>
      <c r="E84" s="823"/>
      <c r="F84" s="2500"/>
      <c r="G84" s="1284"/>
      <c r="H84" s="1288" t="str">
        <f t="shared" si="27"/>
        <v>——</v>
      </c>
      <c r="I84" s="817">
        <v>0.04</v>
      </c>
      <c r="J84" s="1285">
        <f t="shared" si="28"/>
        <v>0</v>
      </c>
      <c r="K84" s="1285">
        <f t="shared" si="29"/>
        <v>0</v>
      </c>
      <c r="L84" s="1285">
        <v>0</v>
      </c>
      <c r="M84" s="1285">
        <f t="shared" si="30"/>
        <v>0</v>
      </c>
      <c r="N84" s="1285">
        <f t="shared" si="30"/>
        <v>0</v>
      </c>
      <c r="Z84" s="2719"/>
      <c r="AA84" s="2795"/>
      <c r="AG84" s="1372"/>
      <c r="AK84" s="2795"/>
    </row>
    <row r="85" spans="1:37" ht="25.5">
      <c r="A85" s="2877" t="s">
        <v>2951</v>
      </c>
      <c r="B85" s="1725" t="str">
        <f>估价对象房地状况!G19</f>
        <v>估价对象所在区域公共配套设施齐备情况</v>
      </c>
      <c r="C85" s="2769"/>
      <c r="D85" s="1286">
        <f t="shared" si="26"/>
        <v>0</v>
      </c>
      <c r="E85" s="823"/>
      <c r="F85" s="2500"/>
      <c r="G85" s="1284"/>
      <c r="H85" s="1288" t="str">
        <f t="shared" si="27"/>
        <v>——</v>
      </c>
      <c r="I85" s="817">
        <v>0.06</v>
      </c>
      <c r="J85" s="1285">
        <f t="shared" si="28"/>
        <v>0</v>
      </c>
      <c r="K85" s="1285">
        <f t="shared" si="29"/>
        <v>0</v>
      </c>
      <c r="L85" s="1285">
        <v>0</v>
      </c>
      <c r="M85" s="1285">
        <f t="shared" si="30"/>
        <v>0</v>
      </c>
      <c r="N85" s="1285">
        <f t="shared" si="30"/>
        <v>0</v>
      </c>
      <c r="Z85" s="2719"/>
      <c r="AA85" s="2795"/>
      <c r="AG85" s="1372"/>
      <c r="AK85" s="2795"/>
    </row>
    <row r="86" spans="1:37" ht="25.5">
      <c r="A86" s="2877" t="s">
        <v>2952</v>
      </c>
      <c r="B86" s="1725" t="str">
        <f>估价对象房地状况!G20</f>
        <v>估价对象所在区域基础设施水平</v>
      </c>
      <c r="C86" s="2769"/>
      <c r="D86" s="1286">
        <f t="shared" si="26"/>
        <v>0</v>
      </c>
      <c r="E86" s="823"/>
      <c r="F86" s="2500"/>
      <c r="G86" s="1284"/>
      <c r="H86" s="1288" t="str">
        <f t="shared" si="27"/>
        <v>——</v>
      </c>
      <c r="I86" s="817">
        <v>0.15</v>
      </c>
      <c r="J86" s="1285">
        <f t="shared" si="28"/>
        <v>0</v>
      </c>
      <c r="K86" s="1285">
        <f t="shared" si="29"/>
        <v>0</v>
      </c>
      <c r="L86" s="1285">
        <v>0</v>
      </c>
      <c r="M86" s="1285">
        <f t="shared" si="30"/>
        <v>0</v>
      </c>
      <c r="N86" s="1285">
        <f t="shared" si="30"/>
        <v>0</v>
      </c>
      <c r="Z86" s="2719"/>
      <c r="AA86" s="2795"/>
      <c r="AG86" s="1372"/>
      <c r="AK86" s="2795"/>
    </row>
    <row r="87" spans="1:37" ht="24">
      <c r="A87" s="2877" t="s">
        <v>2949</v>
      </c>
      <c r="B87" s="2883" t="s">
        <v>2963</v>
      </c>
      <c r="C87" s="2769"/>
      <c r="D87" s="1286">
        <f t="shared" si="26"/>
        <v>0</v>
      </c>
      <c r="E87" s="823"/>
      <c r="F87" s="2500"/>
      <c r="G87" s="1284"/>
      <c r="H87" s="1288" t="str">
        <f t="shared" si="27"/>
        <v>——</v>
      </c>
      <c r="I87" s="817">
        <v>0.05</v>
      </c>
      <c r="J87" s="1285">
        <f t="shared" si="28"/>
        <v>0</v>
      </c>
      <c r="K87" s="1285">
        <f t="shared" si="29"/>
        <v>0</v>
      </c>
      <c r="L87" s="1285">
        <v>0</v>
      </c>
      <c r="M87" s="1285">
        <f t="shared" si="30"/>
        <v>0</v>
      </c>
      <c r="N87" s="1285">
        <f t="shared" si="30"/>
        <v>0</v>
      </c>
      <c r="Z87" s="2719"/>
      <c r="AA87" s="2795"/>
      <c r="AG87" s="1372"/>
      <c r="AK87" s="2795"/>
    </row>
    <row r="88" spans="1:37" ht="39" thickBot="1">
      <c r="A88" s="2885" t="s">
        <v>2964</v>
      </c>
      <c r="B88" s="2890" t="str">
        <f>估价对象房地状况!G18</f>
        <v>该园区内是否有污染型企业，绿化情况，卫生条件，整体环境状况判断</v>
      </c>
      <c r="C88" s="2769"/>
      <c r="D88" s="1286">
        <f t="shared" si="26"/>
        <v>0</v>
      </c>
      <c r="E88" s="824"/>
      <c r="F88" s="2500"/>
      <c r="G88" s="1284"/>
      <c r="H88" s="1288" t="str">
        <f t="shared" si="27"/>
        <v>——</v>
      </c>
      <c r="I88" s="821">
        <v>0.06</v>
      </c>
      <c r="J88" s="1285">
        <f t="shared" si="28"/>
        <v>0</v>
      </c>
      <c r="K88" s="1285">
        <f t="shared" si="29"/>
        <v>0</v>
      </c>
      <c r="L88" s="1285">
        <v>0</v>
      </c>
      <c r="M88" s="1285">
        <f t="shared" si="30"/>
        <v>0</v>
      </c>
      <c r="N88" s="1285">
        <f t="shared" si="30"/>
        <v>0</v>
      </c>
      <c r="Z88" s="2719"/>
      <c r="AA88" s="2795"/>
      <c r="AG88" s="1372"/>
      <c r="AK88" s="2795"/>
    </row>
    <row r="90" spans="1:37">
      <c r="A90" s="3224" t="s">
        <v>2965</v>
      </c>
      <c r="B90" s="3224"/>
      <c r="C90" s="3224"/>
      <c r="D90" s="3224"/>
      <c r="E90" s="3224"/>
      <c r="F90" s="3224"/>
      <c r="G90" s="3224"/>
      <c r="H90" s="3224"/>
      <c r="I90" s="3224"/>
      <c r="J90" s="3224"/>
      <c r="K90" s="2891"/>
      <c r="L90" s="2891"/>
      <c r="M90" s="2891"/>
      <c r="N90" s="2891"/>
    </row>
    <row r="91" spans="1:37">
      <c r="A91" s="3225" t="s">
        <v>2966</v>
      </c>
      <c r="B91" s="3225" t="s">
        <v>2967</v>
      </c>
      <c r="C91" s="2845" t="s">
        <v>2968</v>
      </c>
      <c r="D91" s="2846"/>
      <c r="E91" s="2846"/>
      <c r="F91" s="2846"/>
      <c r="G91" s="2846"/>
      <c r="H91" s="2846"/>
      <c r="I91" s="2846"/>
      <c r="J91" s="2892"/>
      <c r="K91" s="2893"/>
      <c r="L91" s="2893"/>
      <c r="M91" s="2893"/>
      <c r="N91" s="2893"/>
    </row>
    <row r="92" spans="1:37">
      <c r="A92" s="3225"/>
      <c r="B92" s="3225"/>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215" t="s">
        <v>2969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1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1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1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1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1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16"/>
      <c r="B99" s="2894" t="s">
        <v>2849</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1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15" t="s">
        <v>2970</v>
      </c>
      <c r="B101" s="2898" t="s">
        <v>2971</v>
      </c>
      <c r="C101" s="2899">
        <f>$G$3</f>
        <v>1.9</v>
      </c>
      <c r="D101" s="2899">
        <f t="shared" ref="D101:N101" si="32">$G$3</f>
        <v>1.9</v>
      </c>
      <c r="E101" s="2899">
        <f t="shared" si="32"/>
        <v>1.9</v>
      </c>
      <c r="F101" s="2899">
        <f t="shared" si="32"/>
        <v>1.9</v>
      </c>
      <c r="G101" s="2899">
        <f t="shared" si="32"/>
        <v>1.9</v>
      </c>
      <c r="H101" s="2899">
        <f t="shared" si="32"/>
        <v>1.9</v>
      </c>
      <c r="I101" s="2899">
        <f t="shared" si="32"/>
        <v>1.9</v>
      </c>
      <c r="J101" s="2899">
        <f t="shared" si="32"/>
        <v>1.9</v>
      </c>
      <c r="K101" s="2899">
        <f t="shared" si="32"/>
        <v>1.9</v>
      </c>
      <c r="L101" s="2899">
        <f t="shared" si="32"/>
        <v>1.9</v>
      </c>
      <c r="M101" s="2899">
        <f t="shared" si="32"/>
        <v>1.9</v>
      </c>
      <c r="N101" s="2899">
        <f t="shared" si="32"/>
        <v>1.9</v>
      </c>
    </row>
    <row r="102" spans="1:14">
      <c r="A102" s="3216"/>
      <c r="B102" s="2894">
        <v>1</v>
      </c>
      <c r="C102" s="2895">
        <f>1.9362/C101</f>
        <v>1.0190526315789474</v>
      </c>
      <c r="D102" s="2895">
        <f>1.9362/D101</f>
        <v>1.0190526315789474</v>
      </c>
      <c r="E102" s="2895">
        <f>1.8629/E101</f>
        <v>0.98047368421052639</v>
      </c>
      <c r="F102" s="2895">
        <f>1.8629/F101</f>
        <v>0.98047368421052639</v>
      </c>
      <c r="G102" s="2895">
        <f>1.8629/G101</f>
        <v>0.98047368421052639</v>
      </c>
      <c r="H102" s="2895">
        <f>1.8629/H101</f>
        <v>0.98047368421052639</v>
      </c>
      <c r="I102" s="2895">
        <f>1.8629/I101</f>
        <v>0.98047368421052639</v>
      </c>
      <c r="J102" s="2895">
        <f>1.942/J101</f>
        <v>1.0221052631578948</v>
      </c>
      <c r="K102" s="2895">
        <f>1.942/K101</f>
        <v>1.0221052631578948</v>
      </c>
      <c r="L102" s="2895">
        <f>1.942/L101</f>
        <v>1.0221052631578948</v>
      </c>
      <c r="M102" s="2895">
        <f>1.942/M101</f>
        <v>1.0221052631578948</v>
      </c>
      <c r="N102" s="2895">
        <f>1.942/N101</f>
        <v>1.0221052631578948</v>
      </c>
    </row>
    <row r="103" spans="1:14">
      <c r="A103" s="3216"/>
      <c r="B103" s="2894">
        <v>2</v>
      </c>
      <c r="C103" s="2895">
        <f>1.4198/C101</f>
        <v>0.74726315789473685</v>
      </c>
      <c r="D103" s="2895">
        <f>1.4198/D101</f>
        <v>0.74726315789473685</v>
      </c>
      <c r="E103" s="2895">
        <f>1.3372/E101</f>
        <v>0.70378947368421052</v>
      </c>
      <c r="F103" s="2895">
        <f>1.3372/F101</f>
        <v>0.70378947368421052</v>
      </c>
      <c r="G103" s="2895">
        <f>1.3372/G101</f>
        <v>0.70378947368421052</v>
      </c>
      <c r="H103" s="2895">
        <f>1.3372/H101</f>
        <v>0.70378947368421052</v>
      </c>
      <c r="I103" s="2895">
        <f>1.3372/I101</f>
        <v>0.70378947368421052</v>
      </c>
      <c r="J103" s="2895">
        <f>1.2799/J101</f>
        <v>0.67363157894736847</v>
      </c>
      <c r="K103" s="2895">
        <f>1.2799/K101</f>
        <v>0.67363157894736847</v>
      </c>
      <c r="L103" s="2895">
        <f>1.2799/L101</f>
        <v>0.67363157894736847</v>
      </c>
      <c r="M103" s="2895">
        <f>1.2799/M101</f>
        <v>0.67363157894736847</v>
      </c>
      <c r="N103" s="2895">
        <f>1.2799/N101</f>
        <v>0.67363157894736847</v>
      </c>
    </row>
    <row r="104" spans="1:14">
      <c r="A104" s="3216"/>
      <c r="B104" s="2894">
        <v>3</v>
      </c>
      <c r="C104" s="2895">
        <f>1.1594/C101</f>
        <v>0.61021052631578954</v>
      </c>
      <c r="D104" s="2895">
        <f>1.1594/D101</f>
        <v>0.61021052631578954</v>
      </c>
      <c r="E104" s="2895">
        <f>1.0788/E101</f>
        <v>0.56778947368421051</v>
      </c>
      <c r="F104" s="2895">
        <f>1.0788/F101</f>
        <v>0.56778947368421051</v>
      </c>
      <c r="G104" s="2895">
        <f>1.0788/G101</f>
        <v>0.56778947368421051</v>
      </c>
      <c r="H104" s="2895">
        <f>1.0788/H101</f>
        <v>0.56778947368421051</v>
      </c>
      <c r="I104" s="2895">
        <f>1.0788/I101</f>
        <v>0.56778947368421051</v>
      </c>
      <c r="J104" s="2895">
        <f>1.0072/J101</f>
        <v>0.53010526315789486</v>
      </c>
      <c r="K104" s="2895">
        <f>1.0072/K101</f>
        <v>0.53010526315789486</v>
      </c>
      <c r="L104" s="2895">
        <f>1.0072/L101</f>
        <v>0.53010526315789486</v>
      </c>
      <c r="M104" s="2895">
        <f>1.0072/M101</f>
        <v>0.53010526315789486</v>
      </c>
      <c r="N104" s="2895">
        <f>1.0072/N101</f>
        <v>0.53010526315789486</v>
      </c>
    </row>
    <row r="105" spans="1:14">
      <c r="A105" s="3216"/>
      <c r="B105" s="2894">
        <v>4</v>
      </c>
      <c r="C105" s="2895">
        <f>0.9622/C101</f>
        <v>0.50642105263157899</v>
      </c>
      <c r="D105" s="2895">
        <f>0.9622/D101</f>
        <v>0.50642105263157899</v>
      </c>
      <c r="E105" s="2895">
        <f>0.8656/E101</f>
        <v>0.45557894736842108</v>
      </c>
      <c r="F105" s="2895">
        <f>0.8656/F101</f>
        <v>0.45557894736842108</v>
      </c>
      <c r="G105" s="2895">
        <f>0.8656/G101</f>
        <v>0.45557894736842108</v>
      </c>
      <c r="H105" s="2895">
        <f>0.8656/H101</f>
        <v>0.45557894736842108</v>
      </c>
      <c r="I105" s="2895">
        <f>0.8656/I101</f>
        <v>0.45557894736842108</v>
      </c>
      <c r="J105" s="2895">
        <f>0.7525/J101</f>
        <v>0.39605263157894738</v>
      </c>
      <c r="K105" s="2895">
        <f>0.7525/K101</f>
        <v>0.39605263157894738</v>
      </c>
      <c r="L105" s="2895">
        <f>0.7525/L101</f>
        <v>0.39605263157894738</v>
      </c>
      <c r="M105" s="2895">
        <f>0.7525/M101</f>
        <v>0.39605263157894738</v>
      </c>
      <c r="N105" s="2895">
        <f>0.7525/N101</f>
        <v>0.39605263157894738</v>
      </c>
    </row>
    <row r="106" spans="1:14">
      <c r="A106" s="3216"/>
      <c r="B106" s="2894">
        <v>5</v>
      </c>
      <c r="C106" s="2895">
        <f>0.8417/C101</f>
        <v>0.443</v>
      </c>
      <c r="D106" s="2895">
        <f>0.8417/D101</f>
        <v>0.443</v>
      </c>
      <c r="E106" s="2895">
        <f>0.7371/E101</f>
        <v>0.38794736842105265</v>
      </c>
      <c r="F106" s="2895">
        <f>0.7371/F101</f>
        <v>0.38794736842105265</v>
      </c>
      <c r="G106" s="2895">
        <f>0.7371/G101</f>
        <v>0.38794736842105265</v>
      </c>
      <c r="H106" s="2895">
        <f>0.7371/H101</f>
        <v>0.38794736842105265</v>
      </c>
      <c r="I106" s="2895">
        <f>0.7371/I101</f>
        <v>0.38794736842105265</v>
      </c>
      <c r="J106" s="2895">
        <f>0.5659/J101</f>
        <v>0.29784210526315791</v>
      </c>
      <c r="K106" s="2895">
        <f>0.5659/K101</f>
        <v>0.29784210526315791</v>
      </c>
      <c r="L106" s="2895">
        <f>0.5659/L101</f>
        <v>0.29784210526315791</v>
      </c>
      <c r="M106" s="2895">
        <f>0.5659/M101</f>
        <v>0.29784210526315791</v>
      </c>
      <c r="N106" s="2895">
        <f>0.5659/N101</f>
        <v>0.29784210526315791</v>
      </c>
    </row>
    <row r="107" spans="1:14">
      <c r="A107" s="3216"/>
      <c r="B107" s="2894">
        <v>6</v>
      </c>
      <c r="C107" s="2895">
        <f>0.7608/C101</f>
        <v>0.40042105263157896</v>
      </c>
      <c r="D107" s="2895">
        <f>0.7608/D101</f>
        <v>0.40042105263157896</v>
      </c>
      <c r="E107" s="2895">
        <f>0.6482/E101</f>
        <v>0.3411578947368421</v>
      </c>
      <c r="F107" s="2895">
        <f>0.6482/F101</f>
        <v>0.3411578947368421</v>
      </c>
      <c r="G107" s="2895">
        <f>0.6482/G101</f>
        <v>0.3411578947368421</v>
      </c>
      <c r="H107" s="2895">
        <f>0.6482/H101</f>
        <v>0.3411578947368421</v>
      </c>
      <c r="I107" s="2895">
        <f>0.6482/I101</f>
        <v>0.3411578947368421</v>
      </c>
      <c r="J107" s="2895">
        <f>0.4525/J101</f>
        <v>0.23815789473684212</v>
      </c>
      <c r="K107" s="2895">
        <f>0.4525/K101</f>
        <v>0.23815789473684212</v>
      </c>
      <c r="L107" s="2895">
        <f>0.4525/L101</f>
        <v>0.23815789473684212</v>
      </c>
      <c r="M107" s="2895">
        <f>0.4525/M101</f>
        <v>0.23815789473684212</v>
      </c>
      <c r="N107" s="2895">
        <f>0.4525/N101</f>
        <v>0.23815789473684212</v>
      </c>
    </row>
    <row r="108" spans="1:14">
      <c r="A108" s="3216"/>
      <c r="B108" s="3146" t="s">
        <v>2972</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17"/>
      <c r="B109" s="3147"/>
      <c r="C109" s="2897">
        <f>(-0.163*(C108^2)-0.59*C108+7617)*(10^(-4))/C101</f>
        <v>0.4008947368421053</v>
      </c>
      <c r="D109" s="2897">
        <f>(-0.163*(D108^2)-0.59*D108+7617)*(10^(-4))/D101</f>
        <v>0.4008947368421053</v>
      </c>
      <c r="E109" s="2897">
        <f>(-0.161*(E108^2)-7.509*E108+6533)*(10^(-4))/E101</f>
        <v>0.34384210526315789</v>
      </c>
      <c r="F109" s="2897">
        <f>(-0.161*(F108^2)-7.509*F108+6533)*(10^(-4))/F101</f>
        <v>0.34384210526315789</v>
      </c>
      <c r="G109" s="2897">
        <f>(-0.161*(G108^2)-7.509*G108+6533)*(10^(-4))/G101</f>
        <v>0.34384210526315789</v>
      </c>
      <c r="H109" s="2897">
        <f>(-0.161*(H108^2)-7.509*H108+6533)*(10^(-4))/H101</f>
        <v>0.34384210526315789</v>
      </c>
      <c r="I109" s="2897">
        <f>(-0.161*(I108^2)-7.509*I108+6533)*(10^(-4))/I101</f>
        <v>0.34384210526315789</v>
      </c>
      <c r="J109" s="2897">
        <f>(-0.214*(J108^2)-21.991*J108+4665)*(10^(-4))/J101</f>
        <v>0.2455263157894737</v>
      </c>
      <c r="K109" s="2897">
        <f>(-0.214*(K108^2)-21.991*K108+4665)*(10^(-4))/K101</f>
        <v>0.2455263157894737</v>
      </c>
      <c r="L109" s="2897">
        <f>(-0.214*(L108^2)-21.991*L108+4665)*(10^(-4))/L101</f>
        <v>0.2455263157894737</v>
      </c>
      <c r="M109" s="2897">
        <f>(-0.214*(M108^2)-21.991*M108+4665)*(10^(-4))/M101</f>
        <v>0.2455263157894737</v>
      </c>
      <c r="N109" s="2897">
        <f>(-0.214*(N108^2)-21.991*N108+4665)*(10^(-4))/N101</f>
        <v>0.2455263157894737</v>
      </c>
    </row>
    <row r="110" spans="1:14">
      <c r="A110" s="3218" t="s">
        <v>2973</v>
      </c>
      <c r="B110" s="3218"/>
      <c r="C110" s="3218"/>
      <c r="D110" s="3218"/>
      <c r="E110" s="3218"/>
      <c r="F110" s="3218"/>
      <c r="G110" s="3218"/>
      <c r="H110" s="3218"/>
      <c r="I110" s="3218"/>
      <c r="J110" s="3218"/>
      <c r="K110" s="2900"/>
      <c r="L110" s="2900"/>
      <c r="M110" s="2900"/>
      <c r="N110" s="2900"/>
    </row>
    <row r="112" spans="1:14" ht="13.5" thickBot="1"/>
    <row r="113" spans="1:13" ht="25.5" thickBot="1">
      <c r="A113" s="900" t="s">
        <v>2974</v>
      </c>
      <c r="B113" s="1287">
        <f>G3</f>
        <v>1.9</v>
      </c>
      <c r="C113" s="901" t="s">
        <v>2975</v>
      </c>
      <c r="D113" s="902">
        <f>SUMPRODUCT((A115:A118=F113)*(B114:M114=H113)*B115:M118)</f>
        <v>0.83199999999999996</v>
      </c>
      <c r="E113" s="2723" t="s">
        <v>2807</v>
      </c>
      <c r="F113" s="2902" t="str">
        <f>E2</f>
        <v>办公</v>
      </c>
      <c r="G113" s="2723" t="s">
        <v>2808</v>
      </c>
      <c r="H113" s="2902" t="str">
        <f>G2</f>
        <v>六级</v>
      </c>
      <c r="I113" s="2723"/>
      <c r="J113" s="2903"/>
      <c r="K113" s="2903"/>
      <c r="L113" s="2903"/>
      <c r="M113" s="2903"/>
    </row>
    <row r="114" spans="1:13">
      <c r="A114" s="905"/>
      <c r="B114" s="2904" t="s">
        <v>2976</v>
      </c>
      <c r="C114" s="2904" t="s">
        <v>2977</v>
      </c>
      <c r="D114" s="2904" t="s">
        <v>2978</v>
      </c>
      <c r="E114" s="2905" t="s">
        <v>2979</v>
      </c>
      <c r="F114" s="2905" t="s">
        <v>2980</v>
      </c>
      <c r="G114" s="2905" t="s">
        <v>2981</v>
      </c>
      <c r="H114" s="2906" t="s">
        <v>2982</v>
      </c>
      <c r="I114" s="2906" t="s">
        <v>2983</v>
      </c>
      <c r="J114" s="2907" t="s">
        <v>2984</v>
      </c>
      <c r="K114" s="2907" t="s">
        <v>2985</v>
      </c>
      <c r="L114" s="2907" t="s">
        <v>2986</v>
      </c>
      <c r="M114" s="2908" t="s">
        <v>2987</v>
      </c>
    </row>
    <row r="115" spans="1:13">
      <c r="A115" s="906" t="s">
        <v>2871</v>
      </c>
      <c r="B115" s="907">
        <f>ROUND(0.9335-0.0094*B113,4)</f>
        <v>0.91559999999999997</v>
      </c>
      <c r="C115" s="907">
        <f>B115</f>
        <v>0.91559999999999997</v>
      </c>
      <c r="D115" s="907">
        <f>ROUND(0.8331-0.0109*B113,4)</f>
        <v>0.81240000000000001</v>
      </c>
      <c r="E115" s="907">
        <f>D115</f>
        <v>0.81240000000000001</v>
      </c>
      <c r="F115" s="907">
        <f>E115</f>
        <v>0.81240000000000001</v>
      </c>
      <c r="G115" s="907">
        <f>F115</f>
        <v>0.81240000000000001</v>
      </c>
      <c r="H115" s="907">
        <f>G115</f>
        <v>0.81240000000000001</v>
      </c>
      <c r="I115" s="907">
        <f>ROUND(0.689-0.0155*B113,4)</f>
        <v>0.65959999999999996</v>
      </c>
      <c r="J115" s="907">
        <f t="shared" ref="J115:M118" si="34">I115</f>
        <v>0.65959999999999996</v>
      </c>
      <c r="K115" s="907">
        <f t="shared" si="34"/>
        <v>0.65959999999999996</v>
      </c>
      <c r="L115" s="907">
        <f t="shared" si="34"/>
        <v>0.65959999999999996</v>
      </c>
      <c r="M115" s="908">
        <f t="shared" si="34"/>
        <v>0.65959999999999996</v>
      </c>
    </row>
    <row r="116" spans="1:13">
      <c r="A116" s="906" t="s">
        <v>2872</v>
      </c>
      <c r="B116" s="907">
        <f>ROUND(0.949-0.012*B113,4)</f>
        <v>0.92620000000000002</v>
      </c>
      <c r="C116" s="907">
        <f>B116</f>
        <v>0.92620000000000002</v>
      </c>
      <c r="D116" s="907">
        <f>ROUND(0.8567-0.013*B113,4)</f>
        <v>0.83199999999999996</v>
      </c>
      <c r="E116" s="907">
        <f t="shared" ref="E116:H117" si="35">D116</f>
        <v>0.83199999999999996</v>
      </c>
      <c r="F116" s="907">
        <f t="shared" si="35"/>
        <v>0.83199999999999996</v>
      </c>
      <c r="G116" s="907">
        <f t="shared" si="35"/>
        <v>0.83199999999999996</v>
      </c>
      <c r="H116" s="907">
        <f t="shared" si="35"/>
        <v>0.83199999999999996</v>
      </c>
      <c r="I116" s="907">
        <f>ROUND(0.7694-0.014*B113,4)</f>
        <v>0.74280000000000002</v>
      </c>
      <c r="J116" s="907">
        <f t="shared" si="34"/>
        <v>0.74280000000000002</v>
      </c>
      <c r="K116" s="907">
        <f t="shared" si="34"/>
        <v>0.74280000000000002</v>
      </c>
      <c r="L116" s="907">
        <f t="shared" si="34"/>
        <v>0.74280000000000002</v>
      </c>
      <c r="M116" s="908">
        <f t="shared" si="34"/>
        <v>0.74280000000000002</v>
      </c>
    </row>
    <row r="117" spans="1:13">
      <c r="A117" s="906" t="s">
        <v>2873</v>
      </c>
      <c r="B117" s="907">
        <f>ROUND(0.8808-0.006*B113,4)</f>
        <v>0.86939999999999995</v>
      </c>
      <c r="C117" s="907">
        <f>B117</f>
        <v>0.86939999999999995</v>
      </c>
      <c r="D117" s="907">
        <f>ROUND(0.8748-0.008*B113,4)</f>
        <v>0.85960000000000003</v>
      </c>
      <c r="E117" s="907">
        <f t="shared" si="35"/>
        <v>0.85960000000000003</v>
      </c>
      <c r="F117" s="907">
        <f t="shared" si="35"/>
        <v>0.85960000000000003</v>
      </c>
      <c r="G117" s="907">
        <f t="shared" si="35"/>
        <v>0.85960000000000003</v>
      </c>
      <c r="H117" s="907">
        <f t="shared" si="35"/>
        <v>0.85960000000000003</v>
      </c>
      <c r="I117" s="907">
        <f>ROUND(0.7412-0.0095*B113,4)</f>
        <v>0.72319999999999995</v>
      </c>
      <c r="J117" s="907">
        <f t="shared" si="34"/>
        <v>0.72319999999999995</v>
      </c>
      <c r="K117" s="907">
        <f t="shared" si="34"/>
        <v>0.72319999999999995</v>
      </c>
      <c r="L117" s="907">
        <f t="shared" si="34"/>
        <v>0.72319999999999995</v>
      </c>
      <c r="M117" s="908">
        <f t="shared" si="34"/>
        <v>0.72319999999999995</v>
      </c>
    </row>
    <row r="118" spans="1:13" ht="13.5" thickBot="1">
      <c r="A118" s="714" t="s">
        <v>2874</v>
      </c>
      <c r="B118" s="909">
        <f>ROUND(0.7275-0.01*B113,4)</f>
        <v>0.70850000000000002</v>
      </c>
      <c r="C118" s="909">
        <f>B118</f>
        <v>0.70850000000000002</v>
      </c>
      <c r="D118" s="909">
        <f>ROUND(0.7043-0.012*B113,4)</f>
        <v>0.68149999999999999</v>
      </c>
      <c r="E118" s="909">
        <f>D118</f>
        <v>0.68149999999999999</v>
      </c>
      <c r="F118" s="909">
        <f>E118</f>
        <v>0.68149999999999999</v>
      </c>
      <c r="G118" s="909">
        <f>ROUND(0.6299-0.0122*B113,4)</f>
        <v>0.60670000000000002</v>
      </c>
      <c r="H118" s="909">
        <f>G118</f>
        <v>0.60670000000000002</v>
      </c>
      <c r="I118" s="909">
        <f>ROUND(0.5667-0.0136*B113,4)</f>
        <v>0.54090000000000005</v>
      </c>
      <c r="J118" s="909">
        <f t="shared" si="34"/>
        <v>0.54090000000000005</v>
      </c>
      <c r="K118" s="909">
        <f t="shared" si="34"/>
        <v>0.54090000000000005</v>
      </c>
      <c r="L118" s="909">
        <f t="shared" si="34"/>
        <v>0.54090000000000005</v>
      </c>
      <c r="M118" s="910">
        <f t="shared" si="34"/>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E13"/>
  <sheetViews>
    <sheetView workbookViewId="0">
      <selection activeCell="A6" sqref="A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2995</v>
      </c>
    </row>
    <row r="2" spans="1:5" ht="15.75">
      <c r="A2" s="2909" t="s">
        <v>2988</v>
      </c>
      <c r="B2" s="2910">
        <f ca="1">SUMIF(B6:B13,"&lt;&gt;#ref!",B6:B13)</f>
        <v>8839</v>
      </c>
      <c r="C2" s="2909" t="s">
        <v>2989</v>
      </c>
      <c r="D2" s="2909" t="s">
        <v>2990</v>
      </c>
      <c r="E2" s="2910" t="e">
        <f ca="1">SUM(E6:E13)</f>
        <v>#REF!</v>
      </c>
    </row>
    <row r="3" spans="1:5" ht="15.75">
      <c r="A3" s="2909" t="s">
        <v>2991</v>
      </c>
      <c r="B3" s="2910" t="e">
        <f ca="1">ROUND(B2*10000/E2,0)</f>
        <v>#REF!</v>
      </c>
      <c r="C3" s="2909" t="s">
        <v>2996</v>
      </c>
      <c r="D3" s="2911"/>
      <c r="E3" s="2911"/>
    </row>
    <row r="4" spans="1:5" ht="15.75">
      <c r="A4" s="2912"/>
      <c r="B4" s="2911"/>
      <c r="C4" s="2911"/>
      <c r="D4" s="2911"/>
      <c r="E4" s="2911"/>
    </row>
    <row r="5" spans="1:5" ht="28.5">
      <c r="A5" s="2913" t="s">
        <v>2992</v>
      </c>
      <c r="B5" s="2909" t="s">
        <v>2993</v>
      </c>
      <c r="C5" s="2910"/>
      <c r="D5" s="2911"/>
      <c r="E5" s="2909" t="s">
        <v>2994</v>
      </c>
    </row>
    <row r="6" spans="1:5" ht="15.75">
      <c r="A6" s="2914" t="s">
        <v>3116</v>
      </c>
      <c r="B6" s="2910">
        <f ca="1">SUMIF(INDIRECT("'"&amp;A6&amp;"'"&amp;"!A:A"),"总价",INDIRECT("'"&amp;A6&amp;"'"&amp;"!B:B"))</f>
        <v>8839</v>
      </c>
      <c r="C6" s="2909" t="s">
        <v>2989</v>
      </c>
      <c r="D6" s="2911"/>
      <c r="E6" s="2574">
        <f ca="1">SUMIF(INDIRECT("'"&amp;A6&amp;"'"&amp;"!C:C"),"建筑面积",INDIRECT("'"&amp;A6&amp;"'"&amp;"!D:D"))</f>
        <v>5104.9400000000005</v>
      </c>
    </row>
    <row r="7" spans="1:5" ht="15.75">
      <c r="A7" s="2914"/>
      <c r="B7" s="2910" t="e">
        <f ca="1">SUMIF(INDIRECT("'"&amp;A7&amp;"'"&amp;"!A:A"),"总价",INDIRECT("'"&amp;A7&amp;"'"&amp;"!B:B"))</f>
        <v>#REF!</v>
      </c>
      <c r="C7" s="2909" t="s">
        <v>2989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2989</v>
      </c>
      <c r="D8" s="2911"/>
      <c r="E8" s="2574" t="e">
        <f t="shared" ca="1" si="0"/>
        <v>#REF!</v>
      </c>
    </row>
    <row r="9" spans="1:5" ht="15.75">
      <c r="A9" s="2914"/>
      <c r="B9" s="2910" t="e">
        <f t="shared" ca="1" si="1"/>
        <v>#REF!</v>
      </c>
      <c r="C9" s="2909" t="s">
        <v>2989</v>
      </c>
      <c r="D9" s="2911"/>
      <c r="E9" s="2574" t="e">
        <f t="shared" ca="1" si="0"/>
        <v>#REF!</v>
      </c>
    </row>
    <row r="10" spans="1:5" ht="15.75">
      <c r="A10" s="2914"/>
      <c r="B10" s="2910" t="e">
        <f t="shared" ca="1" si="1"/>
        <v>#REF!</v>
      </c>
      <c r="C10" s="2909" t="s">
        <v>2989</v>
      </c>
      <c r="D10" s="2911"/>
      <c r="E10" s="2574" t="e">
        <f t="shared" ca="1" si="0"/>
        <v>#REF!</v>
      </c>
    </row>
    <row r="11" spans="1:5" ht="15.75">
      <c r="A11" s="2914"/>
      <c r="B11" s="2910" t="e">
        <f t="shared" ca="1" si="1"/>
        <v>#REF!</v>
      </c>
      <c r="C11" s="2909" t="s">
        <v>2989</v>
      </c>
      <c r="D11" s="2911"/>
      <c r="E11" s="2574" t="e">
        <f t="shared" ca="1" si="0"/>
        <v>#REF!</v>
      </c>
    </row>
    <row r="12" spans="1:5" ht="15.75">
      <c r="A12" s="2914"/>
      <c r="B12" s="2910" t="e">
        <f t="shared" ca="1" si="1"/>
        <v>#REF!</v>
      </c>
      <c r="C12" s="2909" t="s">
        <v>2989</v>
      </c>
      <c r="D12" s="2911"/>
      <c r="E12" s="2574" t="e">
        <f t="shared" ca="1" si="0"/>
        <v>#REF!</v>
      </c>
    </row>
    <row r="13" spans="1:5" ht="15.75">
      <c r="A13" s="2914"/>
      <c r="B13" s="2910" t="e">
        <f t="shared" ca="1" si="1"/>
        <v>#REF!</v>
      </c>
      <c r="C13" s="2909" t="s">
        <v>2989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F13"/>
  <sheetViews>
    <sheetView workbookViewId="0">
      <selection activeCell="I38" sqref="I38"/>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2519</v>
      </c>
      <c r="B1" s="2561"/>
      <c r="C1" s="2561"/>
      <c r="D1" s="2561"/>
      <c r="E1" s="2562"/>
    </row>
    <row r="2" spans="1:6" ht="15.75">
      <c r="A2" s="2563" t="s">
        <v>2320</v>
      </c>
      <c r="B2" s="2564">
        <f ca="1">SUMIF(B6:B13,"&lt;&gt;#ref!",B6:B13)</f>
        <v>86490</v>
      </c>
      <c r="C2" s="2565" t="s">
        <v>2512</v>
      </c>
      <c r="D2" s="2566" t="s">
        <v>2513</v>
      </c>
      <c r="E2" s="2567">
        <f>SUM(E6:E13)</f>
        <v>28872.97</v>
      </c>
    </row>
    <row r="3" spans="1:6" ht="15.75">
      <c r="A3" s="2563" t="s">
        <v>1395</v>
      </c>
      <c r="B3" s="2564">
        <f ca="1">ROUND(B2*10000/E2,0)</f>
        <v>29955</v>
      </c>
      <c r="C3" s="2565" t="s">
        <v>2520</v>
      </c>
      <c r="D3" s="2568"/>
      <c r="E3" s="2569"/>
    </row>
    <row r="4" spans="1:6" ht="15.75">
      <c r="A4" s="2570"/>
      <c r="B4" s="2568"/>
      <c r="C4" s="2568"/>
      <c r="D4" s="2568"/>
      <c r="E4" s="2569"/>
    </row>
    <row r="5" spans="1:6" ht="15">
      <c r="A5" s="2571" t="s">
        <v>2514</v>
      </c>
      <c r="B5" s="3235" t="s">
        <v>2515</v>
      </c>
      <c r="C5" s="3235"/>
      <c r="D5" s="2572"/>
      <c r="E5" s="2573" t="s">
        <v>2516</v>
      </c>
      <c r="F5" s="2574" t="s">
        <v>2517</v>
      </c>
    </row>
    <row r="6" spans="1:6">
      <c r="A6" s="2575" t="str">
        <f>'数据-取费表'!AN6</f>
        <v>收益法-商业</v>
      </c>
      <c r="B6" s="2574">
        <f ca="1">IF(F6="是",'数据-取费表'!AO6,0)</f>
        <v>19179</v>
      </c>
      <c r="C6" s="2565" t="s">
        <v>2512</v>
      </c>
      <c r="D6" s="2568"/>
      <c r="E6" s="2576">
        <f>IF(OR(A6=0,F6="否"),0,'数据-取费表'!K6+'数据-取费表'!S6)</f>
        <v>6810.2999999999993</v>
      </c>
      <c r="F6" s="2577" t="s">
        <v>2518</v>
      </c>
    </row>
    <row r="7" spans="1:6">
      <c r="A7" s="2575" t="str">
        <f>'数据-取费表'!AN7</f>
        <v>收益法-办公</v>
      </c>
      <c r="B7" s="2574">
        <f ca="1">IF(F7="是",'数据-取费表'!AO7,0)</f>
        <v>66886</v>
      </c>
      <c r="C7" s="2565" t="s">
        <v>2512</v>
      </c>
      <c r="D7" s="2568"/>
      <c r="E7" s="2576">
        <f>IF(OR(A7=0,F7="否"),0,'数据-取费表'!K7+'数据-取费表'!S7)</f>
        <v>17274</v>
      </c>
      <c r="F7" s="2577" t="s">
        <v>3131</v>
      </c>
    </row>
    <row r="8" spans="1:6">
      <c r="A8" s="2575" t="str">
        <f>'数据-取费表'!AN8</f>
        <v>收益法-车库</v>
      </c>
      <c r="B8" s="2574">
        <f ca="1">IF(F8="是",'数据-取费表'!AO8,0)</f>
        <v>425</v>
      </c>
      <c r="C8" s="2565" t="s">
        <v>2512</v>
      </c>
      <c r="D8" s="2568"/>
      <c r="E8" s="2576">
        <f>IF(OR(A8=0,F8="否"),0,'数据-取费表'!K8+'数据-取费表'!S8)</f>
        <v>4788.67</v>
      </c>
      <c r="F8" s="2577" t="s">
        <v>2518</v>
      </c>
    </row>
    <row r="9" spans="1:6">
      <c r="A9" s="2575">
        <f>'数据-取费表'!AN9</f>
        <v>0</v>
      </c>
      <c r="B9" s="2574">
        <f>IF(F9="是",'数据-取费表'!AO9,0)</f>
        <v>0</v>
      </c>
      <c r="C9" s="2565" t="s">
        <v>2512</v>
      </c>
      <c r="D9" s="2568"/>
      <c r="E9" s="2576">
        <f>IF(OR(A9=0,F9="否"),0,'数据-取费表'!K9+'数据-取费表'!S9)</f>
        <v>0</v>
      </c>
      <c r="F9" s="2577" t="s">
        <v>3132</v>
      </c>
    </row>
    <row r="10" spans="1:6">
      <c r="A10" s="2575">
        <f>'数据-取费表'!AN10</f>
        <v>0</v>
      </c>
      <c r="B10" s="2574">
        <f>IF(F10="是",'数据-取费表'!AO10,0)</f>
        <v>0</v>
      </c>
      <c r="C10" s="2565" t="s">
        <v>2512</v>
      </c>
      <c r="D10" s="2568"/>
      <c r="E10" s="2576">
        <f>IF(OR(A10=0,F10="否"),0,'数据-取费表'!K10+'数据-取费表'!S10)</f>
        <v>0</v>
      </c>
      <c r="F10" s="2577" t="s">
        <v>3132</v>
      </c>
    </row>
    <row r="11" spans="1:6">
      <c r="A11" s="2575">
        <f>'数据-取费表'!AN11</f>
        <v>0</v>
      </c>
      <c r="B11" s="2574">
        <f>IF(F11="是",'数据-取费表'!AO11,0)</f>
        <v>0</v>
      </c>
      <c r="C11" s="2565" t="s">
        <v>2512</v>
      </c>
      <c r="D11" s="2568"/>
      <c r="E11" s="2576">
        <f>IF(OR(A11=0,F11="否"),0,'数据-取费表'!K11+'数据-取费表'!S11)</f>
        <v>0</v>
      </c>
      <c r="F11" s="2577" t="s">
        <v>3132</v>
      </c>
    </row>
    <row r="12" spans="1:6">
      <c r="A12" s="2575">
        <f>'数据-取费表'!AN12</f>
        <v>0</v>
      </c>
      <c r="B12" s="2574">
        <f>IF(F12="是",'数据-取费表'!AO12,0)</f>
        <v>0</v>
      </c>
      <c r="C12" s="2565" t="s">
        <v>2512</v>
      </c>
      <c r="D12" s="2568"/>
      <c r="E12" s="2576">
        <f>IF(OR(A12=0,F12="否"),0,'数据-取费表'!K12+'数据-取费表'!S12)</f>
        <v>0</v>
      </c>
      <c r="F12" s="2577" t="s">
        <v>3132</v>
      </c>
    </row>
    <row r="13" spans="1:6" ht="15" thickBot="1">
      <c r="A13" s="2578">
        <f>'数据-取费表'!AN13</f>
        <v>0</v>
      </c>
      <c r="B13" s="2574">
        <f>IF(F13="是",'数据-取费表'!AO13,0)</f>
        <v>0</v>
      </c>
      <c r="C13" s="2579" t="s">
        <v>2512</v>
      </c>
      <c r="D13" s="2580"/>
      <c r="E13" s="2576">
        <f>IF(OR(A13=0,F13="否"),0,'数据-取费表'!K13+'数据-取费表'!S13)</f>
        <v>0</v>
      </c>
      <c r="F13" s="2577" t="s">
        <v>3132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zoomScale="90" zoomScaleNormal="90" zoomScaleSheetLayoutView="90" workbookViewId="0">
      <selection activeCell="B34" sqref="B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1377</v>
      </c>
      <c r="D1" s="1820" t="s">
        <v>70</v>
      </c>
      <c r="E1" s="1821" t="s">
        <v>1387</v>
      </c>
      <c r="F1" s="1283">
        <f ca="1">J53</f>
        <v>26.61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f ca="1">C40+J29+L46</f>
        <v>19179</v>
      </c>
      <c r="C2" s="1845" t="s">
        <v>1515</v>
      </c>
      <c r="D2" s="1845"/>
      <c r="E2" s="1846"/>
      <c r="F2" s="1847"/>
      <c r="G2" s="1848"/>
      <c r="H2" s="1840"/>
      <c r="I2" s="1840"/>
      <c r="J2" s="1840"/>
      <c r="K2" s="1841"/>
      <c r="L2" s="1840"/>
      <c r="M2" s="1840"/>
    </row>
    <row r="3" spans="1:37" ht="18" customHeight="1" thickBot="1">
      <c r="A3" s="1849" t="s">
        <v>1516</v>
      </c>
      <c r="B3" s="1850">
        <f ca="1">IF(ISERROR(B2*10000/F43),0,ROUND(B2*10000/F43,0))</f>
        <v>28162</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1387</v>
      </c>
      <c r="D5" s="1822" t="s">
        <v>1402</v>
      </c>
      <c r="E5" s="1293"/>
      <c r="F5" s="1294"/>
      <c r="G5" s="1851"/>
      <c r="H5" s="344">
        <v>1</v>
      </c>
      <c r="I5" s="345" t="s">
        <v>1401</v>
      </c>
      <c r="J5" s="1292">
        <f ca="1">J6+J10+J12</f>
        <v>1747</v>
      </c>
      <c r="K5" s="1822" t="s">
        <v>1402</v>
      </c>
      <c r="L5" s="1293"/>
      <c r="M5" s="1294"/>
    </row>
    <row r="6" spans="1:37" ht="18" customHeight="1">
      <c r="A6" s="1291" t="s">
        <v>1035</v>
      </c>
      <c r="B6" s="3236" t="s">
        <v>1403</v>
      </c>
      <c r="C6" s="1296">
        <f ca="1">ROUND(F6*F8*F7*(1-F9)/10000,0)</f>
        <v>1385</v>
      </c>
      <c r="D6" s="164" t="s">
        <v>3024</v>
      </c>
      <c r="E6" s="347" t="s">
        <v>1405</v>
      </c>
      <c r="F6" s="348">
        <f ca="1">INDIRECT("'数据-取费表'!u"&amp;$G$1)</f>
        <v>5.57</v>
      </c>
      <c r="G6" s="1851"/>
      <c r="H6" s="1291" t="s">
        <v>1035</v>
      </c>
      <c r="I6" s="3236" t="s">
        <v>1403</v>
      </c>
      <c r="J6" s="346">
        <f ca="1">ROUND(M6*M8*M7*(1-M9)/10000,0)</f>
        <v>1745</v>
      </c>
      <c r="K6" s="164" t="s">
        <v>3023</v>
      </c>
      <c r="L6" s="347" t="s">
        <v>1405</v>
      </c>
      <c r="M6" s="348">
        <f ca="1">INDIRECT("'数据-取费表'!z"&amp;$G$1)</f>
        <v>7.8</v>
      </c>
    </row>
    <row r="7" spans="1:37" ht="18" customHeight="1">
      <c r="A7" s="1295"/>
      <c r="B7" s="3237"/>
      <c r="C7" s="1297"/>
      <c r="D7" s="352"/>
      <c r="E7" s="2943" t="s">
        <v>1406</v>
      </c>
      <c r="F7" s="348">
        <f ca="1">IF(INDIRECT("'数据-取费表'!ah"&amp;$G$1)="",INDIRECT("'数据-取费表'!k"&amp;$G$1),INDIRECT("'数据-取费表'!ah"&amp;$G$1))</f>
        <v>6810.2999999999993</v>
      </c>
      <c r="G7" s="1851"/>
      <c r="H7" s="349"/>
      <c r="I7" s="3237"/>
      <c r="J7" s="351"/>
      <c r="K7" s="352"/>
      <c r="L7" s="347" t="s">
        <v>1406</v>
      </c>
      <c r="M7" s="348">
        <f ca="1">F7</f>
        <v>6810.2999999999993</v>
      </c>
    </row>
    <row r="8" spans="1:37" ht="18" customHeight="1">
      <c r="A8" s="349"/>
      <c r="B8" s="3237"/>
      <c r="C8" s="351"/>
      <c r="D8" s="352"/>
      <c r="E8" s="347" t="s">
        <v>1407</v>
      </c>
      <c r="F8" s="348">
        <f ca="1">INDIRECT("'数据-取费表'!ai"&amp;$G$1)</f>
        <v>365</v>
      </c>
      <c r="G8" s="1851"/>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v>
      </c>
      <c r="G9" s="1851"/>
      <c r="H9" s="349"/>
      <c r="I9" s="3238"/>
      <c r="J9" s="351"/>
      <c r="K9" s="352"/>
      <c r="L9" s="358" t="s">
        <v>1408</v>
      </c>
      <c r="M9" s="359">
        <f ca="1">INDIRECT("'数据-取费表'!ab"&amp;$G$1)</f>
        <v>0.1</v>
      </c>
    </row>
    <row r="10" spans="1:37" ht="18" customHeight="1">
      <c r="A10" s="1291" t="s">
        <v>1039</v>
      </c>
      <c r="B10" s="1823" t="s">
        <v>1409</v>
      </c>
      <c r="C10" s="361">
        <f ca="1">ROUND(IF(F10="押一",C6/12*F11,IF(F10="押二",C6/12*2*F11,IF(F10="押三",C6/12*3*F11,C11*F11))),0)</f>
        <v>2</v>
      </c>
      <c r="D10" s="1824" t="s">
        <v>3033</v>
      </c>
      <c r="E10" s="358" t="s">
        <v>1410</v>
      </c>
      <c r="F10" s="1366" t="s">
        <v>3175</v>
      </c>
      <c r="G10" s="1851"/>
      <c r="H10" s="1291" t="s">
        <v>1039</v>
      </c>
      <c r="I10" s="1823" t="s">
        <v>1409</v>
      </c>
      <c r="J10" s="346">
        <f ca="1">ROUND(IF(M10="押一",J6/12*M11,IF(M10="押二",J6/12*2*M11,IF(M10="押三",J6/12*3*M11,J11*M11))),0)</f>
        <v>2</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3712</v>
      </c>
      <c r="D13" s="1331" t="s">
        <v>1414</v>
      </c>
      <c r="E13" s="1331" t="s">
        <v>1415</v>
      </c>
      <c r="F13" s="1332">
        <f ca="1">INDIRECT("'数据-取费表'!y"&amp;$G$1)</f>
        <v>0.87</v>
      </c>
      <c r="G13" s="1851"/>
      <c r="H13" s="1329">
        <v>2</v>
      </c>
      <c r="I13" s="1330" t="s">
        <v>1413</v>
      </c>
      <c r="J13" s="1290">
        <f ca="1">ROUND(J14*J15,0)</f>
        <v>3286</v>
      </c>
      <c r="K13" s="1337" t="s">
        <v>1414</v>
      </c>
      <c r="L13" s="1852"/>
      <c r="M13" s="1853"/>
    </row>
    <row r="14" spans="1:37" ht="18" customHeight="1">
      <c r="A14" s="1201" t="s">
        <v>1034</v>
      </c>
      <c r="B14" s="347" t="s">
        <v>1416</v>
      </c>
      <c r="C14" s="363">
        <f ca="1">INDIRECT("'数据-取费表'!m"&amp;$G$1)+INDIRECT("'数据-取费表'!t"&amp;$G$1)</f>
        <v>2724</v>
      </c>
      <c r="D14" s="2949" t="s">
        <v>1417</v>
      </c>
      <c r="E14" s="2948"/>
      <c r="F14" s="364"/>
      <c r="G14" s="1851"/>
      <c r="H14" s="1201" t="s">
        <v>1035</v>
      </c>
      <c r="I14" s="347" t="s">
        <v>1418</v>
      </c>
      <c r="J14" s="24">
        <f ca="1">C29</f>
        <v>4267</v>
      </c>
      <c r="K14" s="2942"/>
      <c r="L14" s="979"/>
      <c r="M14" s="980"/>
    </row>
    <row r="15" spans="1:37" s="1858" customFormat="1" ht="18" customHeight="1" thickBot="1">
      <c r="A15" s="1201" t="s">
        <v>1036</v>
      </c>
      <c r="B15" s="347" t="s">
        <v>1419</v>
      </c>
      <c r="C15" s="24">
        <f ca="1">ROUND(C14*F15,0)</f>
        <v>82</v>
      </c>
      <c r="D15" s="365" t="s">
        <v>1420</v>
      </c>
      <c r="E15" s="365" t="s">
        <v>1421</v>
      </c>
      <c r="F15" s="366">
        <f>'数据-取费表'!B33</f>
        <v>0.03</v>
      </c>
      <c r="G15" s="1854"/>
      <c r="H15" s="1339" t="s">
        <v>1039</v>
      </c>
      <c r="I15" s="1340" t="s">
        <v>1415</v>
      </c>
      <c r="J15" s="1349">
        <f ca="1">INDIRECT("'数据-取费表'!ad"&amp;$G$1)</f>
        <v>0.77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415</v>
      </c>
      <c r="K16" s="1337" t="s">
        <v>1424</v>
      </c>
      <c r="L16" s="2951"/>
      <c r="M16" s="1294"/>
    </row>
    <row r="17" spans="1:37" s="1858" customFormat="1" ht="18" customHeight="1">
      <c r="A17" s="1201" t="s">
        <v>1390</v>
      </c>
      <c r="B17" s="347" t="s">
        <v>1425</v>
      </c>
      <c r="C17" s="24">
        <f ca="1">ROUND(F17*(F43+INDIRECT("'数据-取费表'!S"&amp;$G$1))/10000,0)</f>
        <v>136</v>
      </c>
      <c r="D17" s="347" t="s">
        <v>1426</v>
      </c>
      <c r="E17" s="347" t="s">
        <v>1427</v>
      </c>
      <c r="F17" s="26">
        <f>'数据-取费表'!B35</f>
        <v>200</v>
      </c>
      <c r="G17" s="1854"/>
      <c r="H17" s="1201" t="s">
        <v>1035</v>
      </c>
      <c r="I17" s="347" t="s">
        <v>1428</v>
      </c>
      <c r="J17" s="24">
        <f ca="1">ROUND(IF(项目基本情况!B11="自然人",J5*M17,J18+J19+J20),1)</f>
        <v>306</v>
      </c>
      <c r="K17" s="2949" t="s">
        <v>1429</v>
      </c>
      <c r="L17" s="2950"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41</v>
      </c>
      <c r="D18" s="347" t="s">
        <v>1420</v>
      </c>
      <c r="E18" s="347" t="s">
        <v>1421</v>
      </c>
      <c r="F18" s="367">
        <f>'数据-取费表'!B36</f>
        <v>1.4999999999999999E-2</v>
      </c>
      <c r="G18" s="1854"/>
      <c r="H18" s="1201" t="s">
        <v>1034</v>
      </c>
      <c r="I18" s="347" t="s">
        <v>1432</v>
      </c>
      <c r="J18" s="24">
        <f ca="1">ROUND(J5*M18/(1+'数据-取费表'!C42),2)</f>
        <v>93.17</v>
      </c>
      <c r="K18" s="2950"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2983</v>
      </c>
      <c r="D19" s="140" t="s">
        <v>1435</v>
      </c>
      <c r="E19" s="2941"/>
      <c r="F19" s="26"/>
      <c r="G19" s="1851"/>
      <c r="H19" s="1201" t="s">
        <v>1036</v>
      </c>
      <c r="I19" s="347" t="s">
        <v>1436</v>
      </c>
      <c r="J19" s="24">
        <f ca="1">IF(K19="按租金收入计税",ROUND(J5*M19,2),ROUND(C29*M19*0.7,2))</f>
        <v>209.64</v>
      </c>
      <c r="K19" s="1828" t="s">
        <v>3176</v>
      </c>
      <c r="L19" s="347" t="s">
        <v>1421</v>
      </c>
      <c r="M19" s="367">
        <f>IF(K19="按租金收入计税",'数据-取费表'!B51,'数据-取费表'!B50)</f>
        <v>0.12</v>
      </c>
    </row>
    <row r="20" spans="1:37" s="1858" customFormat="1" ht="18" customHeight="1">
      <c r="A20" s="1201" t="s">
        <v>1039</v>
      </c>
      <c r="B20" s="347" t="s">
        <v>1438</v>
      </c>
      <c r="C20" s="24">
        <f ca="1">ROUND(C19*F20,0)</f>
        <v>45</v>
      </c>
      <c r="D20" s="369" t="s">
        <v>1439</v>
      </c>
      <c r="E20" s="347" t="s">
        <v>1421</v>
      </c>
      <c r="F20" s="367">
        <f>'数据-取费表'!B37</f>
        <v>1.4999999999999999E-2</v>
      </c>
      <c r="G20" s="1854"/>
      <c r="H20" s="1201" t="s">
        <v>1389</v>
      </c>
      <c r="I20" s="164" t="s">
        <v>1440</v>
      </c>
      <c r="J20" s="25">
        <f ca="1">ROUND(M20*M21/10000,2)</f>
        <v>3.22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2680.6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2941"/>
      <c r="F22" s="26"/>
      <c r="G22" s="1851"/>
      <c r="H22" s="1201" t="s">
        <v>1039</v>
      </c>
      <c r="I22" s="347" t="s">
        <v>1448</v>
      </c>
      <c r="J22" s="24">
        <f ca="1">ROUND(J14*M22,1)</f>
        <v>64</v>
      </c>
      <c r="K22" s="2950" t="s">
        <v>1449</v>
      </c>
      <c r="L22" s="347" t="s">
        <v>1421</v>
      </c>
      <c r="M22" s="374">
        <f ca="1">INDIRECT("'数据-取费表'!Ak"&amp;$G$1)</f>
        <v>1.4999999999999999E-2</v>
      </c>
    </row>
    <row r="23" spans="1:37" s="1858" customFormat="1" ht="18" customHeight="1">
      <c r="A23" s="1201" t="s">
        <v>1034</v>
      </c>
      <c r="B23" s="347" t="s">
        <v>1450</v>
      </c>
      <c r="C23" s="24">
        <f ca="1">IF('数据-取费表'!B22&lt;=1,ROUND(C19*F24*F23/2,0)+ROUND(C20*F24*F23/2,0),ROUND(C19*(POWER((1+F24),F23/2)-1),0)+ROUND(C20*(POWER((1+F24),F23/2)-1),0))</f>
        <v>144</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ROUND(J13*M23,1)</f>
        <v>9.9</v>
      </c>
      <c r="K23" s="2950" t="s">
        <v>1453</v>
      </c>
      <c r="L23" s="347" t="s">
        <v>1421</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1392</v>
      </c>
      <c r="I24" s="1340" t="s">
        <v>1438</v>
      </c>
      <c r="J24" s="1341">
        <f ca="1">ROUND(J5*M24,1)</f>
        <v>34.9</v>
      </c>
      <c r="K24" s="1342" t="s">
        <v>1458</v>
      </c>
      <c r="L24" s="1340" t="s">
        <v>1421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2941"/>
      <c r="F25" s="26"/>
      <c r="G25" s="1851"/>
      <c r="H25" s="1329" t="s">
        <v>1031</v>
      </c>
      <c r="I25" s="1344" t="s">
        <v>1462</v>
      </c>
      <c r="J25" s="355">
        <f ca="1">J5-J16</f>
        <v>1332</v>
      </c>
      <c r="K25" s="1345" t="s">
        <v>1463</v>
      </c>
      <c r="L25" s="1346"/>
      <c r="M25" s="1347"/>
    </row>
    <row r="26" spans="1:37">
      <c r="A26" s="1201" t="s">
        <v>1034</v>
      </c>
      <c r="B26" s="347" t="s">
        <v>1464</v>
      </c>
      <c r="C26" s="24">
        <f ca="1">ROUND((C19+C20)*F26,0)</f>
        <v>757</v>
      </c>
      <c r="D26" s="369" t="s">
        <v>1465</v>
      </c>
      <c r="E26" s="358" t="s">
        <v>1466</v>
      </c>
      <c r="F26" s="357">
        <f ca="1">INDIRECT("'数据-取费表'!q"&amp;$G$1)</f>
        <v>0.25</v>
      </c>
      <c r="G26" s="1851"/>
      <c r="H26" s="344" t="s">
        <v>1032</v>
      </c>
      <c r="I26" s="345" t="s">
        <v>1467</v>
      </c>
      <c r="J26" s="346">
        <f ca="1">IF(J5&lt;&gt;0,ROUND(J25*(1-((1+M28)/(1+M26))^M27)/(M26-M28),0),0)</f>
        <v>19710</v>
      </c>
      <c r="K26" s="370" t="s">
        <v>1468</v>
      </c>
      <c r="L26" s="347" t="s">
        <v>1469</v>
      </c>
      <c r="M26" s="357">
        <f ca="1">INDIRECT("'数据-取费表'!I"&amp;$G$1)</f>
        <v>0.06</v>
      </c>
    </row>
    <row r="27" spans="1:37" ht="18" customHeight="1">
      <c r="A27" s="1201"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20.439999999999998</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4267</v>
      </c>
      <c r="D29" s="1342"/>
      <c r="E29" s="1340"/>
      <c r="F29" s="1343"/>
      <c r="G29" s="1854"/>
      <c r="H29" s="380" t="s">
        <v>1033</v>
      </c>
      <c r="I29" s="381" t="s">
        <v>1478</v>
      </c>
      <c r="J29" s="382">
        <f ca="1">ROUND(J26/(1+F40)^F41,0)</f>
        <v>13758</v>
      </c>
      <c r="K29" s="383" t="s">
        <v>1479</v>
      </c>
      <c r="L29" s="384"/>
      <c r="M29" s="385">
        <f ca="1">INDIRECT("'数据-取费表'!k"&amp;$G$1)</f>
        <v>6810.2999999999993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346</v>
      </c>
      <c r="D30" s="1337" t="s">
        <v>1424</v>
      </c>
      <c r="E30" s="2951"/>
      <c r="F30" s="1294"/>
      <c r="G30" s="1851"/>
      <c r="H30" s="745"/>
      <c r="I30" s="746"/>
      <c r="J30" s="747"/>
      <c r="K30" s="748"/>
      <c r="L30" s="749"/>
      <c r="M30" s="750"/>
    </row>
    <row r="31" spans="1:37" ht="18" customHeight="1">
      <c r="A31" s="1201" t="s">
        <v>1035</v>
      </c>
      <c r="B31" s="347" t="s">
        <v>1428</v>
      </c>
      <c r="C31" s="24">
        <f ca="1">ROUND(IF(项目基本情况!B11="自然人",C5*F31,C32+C33+C34),1)</f>
        <v>243.6</v>
      </c>
      <c r="D31" s="2949" t="s">
        <v>1429</v>
      </c>
      <c r="E31" s="2950"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IF(项目基本情况!B11="自然人","——",ROUND(C5*F32/(1+'数据-取费表'!C42),2))</f>
        <v>73.97</v>
      </c>
      <c r="D32" s="2950"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IF(项目基本情况!B11="自然人","——",IF(D33="按租金收入计税",ROUND(C5*F33,2),IF(D33="按房产原值计税",ROUND(C29*F33*0.7,2),INDIRECT("'数据-取费表'!Aj"&amp;$G$1))))</f>
        <v>166.44</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f ca="1">IF(项目基本情况!B11="自然人","——",ROUND(F34*F35/10000,2))</f>
        <v>3.22</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2680.6</v>
      </c>
      <c r="G35" s="1851"/>
      <c r="H35" s="745"/>
      <c r="I35" s="1860"/>
      <c r="J35" s="1861"/>
      <c r="K35" s="1862"/>
      <c r="L35" s="1859"/>
      <c r="M35" s="1859"/>
    </row>
    <row r="36" spans="1:18" ht="18" customHeight="1">
      <c r="A36" s="1352" t="s">
        <v>1039</v>
      </c>
      <c r="B36" s="347" t="s">
        <v>1448</v>
      </c>
      <c r="C36" s="24">
        <f ca="1">ROUND(C29*F36,1)</f>
        <v>64</v>
      </c>
      <c r="D36" s="2950" t="s">
        <v>1481</v>
      </c>
      <c r="E36" s="347" t="s">
        <v>1421</v>
      </c>
      <c r="F36" s="374">
        <f ca="1">INDIRECT("'数据-取费表'!Ak"&amp;$G$1)</f>
        <v>1.4999999999999999E-2</v>
      </c>
      <c r="G36" s="1851"/>
      <c r="H36" s="1859"/>
      <c r="I36" s="1860"/>
      <c r="J36" s="1861"/>
      <c r="K36" s="751"/>
      <c r="L36" s="1859"/>
      <c r="M36" s="1859"/>
    </row>
    <row r="37" spans="1:18" ht="18" customHeight="1">
      <c r="A37" s="1201" t="s">
        <v>1075</v>
      </c>
      <c r="B37" s="347" t="s">
        <v>1452</v>
      </c>
      <c r="C37" s="24">
        <f ca="1">ROUND(C13*F37,1)</f>
        <v>11.1</v>
      </c>
      <c r="D37" s="2950" t="s">
        <v>1453</v>
      </c>
      <c r="E37" s="347" t="s">
        <v>1421</v>
      </c>
      <c r="F37" s="376">
        <f ca="1">INDIRECT("'数据-取费表'!Al"&amp;$G$1)</f>
        <v>3.0000000000000001E-3</v>
      </c>
      <c r="G37" s="1851"/>
      <c r="H37" s="1859"/>
      <c r="I37" s="1860"/>
      <c r="J37" s="1861"/>
      <c r="K37" s="751"/>
      <c r="L37" s="1859"/>
      <c r="M37" s="1859"/>
    </row>
    <row r="38" spans="1:18" ht="18" customHeight="1" thickBot="1">
      <c r="A38" s="1339" t="s">
        <v>1392</v>
      </c>
      <c r="B38" s="1340" t="s">
        <v>1438</v>
      </c>
      <c r="C38" s="1341">
        <f ca="1">ROUND(C5*F38,1)</f>
        <v>27.7</v>
      </c>
      <c r="D38" s="1342" t="s">
        <v>1458</v>
      </c>
      <c r="E38" s="1340" t="s">
        <v>1421</v>
      </c>
      <c r="F38" s="1336">
        <f ca="1">INDIRECT("'数据-取费表'!Am"&amp;$G$1)</f>
        <v>0.02</v>
      </c>
      <c r="G38" s="1851"/>
      <c r="H38" s="1859"/>
      <c r="I38" s="1860"/>
      <c r="J38" s="1861"/>
      <c r="K38" s="1865"/>
      <c r="L38" s="1859"/>
      <c r="M38" s="1859"/>
    </row>
    <row r="39" spans="1:18" ht="24.6" customHeight="1" thickTop="1">
      <c r="A39" s="1329" t="s">
        <v>1031</v>
      </c>
      <c r="B39" s="1344" t="s">
        <v>1462</v>
      </c>
      <c r="C39" s="355">
        <f ca="1">C5-C30</f>
        <v>1041</v>
      </c>
      <c r="D39" s="1345" t="s">
        <v>1463</v>
      </c>
      <c r="E39" s="1346"/>
      <c r="F39" s="1347"/>
      <c r="G39" s="1851"/>
      <c r="H39" s="1859"/>
      <c r="I39" s="1860"/>
      <c r="J39" s="1861"/>
      <c r="K39" s="1865"/>
      <c r="L39" s="1859"/>
      <c r="M39" s="1859"/>
    </row>
    <row r="40" spans="1:18" ht="18" customHeight="1">
      <c r="A40" s="344" t="s">
        <v>1032</v>
      </c>
      <c r="B40" s="345" t="s">
        <v>1484</v>
      </c>
      <c r="C40" s="346">
        <f ca="1">ROUND(C39*(1-((1+F42)/(1+F40))^F41)/(F40-F42),0)</f>
        <v>5239</v>
      </c>
      <c r="D40" s="370" t="s">
        <v>1468</v>
      </c>
      <c r="E40" s="347" t="s">
        <v>1469</v>
      </c>
      <c r="F40" s="357">
        <f ca="1">INDIRECT("'数据-取费表'!I"&amp;$G$1)</f>
        <v>0.06</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6.17</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f ca="1">ROUND(C40*10000/F43,0)</f>
        <v>7693</v>
      </c>
      <c r="D43" s="383" t="s">
        <v>1487</v>
      </c>
      <c r="E43" s="384" t="s">
        <v>1488</v>
      </c>
      <c r="F43" s="385">
        <f ca="1">INDIRECT("'数据-取费表'!k"&amp;$G$1)</f>
        <v>6810.2999999999993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f ca="1">C68-C40</f>
        <v>-7438</v>
      </c>
      <c r="D46" s="1872" t="str">
        <f>C2</f>
        <v>万元</v>
      </c>
      <c r="E46" s="1866"/>
      <c r="F46" s="1866"/>
      <c r="I46" s="1873" t="s">
        <v>1520</v>
      </c>
      <c r="J46" s="1874"/>
      <c r="K46" s="1875"/>
      <c r="L46" s="1876">
        <f ca="1">IF(M47="住宅",0,IF(L48&gt;J51,L60,J60))</f>
        <v>182</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f ca="1">INDIRECT("'数据-取费表'!d"&amp;$G$1)</f>
        <v>40</v>
      </c>
      <c r="M47" s="1838" t="str">
        <f>IF(ISNUMBER(FIND("住宅",C1)),"住宅","非住宅")</f>
        <v>非住宅</v>
      </c>
      <c r="O47" s="1884" t="s">
        <v>1040</v>
      </c>
      <c r="P47" s="1885" t="s">
        <v>1527</v>
      </c>
      <c r="Q47" s="1886">
        <f ca="1">C40+J29</f>
        <v>18997</v>
      </c>
      <c r="R47" s="1886" t="s">
        <v>1528</v>
      </c>
    </row>
    <row r="48" spans="1:18" s="1842" customFormat="1" ht="28.5" thickBot="1">
      <c r="A48" s="1360" t="s">
        <v>1135</v>
      </c>
      <c r="B48" s="345" t="s">
        <v>1401</v>
      </c>
      <c r="C48" s="2940">
        <f ca="1">C49+C53+C55</f>
        <v>0</v>
      </c>
      <c r="D48" s="1362"/>
      <c r="E48" s="1363"/>
      <c r="F48" s="1181"/>
      <c r="G48" s="792"/>
      <c r="H48" s="793"/>
      <c r="I48" s="1887" t="s">
        <v>1529</v>
      </c>
      <c r="J48" s="1888" t="s">
        <v>3178</v>
      </c>
      <c r="K48" s="1889" t="s">
        <v>1530</v>
      </c>
      <c r="L48" s="1890">
        <f ca="1">INDIRECT("'数据-取费表'!f"&amp;$G$1)</f>
        <v>26.61</v>
      </c>
      <c r="O48" s="1884" t="s">
        <v>1041</v>
      </c>
      <c r="P48" s="1885" t="s">
        <v>1531</v>
      </c>
      <c r="Q48" s="1886">
        <f ca="1">J60</f>
        <v>182</v>
      </c>
      <c r="R48" s="1886" t="s">
        <v>1532</v>
      </c>
    </row>
    <row r="49" spans="1:18" s="1842" customFormat="1" ht="13.5" thickBot="1">
      <c r="A49" s="1194" t="s">
        <v>1136</v>
      </c>
      <c r="B49" s="1829" t="s">
        <v>1489</v>
      </c>
      <c r="C49" s="1364">
        <f ca="1">ROUND(F49*F51*F50*(1-F52)/10000,0)</f>
        <v>0</v>
      </c>
      <c r="D49" s="1276" t="s">
        <v>3025</v>
      </c>
      <c r="E49" s="1830" t="s">
        <v>1490</v>
      </c>
      <c r="F49" s="1281"/>
      <c r="G49" s="1891"/>
      <c r="H49" s="793"/>
      <c r="I49" s="1887" t="s">
        <v>1533</v>
      </c>
      <c r="J49" s="1892">
        <v>2010</v>
      </c>
      <c r="K49" s="1889" t="s">
        <v>1534</v>
      </c>
      <c r="L49" s="1893"/>
      <c r="O49" s="1894" t="s">
        <v>1042</v>
      </c>
      <c r="P49" s="1885" t="s">
        <v>1535</v>
      </c>
      <c r="Q49" s="1886">
        <f ca="1">C29</f>
        <v>4267</v>
      </c>
      <c r="R49" s="1886" t="s">
        <v>1528</v>
      </c>
    </row>
    <row r="50" spans="1:18" s="1842" customFormat="1" ht="13.5" thickBot="1">
      <c r="A50" s="1195"/>
      <c r="B50" s="1198"/>
      <c r="C50" s="1368"/>
      <c r="D50" s="1172"/>
      <c r="E50" s="1277" t="s">
        <v>1406</v>
      </c>
      <c r="F50" s="1278">
        <f ca="1">F7</f>
        <v>6810.2999999999993</v>
      </c>
      <c r="H50" s="793"/>
      <c r="I50" s="1887" t="s">
        <v>1536</v>
      </c>
      <c r="J50" s="1895">
        <f>SUMPRODUCT((I63:I65=J47)*(J62:L62=J48)*(J63:L65))</f>
        <v>60</v>
      </c>
      <c r="K50" s="1889" t="s">
        <v>1537</v>
      </c>
      <c r="L50" s="1893"/>
      <c r="M50" s="1896"/>
      <c r="O50" s="1894" t="s">
        <v>1043</v>
      </c>
      <c r="P50" s="1885" t="s">
        <v>1538</v>
      </c>
      <c r="Q50" s="1897">
        <f ca="1">J58</f>
        <v>0.42299999999999999</v>
      </c>
      <c r="R50" s="1886"/>
    </row>
    <row r="51" spans="1:18" s="1842" customFormat="1" ht="13.5" thickBot="1">
      <c r="A51" s="1196"/>
      <c r="B51" s="1198"/>
      <c r="C51" s="1199"/>
      <c r="D51" s="1172"/>
      <c r="E51" s="1200" t="s">
        <v>1407</v>
      </c>
      <c r="F51" s="348">
        <f ca="1">F8</f>
        <v>365</v>
      </c>
      <c r="I51" s="1898" t="s">
        <v>1539</v>
      </c>
      <c r="J51" s="1899">
        <f>IF(J49="",J50,J49+J50-YEAR('数据-取费表'!B2))</f>
        <v>52</v>
      </c>
      <c r="K51" s="1900" t="s">
        <v>1540</v>
      </c>
      <c r="L51" s="1901">
        <f ca="1">ROUND(-PV(INDIRECT("'数据-取费表'!h"&amp;$G$1),L48,(C39-C13*C76),0),0)</f>
        <v>10549</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0.05</v>
      </c>
      <c r="O52" s="1894" t="s">
        <v>1045</v>
      </c>
      <c r="P52" s="1885" t="s">
        <v>1544</v>
      </c>
      <c r="Q52" s="1886">
        <f ca="1">J53</f>
        <v>26.61</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f ca="1">IF(M47="住宅",J51,IF(D1="——",MIN(J51,L48),IF(D1="在建（套用方法）",MIN(J51,L48-'数据-取费表'!B24),IF(D1="土地（套用方法）",MIN(J51,L48-'数据-取费表'!B20)))))</f>
        <v>26.61</v>
      </c>
      <c r="K53" s="3239" t="s">
        <v>1547</v>
      </c>
      <c r="L53" s="3240"/>
      <c r="O53" s="1884" t="s">
        <v>1046</v>
      </c>
      <c r="P53" s="1885" t="s">
        <v>1548</v>
      </c>
      <c r="Q53" s="1886">
        <f ca="1">Q47+Q48</f>
        <v>19179</v>
      </c>
      <c r="R53" s="1886" t="s">
        <v>1047</v>
      </c>
    </row>
    <row r="54" spans="1:18" s="1842" customFormat="1" ht="13.5" thickBot="1">
      <c r="A54" s="1406"/>
      <c r="B54" s="1825" t="s">
        <v>1388</v>
      </c>
      <c r="C54" s="1178"/>
      <c r="D54" s="1824"/>
      <c r="E54" s="294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2944"/>
      <c r="F55" s="1907"/>
      <c r="I55" s="1910" t="s">
        <v>1550</v>
      </c>
      <c r="J55" s="1911">
        <f ca="1">ROUND(IF(J47="钢混",J57/J50,1-(1-2%)*(J50-J57)/J50),3)</f>
        <v>0.42299999999999999</v>
      </c>
      <c r="K55" s="1912" t="s">
        <v>1551</v>
      </c>
      <c r="L55" s="1913" t="s">
        <v>1552</v>
      </c>
      <c r="O55" s="1877" t="s">
        <v>1521</v>
      </c>
      <c r="P55" s="1878" t="s">
        <v>1522</v>
      </c>
      <c r="Q55" s="1879" t="s">
        <v>1523</v>
      </c>
      <c r="R55" s="1879" t="s">
        <v>1524</v>
      </c>
    </row>
    <row r="56" spans="1:18" s="1842" customFormat="1" ht="25.5" thickTop="1" thickBot="1">
      <c r="A56" s="1176">
        <v>2</v>
      </c>
      <c r="B56" s="1177" t="s">
        <v>1413</v>
      </c>
      <c r="C56" s="276">
        <f ca="1">C13</f>
        <v>3712</v>
      </c>
      <c r="D56" s="1914"/>
      <c r="E56" s="1915"/>
      <c r="F56" s="1907"/>
      <c r="I56" s="1916" t="s">
        <v>1553</v>
      </c>
      <c r="J56" s="1917" t="s">
        <v>3132</v>
      </c>
      <c r="K56" s="1887" t="s">
        <v>1554</v>
      </c>
      <c r="L56" s="1890" t="str">
        <f ca="1">IF(L48&lt;J51,"——",L48-J53)</f>
        <v>——</v>
      </c>
      <c r="O56" s="1884" t="s">
        <v>1040</v>
      </c>
      <c r="P56" s="1885" t="s">
        <v>1527</v>
      </c>
      <c r="Q56" s="1886">
        <f ca="1">C40+J29</f>
        <v>18997</v>
      </c>
      <c r="R56" s="1886" t="s">
        <v>1528</v>
      </c>
    </row>
    <row r="57" spans="1:18" s="1842" customFormat="1" ht="24.75" thickBot="1">
      <c r="A57" s="1918"/>
      <c r="B57" s="1169" t="s">
        <v>1477</v>
      </c>
      <c r="C57" s="282">
        <f ca="1">C29</f>
        <v>4267</v>
      </c>
      <c r="D57" s="1919"/>
      <c r="E57" s="1920"/>
      <c r="F57" s="1921"/>
      <c r="I57" s="1922" t="s">
        <v>1555</v>
      </c>
      <c r="J57" s="1923">
        <f ca="1">IF(OR(M47="住宅",J51&lt;L48,J56="是"),"——",J51-L48)</f>
        <v>25.39</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7" t="s">
        <v>1423</v>
      </c>
      <c r="C58" s="361">
        <f ca="1">ROUND(C59+C64+C65+C66,0)</f>
        <v>437</v>
      </c>
      <c r="D58" s="1179" t="s">
        <v>1424</v>
      </c>
      <c r="E58" s="1180"/>
      <c r="F58" s="1181"/>
      <c r="I58" s="1922" t="s">
        <v>1559</v>
      </c>
      <c r="J58" s="1924">
        <f ca="1">IF(J55&lt;0.4,0.4,J55)</f>
        <v>0.42299999999999999</v>
      </c>
      <c r="K58" s="1900" t="s">
        <v>1560</v>
      </c>
      <c r="L58" s="1890">
        <f ca="1">ROUND(POWER(1+L52,L47-L48)*(POWER(1+L52,L48)-1)/(POWER(1+L52,L47)-1),4)</f>
        <v>0.84740000000000004</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ROUND(IF(项目基本情况!B11="自然人",C48*F59,C60+C61+C62),1)</f>
        <v>361.7</v>
      </c>
      <c r="D59" s="1182" t="s">
        <v>1429</v>
      </c>
      <c r="E59" s="1183" t="s">
        <v>1430</v>
      </c>
      <c r="F59" s="368" t="str">
        <f ca="1">IF(项目基本情况!B11="企业","",IF(INDIRECT("'数据-取费表'!c"&amp;$G$1)="住宅",5%,IF(F49*F50*F51/12/(1+'数据-取费表'!C42)&gt;20000,12%,7%)))</f>
        <v/>
      </c>
      <c r="I59" s="1922" t="s">
        <v>1562</v>
      </c>
      <c r="J59" s="1923">
        <f ca="1">IF(OR(M47="住宅",J51&lt;L48,J56="是"),"——",ROUND(C29*J58,0))</f>
        <v>1805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1.0733999999999999</v>
      </c>
      <c r="M59" s="1838">
        <f ca="1">ROUND(POWER(1+L52,L47-(J51+'数据-取费表'!B24))*(POWER(1+L52,(J51+'数据-取费表'!B24))-1)/(POWER(1+L52,L47)-1),4)</f>
        <v>1.0733999999999999</v>
      </c>
      <c r="N59" s="1838">
        <f ca="1">ROUND(POWER(1+L52,L47-(J51+'数据-取费表'!B20))*(POWER(1+L52,(J51+'数据-取费表'!B20))-1)/(POWER(1+L52,L47)-1),4)</f>
        <v>1.0819000000000001</v>
      </c>
      <c r="O59" s="1894" t="s">
        <v>1043</v>
      </c>
      <c r="P59" s="1885" t="s">
        <v>1563</v>
      </c>
      <c r="Q59" s="1897">
        <f>L52</f>
        <v>0.05</v>
      </c>
      <c r="R59" s="1886"/>
    </row>
    <row r="60" spans="1:18" s="1842" customFormat="1" ht="16.5" thickBot="1">
      <c r="A60" s="1201" t="s">
        <v>1034</v>
      </c>
      <c r="B60" s="1169" t="s">
        <v>1432</v>
      </c>
      <c r="C60" s="24">
        <f ca="1">IF(项目基本情况!B11="自然人","——",ROUND(C48*F60/(1+'数据-取费表'!C42),2))</f>
        <v>0</v>
      </c>
      <c r="D60" s="1183" t="s">
        <v>1433</v>
      </c>
      <c r="E60" s="1169" t="s">
        <v>1421</v>
      </c>
      <c r="F60" s="377">
        <f t="shared" ref="F60:F66" si="0">F32</f>
        <v>5.6000000000000001E-2</v>
      </c>
      <c r="I60" s="1925" t="s">
        <v>1564</v>
      </c>
      <c r="J60" s="1926">
        <f ca="1">IF(OR(M47="住宅",J51&lt;L48,J56="是"),"0",ROUND(J59/(1+J52)^J53,0))</f>
        <v>182</v>
      </c>
      <c r="K60" s="1927" t="s">
        <v>1565</v>
      </c>
      <c r="L60" s="1926">
        <f ca="1">IF(OR(M47="住宅",L48&lt;J51),0,ROUND(L57*(L58/L59-1),0))</f>
        <v>0</v>
      </c>
      <c r="O60" s="1894" t="s">
        <v>1044</v>
      </c>
      <c r="P60" s="1885" t="s">
        <v>1566</v>
      </c>
      <c r="Q60" s="1886">
        <f ca="1">L58</f>
        <v>0.84740000000000004</v>
      </c>
      <c r="R60" s="1886" t="s">
        <v>1567</v>
      </c>
    </row>
    <row r="61" spans="1:18" s="1842" customFormat="1" ht="13.5" thickBot="1">
      <c r="A61" s="1201" t="s">
        <v>1491</v>
      </c>
      <c r="B61" s="1169" t="s">
        <v>1436</v>
      </c>
      <c r="C61" s="24">
        <f ca="1">IF(项目基本情况!B11="自然人","——",IF(D61="按租金收入计税",ROUND(C48*F61,2),IF(D61="按房产原值计税",ROUND(C57*F61*0.7,2),INDIRECT("'数据-取费表'!Aj"&amp;$G$1))))</f>
        <v>358.43</v>
      </c>
      <c r="D61" s="1828" t="s">
        <v>1437</v>
      </c>
      <c r="E61" s="1169" t="s">
        <v>1421</v>
      </c>
      <c r="F61" s="367">
        <f t="shared" si="0"/>
        <v>0.12</v>
      </c>
      <c r="I61" s="1928"/>
      <c r="J61" s="1928"/>
      <c r="K61" s="1928"/>
      <c r="L61" s="1928"/>
      <c r="O61" s="1894" t="s">
        <v>1045</v>
      </c>
      <c r="P61" s="1885" t="str">
        <f>K59</f>
        <v>建筑物剩余耐用年限下的土地年期修正系数Kn</v>
      </c>
      <c r="Q61" s="1886">
        <f ca="1">L59</f>
        <v>1.0733999999999999</v>
      </c>
      <c r="R61" s="1886" t="s">
        <v>1568</v>
      </c>
    </row>
    <row r="62" spans="1:18" s="1842" customFormat="1" ht="13.5" thickBot="1">
      <c r="A62" s="1201" t="s">
        <v>1494</v>
      </c>
      <c r="B62" s="1168" t="s">
        <v>1440</v>
      </c>
      <c r="C62" s="25">
        <f ca="1">IF(项目基本情况!B11="自然人","——",ROUND(F62*F63/10000,2))</f>
        <v>3.22</v>
      </c>
      <c r="D62" s="1184" t="s">
        <v>1441</v>
      </c>
      <c r="E62" s="1169" t="s">
        <v>1442</v>
      </c>
      <c r="F62" s="371">
        <f t="shared" si="0"/>
        <v>12</v>
      </c>
      <c r="I62" s="1929" t="s">
        <v>1569</v>
      </c>
      <c r="J62" s="1930" t="s">
        <v>1570</v>
      </c>
      <c r="K62" s="1930" t="s">
        <v>1571</v>
      </c>
      <c r="L62" s="1930" t="s">
        <v>1572</v>
      </c>
      <c r="M62" s="1931" t="s">
        <v>1573</v>
      </c>
      <c r="O62" s="1884" t="s">
        <v>1046</v>
      </c>
      <c r="P62" s="1885" t="s">
        <v>1548</v>
      </c>
      <c r="Q62" s="1886">
        <f ca="1">Q56+Q57</f>
        <v>18997</v>
      </c>
      <c r="R62" s="1886" t="s">
        <v>1047</v>
      </c>
    </row>
    <row r="63" spans="1:18" s="1842" customFormat="1" ht="13.5" thickBot="1">
      <c r="A63" s="372"/>
      <c r="B63" s="1175"/>
      <c r="C63" s="29"/>
      <c r="D63" s="1185"/>
      <c r="E63" s="1169" t="s">
        <v>1446</v>
      </c>
      <c r="F63" s="348">
        <f t="shared" ca="1" si="0"/>
        <v>2680.6</v>
      </c>
      <c r="I63" s="1929" t="s">
        <v>1575</v>
      </c>
      <c r="J63" s="1930">
        <v>70</v>
      </c>
      <c r="K63" s="1930">
        <v>50</v>
      </c>
      <c r="L63" s="1930">
        <v>80</v>
      </c>
      <c r="M63" s="1932">
        <v>0.02</v>
      </c>
      <c r="O63" s="1869" t="s">
        <v>1576</v>
      </c>
      <c r="P63" s="1839"/>
      <c r="Q63" s="1839"/>
      <c r="R63" s="1839"/>
    </row>
    <row r="64" spans="1:18" s="1842" customFormat="1" ht="13.5" thickBot="1">
      <c r="A64" s="1201" t="s">
        <v>1039</v>
      </c>
      <c r="B64" s="1169" t="s">
        <v>1448</v>
      </c>
      <c r="C64" s="24">
        <f ca="1">ROUND(C57*F64,1)</f>
        <v>64</v>
      </c>
      <c r="D64" s="1183" t="s">
        <v>1481</v>
      </c>
      <c r="E64" s="1169" t="s">
        <v>1421</v>
      </c>
      <c r="F64" s="374">
        <f t="shared" ca="1" si="0"/>
        <v>1.4999999999999999E-2</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ROUND(C56*F65,1)</f>
        <v>11.1</v>
      </c>
      <c r="D65" s="1183" t="s">
        <v>1453</v>
      </c>
      <c r="E65" s="1169" t="s">
        <v>1421</v>
      </c>
      <c r="F65" s="376">
        <f t="shared" ca="1" si="0"/>
        <v>3.0000000000000001E-3</v>
      </c>
      <c r="I65" s="1929" t="s">
        <v>1578</v>
      </c>
      <c r="J65" s="1930">
        <v>40</v>
      </c>
      <c r="K65" s="1930">
        <v>30</v>
      </c>
      <c r="L65" s="1930">
        <v>50</v>
      </c>
      <c r="M65" s="1932">
        <v>0.02</v>
      </c>
      <c r="O65" s="1884" t="s">
        <v>1040</v>
      </c>
      <c r="P65" s="1885" t="s">
        <v>1527</v>
      </c>
      <c r="Q65" s="1886">
        <f ca="1">C40+J29</f>
        <v>18997</v>
      </c>
      <c r="R65" s="1886" t="s">
        <v>1528</v>
      </c>
    </row>
    <row r="66" spans="1:18" s="1842" customFormat="1" ht="16.5" thickBot="1">
      <c r="A66" s="1201" t="s">
        <v>1503</v>
      </c>
      <c r="B66" s="1169" t="s">
        <v>1438</v>
      </c>
      <c r="C66" s="24">
        <f ca="1">ROUND(C48*F66,1)</f>
        <v>0</v>
      </c>
      <c r="D66" s="1183" t="s">
        <v>1458</v>
      </c>
      <c r="E66" s="1169" t="s">
        <v>1421</v>
      </c>
      <c r="F66" s="357">
        <f t="shared" ca="1" si="0"/>
        <v>0.02</v>
      </c>
      <c r="O66" s="1884" t="s">
        <v>1041</v>
      </c>
      <c r="P66" s="1885" t="s">
        <v>1557</v>
      </c>
      <c r="Q66" s="1886">
        <f ca="1">L60</f>
        <v>0</v>
      </c>
      <c r="R66" s="1886" t="s">
        <v>1580</v>
      </c>
    </row>
    <row r="67" spans="1:18" s="1842" customFormat="1" ht="16.5" thickBot="1">
      <c r="A67" s="1176" t="s">
        <v>1031</v>
      </c>
      <c r="B67" s="1186" t="s">
        <v>1462</v>
      </c>
      <c r="C67" s="361">
        <f ca="1">C48-C58</f>
        <v>-437</v>
      </c>
      <c r="D67" s="1182" t="s">
        <v>1463</v>
      </c>
      <c r="E67" s="1187"/>
      <c r="F67" s="1188"/>
      <c r="O67" s="1894" t="s">
        <v>1042</v>
      </c>
      <c r="P67" s="1885" t="s">
        <v>1561</v>
      </c>
      <c r="Q67" s="1933">
        <f ca="1">L51</f>
        <v>10549</v>
      </c>
      <c r="R67" s="1886" t="s">
        <v>1581</v>
      </c>
    </row>
    <row r="68" spans="1:18" s="1842" customFormat="1" ht="16.5" thickBot="1">
      <c r="A68" s="1166" t="s">
        <v>1032</v>
      </c>
      <c r="B68" s="1167" t="s">
        <v>1484</v>
      </c>
      <c r="C68" s="346">
        <f ca="1">ROUND(C67*(1-((1+F70)/(1+F68))^F69)/(F68-F70),0)</f>
        <v>-2199</v>
      </c>
      <c r="D68" s="1184" t="s">
        <v>1468</v>
      </c>
      <c r="E68" s="1169" t="s">
        <v>1469</v>
      </c>
      <c r="F68" s="357">
        <f ca="1">F40</f>
        <v>0.06</v>
      </c>
      <c r="O68" s="1894" t="s">
        <v>1043</v>
      </c>
      <c r="P68" s="1934" t="s">
        <v>1582</v>
      </c>
      <c r="Q68" s="1886">
        <f ca="1">ROUND(Q69-Q70*Q71,0)</f>
        <v>725</v>
      </c>
      <c r="R68" s="1886" t="s">
        <v>1051</v>
      </c>
    </row>
    <row r="69" spans="1:18" s="1842" customFormat="1" ht="13.5" thickBot="1">
      <c r="A69" s="1170"/>
      <c r="B69" s="1171"/>
      <c r="C69" s="351"/>
      <c r="D69" s="1189" t="s">
        <v>1472</v>
      </c>
      <c r="E69" s="1169" t="s">
        <v>1473</v>
      </c>
      <c r="F69" s="379">
        <f ca="1">F41</f>
        <v>6.17</v>
      </c>
      <c r="O69" s="1894" t="s">
        <v>1048</v>
      </c>
      <c r="P69" s="1934" t="s">
        <v>1583</v>
      </c>
      <c r="Q69" s="1886">
        <f ca="1">C39</f>
        <v>1041</v>
      </c>
      <c r="R69" s="1886" t="s">
        <v>1528</v>
      </c>
    </row>
    <row r="70" spans="1:18" s="1842" customFormat="1" ht="13.5" thickBot="1">
      <c r="A70" s="1173"/>
      <c r="B70" s="1174"/>
      <c r="C70" s="355"/>
      <c r="D70" s="1185"/>
      <c r="E70" s="1169" t="s">
        <v>1476</v>
      </c>
      <c r="F70" s="1275"/>
      <c r="O70" s="1894" t="s">
        <v>1049</v>
      </c>
      <c r="P70" s="1934" t="s">
        <v>1584</v>
      </c>
      <c r="Q70" s="1886">
        <f ca="1">C13</f>
        <v>3712</v>
      </c>
      <c r="R70" s="1886" t="s">
        <v>1528</v>
      </c>
    </row>
    <row r="71" spans="1:18" s="1842" customFormat="1" ht="13.5" thickBot="1">
      <c r="A71" s="1190" t="s">
        <v>1033</v>
      </c>
      <c r="B71" s="1191" t="s">
        <v>1486</v>
      </c>
      <c r="C71" s="382">
        <f ca="1">ROUND(C68*10000/F71,0)</f>
        <v>-3229</v>
      </c>
      <c r="D71" s="1192" t="s">
        <v>1487</v>
      </c>
      <c r="E71" s="1193" t="s">
        <v>1488</v>
      </c>
      <c r="F71" s="385">
        <f ca="1">F43</f>
        <v>6810.2999999999993</v>
      </c>
      <c r="O71" s="1894" t="s">
        <v>1050</v>
      </c>
      <c r="P71" s="1934" t="s">
        <v>1585</v>
      </c>
      <c r="Q71" s="1897">
        <f ca="1">C76</f>
        <v>8.5000000000000006E-2</v>
      </c>
      <c r="R71" s="1886"/>
    </row>
    <row r="72" spans="1:18" s="1842" customFormat="1" ht="13.5" thickBot="1">
      <c r="B72" s="796"/>
      <c r="C72" s="796"/>
      <c r="O72" s="1894" t="s">
        <v>1044</v>
      </c>
      <c r="P72" s="1885" t="s">
        <v>1563</v>
      </c>
      <c r="Q72" s="1897">
        <f>L52</f>
        <v>0.05</v>
      </c>
      <c r="R72" s="1886"/>
    </row>
    <row r="73" spans="1:18" ht="16.5" thickBot="1">
      <c r="A73" s="1842"/>
      <c r="B73" s="796"/>
      <c r="C73" s="796"/>
      <c r="D73" s="1842"/>
      <c r="E73" s="1842"/>
      <c r="F73" s="1842"/>
      <c r="O73" s="1894" t="s">
        <v>1045</v>
      </c>
      <c r="P73" s="1885" t="s">
        <v>1566</v>
      </c>
      <c r="Q73" s="1886">
        <f ca="1">L58</f>
        <v>0.84740000000000004</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f ca="1">L59</f>
        <v>1.0733999999999999</v>
      </c>
      <c r="R74" s="1886" t="s">
        <v>1568</v>
      </c>
    </row>
    <row r="75" spans="1:18" ht="13.5" thickBot="1">
      <c r="A75" s="1842"/>
      <c r="B75" s="386" t="s">
        <v>1505</v>
      </c>
      <c r="C75" s="387">
        <f ca="1">ROUND(C13*C76,0)</f>
        <v>316</v>
      </c>
      <c r="D75" s="1842"/>
      <c r="E75" s="1842"/>
      <c r="F75" s="1842"/>
      <c r="K75" s="1868"/>
      <c r="L75" s="1842"/>
      <c r="O75" s="1884" t="s">
        <v>1046</v>
      </c>
      <c r="P75" s="1885" t="s">
        <v>1548</v>
      </c>
      <c r="Q75" s="1886">
        <f ca="1">Q65+Q66</f>
        <v>18997</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0.69599999999999995</v>
      </c>
    </row>
    <row r="80" spans="1:18">
      <c r="B80" s="386" t="s">
        <v>1510</v>
      </c>
      <c r="C80" s="318">
        <f ca="1">ROUND(C75/C39,3)</f>
        <v>0.30399999999999999</v>
      </c>
    </row>
    <row r="81" spans="2:3">
      <c r="B81" s="314" t="s">
        <v>1511</v>
      </c>
      <c r="C81" s="282"/>
    </row>
    <row r="82" spans="2:3">
      <c r="B82" s="317" t="s">
        <v>1512</v>
      </c>
      <c r="C82" s="319">
        <f ca="1">1-C83</f>
        <v>0.29100000000000004</v>
      </c>
    </row>
    <row r="83" spans="2:3">
      <c r="B83" s="317" t="s">
        <v>1513</v>
      </c>
      <c r="C83" s="318">
        <f ca="1">ROUND(C13/C40,3)</f>
        <v>0.70899999999999996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zoomScale="90" zoomScaleNormal="90" zoomScaleSheetLayoutView="90" workbookViewId="0">
      <selection activeCell="H34" sqref="H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27</v>
      </c>
      <c r="D1" s="1820" t="s">
        <v>70</v>
      </c>
      <c r="E1" s="1821" t="s">
        <v>1387</v>
      </c>
      <c r="F1" s="1283">
        <f ca="1">J53</f>
        <v>36.619999999999997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f ca="1">C40+J29+L46</f>
        <v>66886</v>
      </c>
      <c r="C2" s="1845" t="s">
        <v>1515</v>
      </c>
      <c r="D2" s="1845"/>
      <c r="E2" s="1846"/>
      <c r="F2" s="1847"/>
      <c r="G2" s="1848"/>
      <c r="H2" s="1840"/>
      <c r="I2" s="1840"/>
      <c r="J2" s="1840"/>
      <c r="K2" s="1841"/>
      <c r="L2" s="1840"/>
      <c r="M2" s="1840"/>
    </row>
    <row r="3" spans="1:37" ht="18" customHeight="1" thickBot="1">
      <c r="A3" s="1849" t="s">
        <v>1516</v>
      </c>
      <c r="B3" s="1850">
        <f ca="1">IF(ISERROR(B2*10000/F43),0,ROUND(B2*10000/F43,0))</f>
        <v>38721</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3870</v>
      </c>
      <c r="D5" s="1822" t="s">
        <v>1402</v>
      </c>
      <c r="E5" s="1293"/>
      <c r="F5" s="1294"/>
      <c r="G5" s="1851"/>
      <c r="H5" s="344">
        <v>1</v>
      </c>
      <c r="I5" s="345" t="s">
        <v>1401</v>
      </c>
      <c r="J5" s="1292">
        <f ca="1">J6+J10+J12</f>
        <v>4091</v>
      </c>
      <c r="K5" s="1822" t="s">
        <v>1402</v>
      </c>
      <c r="L5" s="1293"/>
      <c r="M5" s="1294"/>
    </row>
    <row r="6" spans="1:37" ht="18" customHeight="1">
      <c r="A6" s="1291" t="s">
        <v>1035</v>
      </c>
      <c r="B6" s="3236" t="s">
        <v>1403</v>
      </c>
      <c r="C6" s="1296">
        <f ca="1">ROUND(F6*F8*F7*(1-F9)/10000,0)</f>
        <v>3865</v>
      </c>
      <c r="D6" s="164" t="s">
        <v>3024</v>
      </c>
      <c r="E6" s="347" t="s">
        <v>1405</v>
      </c>
      <c r="F6" s="348">
        <f ca="1">INDIRECT("'数据-取费表'!u"&amp;$G$1)</f>
        <v>6.13</v>
      </c>
      <c r="G6" s="1851"/>
      <c r="H6" s="1291" t="s">
        <v>1035</v>
      </c>
      <c r="I6" s="3236" t="s">
        <v>1403</v>
      </c>
      <c r="J6" s="346">
        <f ca="1">ROUND(M6*M8*M7*(1-M9)/10000,0)</f>
        <v>4086</v>
      </c>
      <c r="K6" s="164" t="s">
        <v>3023</v>
      </c>
      <c r="L6" s="347" t="s">
        <v>1405</v>
      </c>
      <c r="M6" s="348">
        <f ca="1">INDIRECT("'数据-取费表'!z"&amp;$G$1)</f>
        <v>7.2</v>
      </c>
    </row>
    <row r="7" spans="1:37" ht="18" customHeight="1">
      <c r="A7" s="1295"/>
      <c r="B7" s="3237"/>
      <c r="C7" s="1297"/>
      <c r="D7" s="352"/>
      <c r="E7" s="2943" t="s">
        <v>1406</v>
      </c>
      <c r="F7" s="348">
        <f ca="1">IF(INDIRECT("'数据-取费表'!ah"&amp;$G$1)="",INDIRECT("'数据-取费表'!k"&amp;$G$1),INDIRECT("'数据-取费表'!ah"&amp;$G$1))</f>
        <v>17274</v>
      </c>
      <c r="G7" s="1851"/>
      <c r="H7" s="349"/>
      <c r="I7" s="3237"/>
      <c r="J7" s="351"/>
      <c r="K7" s="352"/>
      <c r="L7" s="347" t="s">
        <v>1406</v>
      </c>
      <c r="M7" s="348">
        <f ca="1">F7</f>
        <v>17274</v>
      </c>
    </row>
    <row r="8" spans="1:37" ht="18" customHeight="1">
      <c r="A8" s="349"/>
      <c r="B8" s="3237"/>
      <c r="C8" s="351"/>
      <c r="D8" s="352"/>
      <c r="E8" s="347" t="s">
        <v>1407</v>
      </c>
      <c r="F8" s="348">
        <f ca="1">INDIRECT("'数据-取费表'!ai"&amp;$G$1)</f>
        <v>365</v>
      </c>
      <c r="G8" s="1851"/>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v>
      </c>
      <c r="G9" s="1851"/>
      <c r="H9" s="349"/>
      <c r="I9" s="3238"/>
      <c r="J9" s="351"/>
      <c r="K9" s="352"/>
      <c r="L9" s="358" t="s">
        <v>1408</v>
      </c>
      <c r="M9" s="359">
        <f ca="1">INDIRECT("'数据-取费表'!ab"&amp;$G$1)</f>
        <v>0.1</v>
      </c>
    </row>
    <row r="10" spans="1:37" ht="18" customHeight="1">
      <c r="A10" s="1291" t="s">
        <v>1039</v>
      </c>
      <c r="B10" s="1823" t="s">
        <v>1409</v>
      </c>
      <c r="C10" s="361">
        <f ca="1">ROUND(IF(F10="押一",C6/12*F11,IF(F10="押二",C6/12*2*F11,IF(F10="押三",C6/12*3*F11,C11*F11))),0)</f>
        <v>5</v>
      </c>
      <c r="D10" s="1824" t="s">
        <v>3033</v>
      </c>
      <c r="E10" s="358" t="s">
        <v>1410</v>
      </c>
      <c r="F10" s="1366" t="s">
        <v>3175</v>
      </c>
      <c r="G10" s="1851"/>
      <c r="H10" s="1291" t="s">
        <v>1039</v>
      </c>
      <c r="I10" s="1823" t="s">
        <v>1409</v>
      </c>
      <c r="J10" s="346">
        <f ca="1">ROUND(IF(M10="押一",J6/12*M11,IF(M10="押二",J6/12*2*M11,IF(M10="押三",J6/12*3*M11,J11*M11))),0)</f>
        <v>5</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7964</v>
      </c>
      <c r="D13" s="1331" t="s">
        <v>1414</v>
      </c>
      <c r="E13" s="1331" t="s">
        <v>1415</v>
      </c>
      <c r="F13" s="1332">
        <f ca="1">INDIRECT("'数据-取费表'!y"&amp;$G$1)</f>
        <v>0.87</v>
      </c>
      <c r="G13" s="1851"/>
      <c r="H13" s="1329">
        <v>2</v>
      </c>
      <c r="I13" s="1330" t="s">
        <v>1413</v>
      </c>
      <c r="J13" s="1290">
        <f ca="1">ROUND(J14*J15,0)</f>
        <v>7323</v>
      </c>
      <c r="K13" s="1337" t="s">
        <v>1414</v>
      </c>
      <c r="L13" s="1852"/>
      <c r="M13" s="1853"/>
    </row>
    <row r="14" spans="1:37" ht="18" customHeight="1">
      <c r="A14" s="1201" t="s">
        <v>1034</v>
      </c>
      <c r="B14" s="347" t="s">
        <v>1416</v>
      </c>
      <c r="C14" s="363">
        <f ca="1">INDIRECT("'数据-取费表'!m"&amp;$G$1)+INDIRECT("'数据-取费表'!t"&amp;$G$1)</f>
        <v>6046</v>
      </c>
      <c r="D14" s="2949" t="s">
        <v>1417</v>
      </c>
      <c r="E14" s="2948"/>
      <c r="F14" s="364"/>
      <c r="G14" s="1851"/>
      <c r="H14" s="1201" t="s">
        <v>1035</v>
      </c>
      <c r="I14" s="347" t="s">
        <v>1418</v>
      </c>
      <c r="J14" s="24">
        <f ca="1">C29</f>
        <v>9154</v>
      </c>
      <c r="K14" s="2942"/>
      <c r="L14" s="979"/>
      <c r="M14" s="980"/>
    </row>
    <row r="15" spans="1:37" s="1858" customFormat="1" ht="18" customHeight="1" thickBot="1">
      <c r="A15" s="1201" t="s">
        <v>1036</v>
      </c>
      <c r="B15" s="347" t="s">
        <v>1419</v>
      </c>
      <c r="C15" s="24">
        <f ca="1">ROUND(C14*F15,0)</f>
        <v>181</v>
      </c>
      <c r="D15" s="365" t="s">
        <v>1420</v>
      </c>
      <c r="E15" s="365" t="s">
        <v>1421</v>
      </c>
      <c r="F15" s="366">
        <f>'数据-取费表'!B33</f>
        <v>0.03</v>
      </c>
      <c r="G15" s="1854"/>
      <c r="H15" s="1339" t="s">
        <v>1039</v>
      </c>
      <c r="I15" s="1340" t="s">
        <v>1415</v>
      </c>
      <c r="J15" s="1349">
        <f ca="1">INDIRECT("'数据-取费表'!ad"&amp;$G$1)</f>
        <v>0.8</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958</v>
      </c>
      <c r="K16" s="1337" t="s">
        <v>1424</v>
      </c>
      <c r="L16" s="2951"/>
      <c r="M16" s="1294"/>
    </row>
    <row r="17" spans="1:37" s="1858" customFormat="1" ht="18" customHeight="1">
      <c r="A17" s="1201" t="s">
        <v>1390</v>
      </c>
      <c r="B17" s="347" t="s">
        <v>1425</v>
      </c>
      <c r="C17" s="24">
        <f ca="1">ROUND(F17*(F43+INDIRECT("'数据-取费表'!S"&amp;$G$1))/10000,0)</f>
        <v>345</v>
      </c>
      <c r="D17" s="347" t="s">
        <v>1426</v>
      </c>
      <c r="E17" s="347" t="s">
        <v>1427</v>
      </c>
      <c r="F17" s="26">
        <f>'数据-取费表'!B35</f>
        <v>200</v>
      </c>
      <c r="G17" s="1854"/>
      <c r="H17" s="1201" t="s">
        <v>1035</v>
      </c>
      <c r="I17" s="347" t="s">
        <v>1428</v>
      </c>
      <c r="J17" s="24">
        <f ca="1">ROUND(IF(项目基本情况!B11="自然人",J5*M17,J18+J19+J20),1)</f>
        <v>717.3</v>
      </c>
      <c r="K17" s="2949" t="s">
        <v>1429</v>
      </c>
      <c r="L17" s="2950"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91</v>
      </c>
      <c r="D18" s="347" t="s">
        <v>1420</v>
      </c>
      <c r="E18" s="347" t="s">
        <v>1421</v>
      </c>
      <c r="F18" s="367">
        <f>'数据-取费表'!B36</f>
        <v>1.4999999999999999E-2</v>
      </c>
      <c r="G18" s="1854"/>
      <c r="H18" s="1201" t="s">
        <v>1034</v>
      </c>
      <c r="I18" s="347" t="s">
        <v>1432</v>
      </c>
      <c r="J18" s="24">
        <f ca="1">ROUND(J5*M18/(1+'数据-取费表'!C42),2)</f>
        <v>218.19</v>
      </c>
      <c r="K18" s="2950"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6663</v>
      </c>
      <c r="D19" s="140" t="s">
        <v>1435</v>
      </c>
      <c r="E19" s="2941"/>
      <c r="F19" s="26"/>
      <c r="G19" s="1851"/>
      <c r="H19" s="1201" t="s">
        <v>1036</v>
      </c>
      <c r="I19" s="347" t="s">
        <v>1436</v>
      </c>
      <c r="J19" s="24">
        <f ca="1">IF(K19="按租金收入计税",ROUND(J5*M19,2),ROUND(C29*M19*0.7,2))</f>
        <v>490.92</v>
      </c>
      <c r="K19" s="1828" t="s">
        <v>3176</v>
      </c>
      <c r="L19" s="347" t="s">
        <v>1421</v>
      </c>
      <c r="M19" s="367">
        <f>IF(K19="按租金收入计税",'数据-取费表'!B51,'数据-取费表'!B50)</f>
        <v>0.12</v>
      </c>
    </row>
    <row r="20" spans="1:37" s="1858" customFormat="1" ht="18" customHeight="1">
      <c r="A20" s="1201" t="s">
        <v>1039</v>
      </c>
      <c r="B20" s="347" t="s">
        <v>1438</v>
      </c>
      <c r="C20" s="24">
        <f ca="1">ROUND(C19*F20,0)</f>
        <v>100</v>
      </c>
      <c r="D20" s="369" t="s">
        <v>1439</v>
      </c>
      <c r="E20" s="347" t="s">
        <v>1421</v>
      </c>
      <c r="F20" s="367">
        <f>'数据-取费表'!B37</f>
        <v>1.4999999999999999E-2</v>
      </c>
      <c r="G20" s="1854"/>
      <c r="H20" s="1201" t="s">
        <v>1389</v>
      </c>
      <c r="I20" s="164" t="s">
        <v>1440</v>
      </c>
      <c r="J20" s="25">
        <f ca="1">ROUND(M20*M21/10000,2)</f>
        <v>8.16</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6799.23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2941"/>
      <c r="F22" s="26"/>
      <c r="G22" s="1851"/>
      <c r="H22" s="1201" t="s">
        <v>1039</v>
      </c>
      <c r="I22" s="347" t="s">
        <v>1448</v>
      </c>
      <c r="J22" s="24">
        <f ca="1">ROUND(J14*M22,1)</f>
        <v>137.30000000000001</v>
      </c>
      <c r="K22" s="2950" t="s">
        <v>1449</v>
      </c>
      <c r="L22" s="347" t="s">
        <v>1421</v>
      </c>
      <c r="M22" s="374">
        <f ca="1">INDIRECT("'数据-取费表'!Ak"&amp;$G$1)</f>
        <v>1.4999999999999999E-2</v>
      </c>
    </row>
    <row r="23" spans="1:37" s="1858" customFormat="1" ht="18" customHeight="1">
      <c r="A23" s="1201" t="s">
        <v>1034</v>
      </c>
      <c r="B23" s="347" t="s">
        <v>1450</v>
      </c>
      <c r="C23" s="24">
        <f ca="1">IF('数据-取费表'!B22&lt;=1,ROUND(C19*F24*F23/2,0)+ROUND(C20*F24*F23/2,0),ROUND(C19*(POWER((1+F24),F23/2)-1),0)+ROUND(C20*(POWER((1+F24),F23/2)-1),0))</f>
        <v>321</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ROUND(J13*M23,1)</f>
        <v>22</v>
      </c>
      <c r="K23" s="2950" t="s">
        <v>1453</v>
      </c>
      <c r="L23" s="347" t="s">
        <v>1421</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1392</v>
      </c>
      <c r="I24" s="1340" t="s">
        <v>1438</v>
      </c>
      <c r="J24" s="1341">
        <f ca="1">ROUND(J5*M24,1)</f>
        <v>81.8</v>
      </c>
      <c r="K24" s="1342" t="s">
        <v>1458</v>
      </c>
      <c r="L24" s="1340" t="s">
        <v>1421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2941"/>
      <c r="F25" s="26"/>
      <c r="G25" s="1851"/>
      <c r="H25" s="1329" t="s">
        <v>1031</v>
      </c>
      <c r="I25" s="1344" t="s">
        <v>1462</v>
      </c>
      <c r="J25" s="355">
        <f ca="1">J5-J16</f>
        <v>3133</v>
      </c>
      <c r="K25" s="1345" t="s">
        <v>1463</v>
      </c>
      <c r="L25" s="1346"/>
      <c r="M25" s="1347"/>
    </row>
    <row r="26" spans="1:37">
      <c r="A26" s="1201" t="s">
        <v>1034</v>
      </c>
      <c r="B26" s="347" t="s">
        <v>1464</v>
      </c>
      <c r="C26" s="24">
        <f ca="1">ROUND((C19+C20)*F26,0)</f>
        <v>1353</v>
      </c>
      <c r="D26" s="369" t="s">
        <v>1465</v>
      </c>
      <c r="E26" s="358" t="s">
        <v>1466</v>
      </c>
      <c r="F26" s="357">
        <f ca="1">INDIRECT("'数据-取费表'!q"&amp;$G$1)</f>
        <v>0.2</v>
      </c>
      <c r="G26" s="1851"/>
      <c r="H26" s="344" t="s">
        <v>1032</v>
      </c>
      <c r="I26" s="345" t="s">
        <v>1467</v>
      </c>
      <c r="J26" s="346">
        <f ca="1">IF(J5&lt;&gt;0,ROUND(J25*(1-((1+M28)/(1+M26))^M27)/(M26-M28),0),0)</f>
        <v>69431</v>
      </c>
      <c r="K26" s="370" t="s">
        <v>1468</v>
      </c>
      <c r="L26" s="347" t="s">
        <v>1469</v>
      </c>
      <c r="M26" s="357">
        <f ca="1">INDIRECT("'数据-取费表'!I"&amp;$G$1)</f>
        <v>0.05</v>
      </c>
    </row>
    <row r="27" spans="1:37" ht="18" customHeight="1">
      <c r="A27" s="1201" t="s">
        <v>1036</v>
      </c>
      <c r="B27" s="347" t="s">
        <v>1470</v>
      </c>
      <c r="C27" s="24">
        <f ca="1">ROUND(F21*F26,4)</f>
        <v>4.0000000000000001E-3</v>
      </c>
      <c r="D27" s="369" t="s">
        <v>1471</v>
      </c>
      <c r="E27" s="365"/>
      <c r="F27" s="366"/>
      <c r="G27" s="1851"/>
      <c r="H27" s="349"/>
      <c r="I27" s="350"/>
      <c r="J27" s="351"/>
      <c r="K27" s="378" t="s">
        <v>1472</v>
      </c>
      <c r="L27" s="347" t="s">
        <v>1473</v>
      </c>
      <c r="M27" s="379">
        <f ca="1">INDIRECT("'数据-取费表'!ag"&amp;$G$1)</f>
        <v>30.449999999999996</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9154</v>
      </c>
      <c r="D29" s="1342"/>
      <c r="E29" s="1340"/>
      <c r="F29" s="1343"/>
      <c r="G29" s="1854"/>
      <c r="H29" s="380" t="s">
        <v>1033</v>
      </c>
      <c r="I29" s="381" t="s">
        <v>1478</v>
      </c>
      <c r="J29" s="382">
        <f ca="1">ROUND(J26/(1+F40)^F41,0)</f>
        <v>51383</v>
      </c>
      <c r="K29" s="383" t="s">
        <v>1479</v>
      </c>
      <c r="L29" s="384"/>
      <c r="M29" s="385">
        <f ca="1">INDIRECT("'数据-取费表'!k"&amp;$G$1)</f>
        <v>17274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918</v>
      </c>
      <c r="D30" s="1337" t="s">
        <v>1424</v>
      </c>
      <c r="E30" s="2951"/>
      <c r="F30" s="1294"/>
      <c r="G30" s="1851"/>
      <c r="H30" s="745"/>
      <c r="I30" s="746"/>
      <c r="J30" s="747"/>
      <c r="K30" s="748"/>
      <c r="L30" s="749"/>
      <c r="M30" s="750"/>
    </row>
    <row r="31" spans="1:37" ht="18" customHeight="1">
      <c r="A31" s="1201" t="s">
        <v>1035</v>
      </c>
      <c r="B31" s="347" t="s">
        <v>1428</v>
      </c>
      <c r="C31" s="24">
        <f ca="1">ROUND(IF(项目基本情况!B11="自然人",C5*F31,C32+C33+C34),1)</f>
        <v>679</v>
      </c>
      <c r="D31" s="2949" t="s">
        <v>1429</v>
      </c>
      <c r="E31" s="2950"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IF(项目基本情况!B11="自然人","——",ROUND(C5*F32/(1+'数据-取费表'!C42),2))</f>
        <v>206.4</v>
      </c>
      <c r="D32" s="2950"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IF(项目基本情况!B11="自然人","——",IF(D33="按租金收入计税",ROUND(C5*F33,2),IF(D33="按房产原值计税",ROUND(C29*F33*0.7,2),INDIRECT("'数据-取费表'!Aj"&amp;$G$1))))</f>
        <v>464.4</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f ca="1">IF(项目基本情况!B11="自然人","——",ROUND(F34*F35/10000,2))</f>
        <v>8.16</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6799.23</v>
      </c>
      <c r="G35" s="1851"/>
      <c r="H35" s="745"/>
      <c r="I35" s="1860"/>
      <c r="J35" s="1861"/>
      <c r="K35" s="1862"/>
      <c r="L35" s="1859"/>
      <c r="M35" s="1859"/>
    </row>
    <row r="36" spans="1:18" ht="18" customHeight="1">
      <c r="A36" s="1352" t="s">
        <v>1039</v>
      </c>
      <c r="B36" s="347" t="s">
        <v>1448</v>
      </c>
      <c r="C36" s="24">
        <f ca="1">ROUND(C29*F36,1)</f>
        <v>137.30000000000001</v>
      </c>
      <c r="D36" s="2950" t="s">
        <v>1481</v>
      </c>
      <c r="E36" s="347" t="s">
        <v>1421</v>
      </c>
      <c r="F36" s="374">
        <f ca="1">INDIRECT("'数据-取费表'!Ak"&amp;$G$1)</f>
        <v>1.4999999999999999E-2</v>
      </c>
      <c r="G36" s="1851"/>
      <c r="H36" s="1859"/>
      <c r="I36" s="1860"/>
      <c r="J36" s="1861"/>
      <c r="K36" s="751"/>
      <c r="L36" s="1859"/>
      <c r="M36" s="1859"/>
    </row>
    <row r="37" spans="1:18" ht="18" customHeight="1">
      <c r="A37" s="1201" t="s">
        <v>1075</v>
      </c>
      <c r="B37" s="347" t="s">
        <v>1452</v>
      </c>
      <c r="C37" s="24">
        <f ca="1">ROUND(C13*F37,1)</f>
        <v>23.9</v>
      </c>
      <c r="D37" s="2950" t="s">
        <v>1453</v>
      </c>
      <c r="E37" s="347" t="s">
        <v>1421</v>
      </c>
      <c r="F37" s="376">
        <f ca="1">INDIRECT("'数据-取费表'!Al"&amp;$G$1)</f>
        <v>3.0000000000000001E-3</v>
      </c>
      <c r="G37" s="1851"/>
      <c r="H37" s="1859"/>
      <c r="I37" s="1860"/>
      <c r="J37" s="1861"/>
      <c r="K37" s="751"/>
      <c r="L37" s="1859"/>
      <c r="M37" s="1859"/>
    </row>
    <row r="38" spans="1:18" ht="18" customHeight="1" thickBot="1">
      <c r="A38" s="1339" t="s">
        <v>1392</v>
      </c>
      <c r="B38" s="1340" t="s">
        <v>1438</v>
      </c>
      <c r="C38" s="1341">
        <f ca="1">ROUND(C5*F38,1)</f>
        <v>77.400000000000006</v>
      </c>
      <c r="D38" s="1342" t="s">
        <v>1458</v>
      </c>
      <c r="E38" s="1340" t="s">
        <v>1421</v>
      </c>
      <c r="F38" s="1336">
        <f ca="1">INDIRECT("'数据-取费表'!Am"&amp;$G$1)</f>
        <v>0.02</v>
      </c>
      <c r="G38" s="1851"/>
      <c r="H38" s="1859"/>
      <c r="I38" s="1860"/>
      <c r="J38" s="1861"/>
      <c r="K38" s="1865"/>
      <c r="L38" s="1859"/>
      <c r="M38" s="1859"/>
    </row>
    <row r="39" spans="1:18" ht="24.6" customHeight="1" thickTop="1">
      <c r="A39" s="1329" t="s">
        <v>1031</v>
      </c>
      <c r="B39" s="1344" t="s">
        <v>1462</v>
      </c>
      <c r="C39" s="355">
        <f ca="1">C5-C30</f>
        <v>2952</v>
      </c>
      <c r="D39" s="1345" t="s">
        <v>1463</v>
      </c>
      <c r="E39" s="1346"/>
      <c r="F39" s="1347"/>
      <c r="G39" s="1851"/>
      <c r="H39" s="1859"/>
      <c r="I39" s="1860"/>
      <c r="J39" s="1861"/>
      <c r="K39" s="1865"/>
      <c r="L39" s="1859"/>
      <c r="M39" s="1859"/>
    </row>
    <row r="40" spans="1:18" ht="18" customHeight="1">
      <c r="A40" s="344" t="s">
        <v>1032</v>
      </c>
      <c r="B40" s="345" t="s">
        <v>1484</v>
      </c>
      <c r="C40" s="346">
        <f ca="1">ROUND(C39*(1-((1+F42)/(1+F40))^F41)/(F40-F42),0)</f>
        <v>15347</v>
      </c>
      <c r="D40" s="370" t="s">
        <v>1468</v>
      </c>
      <c r="E40" s="347" t="s">
        <v>1469</v>
      </c>
      <c r="F40" s="357">
        <f ca="1">INDIRECT("'数据-取费表'!I"&amp;$G$1)</f>
        <v>0.05</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6.17</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f ca="1">ROUND(C40*10000/F43,0)</f>
        <v>8884</v>
      </c>
      <c r="D43" s="383" t="s">
        <v>1487</v>
      </c>
      <c r="E43" s="384" t="s">
        <v>1488</v>
      </c>
      <c r="F43" s="385">
        <f ca="1">INDIRECT("'数据-取费表'!k"&amp;$G$1)</f>
        <v>17274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f ca="1">C68-C40</f>
        <v>-20224</v>
      </c>
      <c r="D46" s="1872" t="str">
        <f>C2</f>
        <v>万元</v>
      </c>
      <c r="E46" s="1866"/>
      <c r="F46" s="1866"/>
      <c r="I46" s="1873" t="s">
        <v>1520</v>
      </c>
      <c r="J46" s="1874"/>
      <c r="K46" s="1875"/>
      <c r="L46" s="1876">
        <f ca="1">IF(M47="住宅",0,IF(L48&gt;J51,L60,J60))</f>
        <v>156</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f ca="1">INDIRECT("'数据-取费表'!d"&amp;$G$1)</f>
        <v>50</v>
      </c>
      <c r="M47" s="1838" t="str">
        <f>IF(ISNUMBER(FIND("住宅",C1)),"住宅","非住宅")</f>
        <v>非住宅</v>
      </c>
      <c r="O47" s="1884" t="s">
        <v>1040</v>
      </c>
      <c r="P47" s="1885" t="s">
        <v>1527</v>
      </c>
      <c r="Q47" s="1886">
        <f ca="1">C40+J29</f>
        <v>66730</v>
      </c>
      <c r="R47" s="1886" t="s">
        <v>1528</v>
      </c>
    </row>
    <row r="48" spans="1:18" s="1842" customFormat="1" ht="28.5" thickBot="1">
      <c r="A48" s="1360" t="s">
        <v>1135</v>
      </c>
      <c r="B48" s="345" t="s">
        <v>1401</v>
      </c>
      <c r="C48" s="2940">
        <f ca="1">C49+C53+C55</f>
        <v>0</v>
      </c>
      <c r="D48" s="1362"/>
      <c r="E48" s="1363"/>
      <c r="F48" s="1181"/>
      <c r="G48" s="792"/>
      <c r="H48" s="793"/>
      <c r="I48" s="1887" t="s">
        <v>1529</v>
      </c>
      <c r="J48" s="1888" t="s">
        <v>3178</v>
      </c>
      <c r="K48" s="1889" t="s">
        <v>1530</v>
      </c>
      <c r="L48" s="1890">
        <f ca="1">INDIRECT("'数据-取费表'!f"&amp;$G$1)</f>
        <v>36.619999999999997</v>
      </c>
      <c r="O48" s="1884" t="s">
        <v>1041</v>
      </c>
      <c r="P48" s="1885" t="s">
        <v>1531</v>
      </c>
      <c r="Q48" s="1886">
        <f ca="1">J60</f>
        <v>156</v>
      </c>
      <c r="R48" s="1886" t="s">
        <v>1532</v>
      </c>
    </row>
    <row r="49" spans="1:18" s="1842" customFormat="1" ht="13.5" thickBot="1">
      <c r="A49" s="1194" t="s">
        <v>1136</v>
      </c>
      <c r="B49" s="1829" t="s">
        <v>1489</v>
      </c>
      <c r="C49" s="1364">
        <f ca="1">ROUND(F49*F51*F50*(1-F52)/10000,0)</f>
        <v>0</v>
      </c>
      <c r="D49" s="1276" t="s">
        <v>3025</v>
      </c>
      <c r="E49" s="1830" t="s">
        <v>1490</v>
      </c>
      <c r="F49" s="1281"/>
      <c r="G49" s="1891"/>
      <c r="H49" s="793"/>
      <c r="I49" s="1887" t="s">
        <v>1533</v>
      </c>
      <c r="J49" s="1892">
        <v>2010</v>
      </c>
      <c r="K49" s="1889" t="s">
        <v>1534</v>
      </c>
      <c r="L49" s="1893"/>
      <c r="O49" s="1894" t="s">
        <v>1042</v>
      </c>
      <c r="P49" s="1885" t="s">
        <v>1535</v>
      </c>
      <c r="Q49" s="1886">
        <f ca="1">C29</f>
        <v>9154</v>
      </c>
      <c r="R49" s="1886" t="s">
        <v>1528</v>
      </c>
    </row>
    <row r="50" spans="1:18" s="1842" customFormat="1" ht="13.5" thickBot="1">
      <c r="A50" s="1195"/>
      <c r="B50" s="1198"/>
      <c r="C50" s="1368"/>
      <c r="D50" s="1172"/>
      <c r="E50" s="1277" t="s">
        <v>1406</v>
      </c>
      <c r="F50" s="1278">
        <f ca="1">F7</f>
        <v>17274</v>
      </c>
      <c r="H50" s="793"/>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6"/>
      <c r="B51" s="1198"/>
      <c r="C51" s="1199"/>
      <c r="D51" s="1172"/>
      <c r="E51" s="1200" t="s">
        <v>1407</v>
      </c>
      <c r="F51" s="348">
        <f ca="1">F8</f>
        <v>365</v>
      </c>
      <c r="I51" s="1898" t="s">
        <v>1539</v>
      </c>
      <c r="J51" s="1899">
        <f>IF(J49="",J50,J49+J50-YEAR('数据-取费表'!B2))</f>
        <v>52</v>
      </c>
      <c r="K51" s="1900" t="s">
        <v>1540</v>
      </c>
      <c r="L51" s="1901">
        <f ca="1">ROUND(-PV(INDIRECT("'数据-取费表'!h"&amp;$G$1),L48,(C39-C13*C76),0),0)</f>
        <v>40470</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4.4999999999999998E-2</v>
      </c>
      <c r="O52" s="1894" t="s">
        <v>1045</v>
      </c>
      <c r="P52" s="1885" t="s">
        <v>1544</v>
      </c>
      <c r="Q52" s="1886">
        <f ca="1">J53</f>
        <v>36.619999999999997</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f ca="1">IF(M47="住宅",J51,IF(D1="——",MIN(J51,L48),IF(D1="在建（套用方法）",MIN(J51,L48-'数据-取费表'!B24),IF(D1="土地（套用方法）",MIN(J51,L48-'数据-取费表'!B20)))))</f>
        <v>36.619999999999997</v>
      </c>
      <c r="K53" s="3239" t="s">
        <v>1547</v>
      </c>
      <c r="L53" s="3240"/>
      <c r="O53" s="1884" t="s">
        <v>1046</v>
      </c>
      <c r="P53" s="1885" t="s">
        <v>1548</v>
      </c>
      <c r="Q53" s="1886">
        <f ca="1">Q47+Q48</f>
        <v>66886</v>
      </c>
      <c r="R53" s="1886" t="s">
        <v>1047</v>
      </c>
    </row>
    <row r="54" spans="1:18" s="1842" customFormat="1" ht="13.5" thickBot="1">
      <c r="A54" s="1406"/>
      <c r="B54" s="1825" t="s">
        <v>1388</v>
      </c>
      <c r="C54" s="1178"/>
      <c r="D54" s="1824"/>
      <c r="E54" s="294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2944"/>
      <c r="F55" s="1907"/>
      <c r="I55" s="1910" t="s">
        <v>1550</v>
      </c>
      <c r="J55" s="1911">
        <f ca="1">ROUND(IF(J47="钢混",J57/J50,1-(1-2%)*(J50-J57)/J50),3)</f>
        <v>0.25600000000000001</v>
      </c>
      <c r="K55" s="1912" t="s">
        <v>1551</v>
      </c>
      <c r="L55" s="1913" t="s">
        <v>1552</v>
      </c>
      <c r="O55" s="1877" t="s">
        <v>1521</v>
      </c>
      <c r="P55" s="1878" t="s">
        <v>1522</v>
      </c>
      <c r="Q55" s="1879" t="s">
        <v>1523</v>
      </c>
      <c r="R55" s="1879" t="s">
        <v>1524</v>
      </c>
    </row>
    <row r="56" spans="1:18" s="1842" customFormat="1" ht="25.5" thickTop="1" thickBot="1">
      <c r="A56" s="1176">
        <v>2</v>
      </c>
      <c r="B56" s="1177" t="s">
        <v>1413</v>
      </c>
      <c r="C56" s="276">
        <f ca="1">C13</f>
        <v>7964</v>
      </c>
      <c r="D56" s="1914"/>
      <c r="E56" s="1915"/>
      <c r="F56" s="1907"/>
      <c r="I56" s="1916" t="s">
        <v>1553</v>
      </c>
      <c r="J56" s="1917" t="s">
        <v>3132</v>
      </c>
      <c r="K56" s="1887" t="s">
        <v>1554</v>
      </c>
      <c r="L56" s="1890" t="str">
        <f ca="1">IF(L48&lt;J51,"——",L48-J53)</f>
        <v>——</v>
      </c>
      <c r="O56" s="1884" t="s">
        <v>1040</v>
      </c>
      <c r="P56" s="1885" t="s">
        <v>1527</v>
      </c>
      <c r="Q56" s="1886">
        <f ca="1">C40+J29</f>
        <v>66730</v>
      </c>
      <c r="R56" s="1886" t="s">
        <v>1528</v>
      </c>
    </row>
    <row r="57" spans="1:18" s="1842" customFormat="1" ht="24.75" thickBot="1">
      <c r="A57" s="1918"/>
      <c r="B57" s="1169" t="s">
        <v>1477</v>
      </c>
      <c r="C57" s="282">
        <f ca="1">C29</f>
        <v>9154</v>
      </c>
      <c r="D57" s="1919"/>
      <c r="E57" s="1920"/>
      <c r="F57" s="1921"/>
      <c r="I57" s="1922" t="s">
        <v>1555</v>
      </c>
      <c r="J57" s="1923">
        <f ca="1">IF(OR(M47="住宅",J51&lt;L48,J56="是"),"——",J51-L48)</f>
        <v>15.380000000000003</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7" t="s">
        <v>1423</v>
      </c>
      <c r="C58" s="361">
        <f ca="1">ROUND(C59+C64+C65+C66,0)</f>
        <v>938</v>
      </c>
      <c r="D58" s="1179" t="s">
        <v>1424</v>
      </c>
      <c r="E58" s="1180"/>
      <c r="F58" s="1181"/>
      <c r="I58" s="1922" t="s">
        <v>1559</v>
      </c>
      <c r="J58" s="1924">
        <f ca="1">IF(J55&lt;0.4,0.4,J55)</f>
        <v>0.4</v>
      </c>
      <c r="K58" s="1900" t="s">
        <v>1560</v>
      </c>
      <c r="L58" s="1890">
        <f ca="1">ROUND(POWER(1+L52,L47-L48)*(POWER(1+L52,L48)-1)/(POWER(1+L52,L47)-1),4)</f>
        <v>0.90010000000000001</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ROUND(IF(项目基本情况!B11="自然人",C48*F59,C60+C61+C62),1)</f>
        <v>777.1</v>
      </c>
      <c r="D59" s="1182" t="s">
        <v>1429</v>
      </c>
      <c r="E59" s="1183" t="s">
        <v>1430</v>
      </c>
      <c r="F59" s="368" t="str">
        <f ca="1">IF(项目基本情况!B11="企业","",IF(INDIRECT("'数据-取费表'!c"&amp;$G$1)="住宅",5%,IF(F49*F50*F51/12/(1+'数据-取费表'!C42)&gt;20000,12%,7%)))</f>
        <v/>
      </c>
      <c r="I59" s="1922" t="s">
        <v>1562</v>
      </c>
      <c r="J59" s="1923">
        <f ca="1">IF(OR(M47="住宅",J51&lt;L48,J56="是"),"——",ROUND(C29*J58,0))</f>
        <v>3662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1.0105</v>
      </c>
      <c r="M59" s="1838">
        <f ca="1">ROUND(POWER(1+L52,L47-(J51+'数据-取费表'!B24))*(POWER(1+L52,(J51+'数据-取费表'!B24))-1)/(POWER(1+L52,L47)-1),4)</f>
        <v>1.0105</v>
      </c>
      <c r="N59" s="1838">
        <f ca="1">ROUND(POWER(1+L52,L47-(J51+'数据-取费表'!B20))*(POWER(1+L52,(J51+'数据-取费表'!B20))-1)/(POWER(1+L52,L47)-1),4)</f>
        <v>1.0201</v>
      </c>
      <c r="O59" s="1894" t="s">
        <v>1043</v>
      </c>
      <c r="P59" s="1885" t="s">
        <v>1563</v>
      </c>
      <c r="Q59" s="1897">
        <f>L52</f>
        <v>4.4999999999999998E-2</v>
      </c>
      <c r="R59" s="1886"/>
    </row>
    <row r="60" spans="1:18" s="1842" customFormat="1" ht="16.5" thickBot="1">
      <c r="A60" s="1201" t="s">
        <v>1034</v>
      </c>
      <c r="B60" s="1169" t="s">
        <v>1432</v>
      </c>
      <c r="C60" s="24">
        <f ca="1">IF(项目基本情况!B11="自然人","——",ROUND(C48*F60/(1+'数据-取费表'!C42),2))</f>
        <v>0</v>
      </c>
      <c r="D60" s="1183" t="s">
        <v>1433</v>
      </c>
      <c r="E60" s="1169" t="s">
        <v>1421</v>
      </c>
      <c r="F60" s="377">
        <f t="shared" ref="F60:F66" si="0">F32</f>
        <v>5.6000000000000001E-2</v>
      </c>
      <c r="I60" s="1925" t="s">
        <v>1564</v>
      </c>
      <c r="J60" s="1926">
        <f ca="1">IF(OR(M47="住宅",J51&lt;L48,J56="是"),"0",ROUND(J59/(1+J52)^J53,0))</f>
        <v>156</v>
      </c>
      <c r="K60" s="1927" t="s">
        <v>1565</v>
      </c>
      <c r="L60" s="1926">
        <f ca="1">IF(OR(M47="住宅",L48&lt;J51),0,ROUND(L57*(L58/L59-1),0))</f>
        <v>0</v>
      </c>
      <c r="O60" s="1894" t="s">
        <v>1044</v>
      </c>
      <c r="P60" s="1885" t="s">
        <v>1566</v>
      </c>
      <c r="Q60" s="1886">
        <f ca="1">L58</f>
        <v>0.90010000000000001</v>
      </c>
      <c r="R60" s="1886" t="s">
        <v>1567</v>
      </c>
    </row>
    <row r="61" spans="1:18" s="1842" customFormat="1" ht="13.5" thickBot="1">
      <c r="A61" s="1201" t="s">
        <v>1491</v>
      </c>
      <c r="B61" s="1169" t="s">
        <v>1436</v>
      </c>
      <c r="C61" s="24">
        <f ca="1">IF(项目基本情况!B11="自然人","——",IF(D61="按租金收入计税",ROUND(C48*F61,2),IF(D61="按房产原值计税",ROUND(C57*F61*0.7,2),INDIRECT("'数据-取费表'!Aj"&amp;$G$1))))</f>
        <v>768.94</v>
      </c>
      <c r="D61" s="1828" t="s">
        <v>1437</v>
      </c>
      <c r="E61" s="1169" t="s">
        <v>1421</v>
      </c>
      <c r="F61" s="367">
        <f t="shared" si="0"/>
        <v>0.12</v>
      </c>
      <c r="I61" s="1928"/>
      <c r="J61" s="1928"/>
      <c r="K61" s="1928"/>
      <c r="L61" s="1928"/>
      <c r="O61" s="1894" t="s">
        <v>1045</v>
      </c>
      <c r="P61" s="1885" t="str">
        <f>K59</f>
        <v>建筑物剩余耐用年限下的土地年期修正系数Kn</v>
      </c>
      <c r="Q61" s="1886">
        <f ca="1">L59</f>
        <v>1.0105</v>
      </c>
      <c r="R61" s="1886" t="s">
        <v>1568</v>
      </c>
    </row>
    <row r="62" spans="1:18" s="1842" customFormat="1" ht="13.5" thickBot="1">
      <c r="A62" s="1201" t="s">
        <v>1494</v>
      </c>
      <c r="B62" s="1168" t="s">
        <v>1440</v>
      </c>
      <c r="C62" s="25">
        <f ca="1">IF(项目基本情况!B11="自然人","——",ROUND(F62*F63/10000,2))</f>
        <v>8.16</v>
      </c>
      <c r="D62" s="1184" t="s">
        <v>1441</v>
      </c>
      <c r="E62" s="1169" t="s">
        <v>1442</v>
      </c>
      <c r="F62" s="371">
        <f t="shared" si="0"/>
        <v>12</v>
      </c>
      <c r="I62" s="1929" t="s">
        <v>1569</v>
      </c>
      <c r="J62" s="1930" t="s">
        <v>1570</v>
      </c>
      <c r="K62" s="1930" t="s">
        <v>1571</v>
      </c>
      <c r="L62" s="1930" t="s">
        <v>1572</v>
      </c>
      <c r="M62" s="1931" t="s">
        <v>1573</v>
      </c>
      <c r="O62" s="1884" t="s">
        <v>1046</v>
      </c>
      <c r="P62" s="1885" t="s">
        <v>1548</v>
      </c>
      <c r="Q62" s="1886">
        <f ca="1">Q56+Q57</f>
        <v>66730</v>
      </c>
      <c r="R62" s="1886" t="s">
        <v>1047</v>
      </c>
    </row>
    <row r="63" spans="1:18" s="1842" customFormat="1" ht="13.5" thickBot="1">
      <c r="A63" s="372"/>
      <c r="B63" s="1175"/>
      <c r="C63" s="29"/>
      <c r="D63" s="1185"/>
      <c r="E63" s="1169" t="s">
        <v>1446</v>
      </c>
      <c r="F63" s="348">
        <f t="shared" ca="1" si="0"/>
        <v>6799.23</v>
      </c>
      <c r="I63" s="1929" t="s">
        <v>1575</v>
      </c>
      <c r="J63" s="1930">
        <v>70</v>
      </c>
      <c r="K63" s="1930">
        <v>50</v>
      </c>
      <c r="L63" s="1930">
        <v>80</v>
      </c>
      <c r="M63" s="1932">
        <v>0.02</v>
      </c>
      <c r="O63" s="1869" t="s">
        <v>1576</v>
      </c>
      <c r="P63" s="1839"/>
      <c r="Q63" s="1839"/>
      <c r="R63" s="1839"/>
    </row>
    <row r="64" spans="1:18" s="1842" customFormat="1" ht="13.5" thickBot="1">
      <c r="A64" s="1201" t="s">
        <v>1039</v>
      </c>
      <c r="B64" s="1169" t="s">
        <v>1448</v>
      </c>
      <c r="C64" s="24">
        <f ca="1">ROUND(C57*F64,1)</f>
        <v>137.30000000000001</v>
      </c>
      <c r="D64" s="1183" t="s">
        <v>1481</v>
      </c>
      <c r="E64" s="1169" t="s">
        <v>1421</v>
      </c>
      <c r="F64" s="374">
        <f t="shared" ca="1" si="0"/>
        <v>1.4999999999999999E-2</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ROUND(C56*F65,1)</f>
        <v>23.9</v>
      </c>
      <c r="D65" s="1183" t="s">
        <v>1453</v>
      </c>
      <c r="E65" s="1169" t="s">
        <v>1421</v>
      </c>
      <c r="F65" s="376">
        <f t="shared" ca="1" si="0"/>
        <v>3.0000000000000001E-3</v>
      </c>
      <c r="I65" s="1929" t="s">
        <v>1578</v>
      </c>
      <c r="J65" s="1930">
        <v>40</v>
      </c>
      <c r="K65" s="1930">
        <v>30</v>
      </c>
      <c r="L65" s="1930">
        <v>50</v>
      </c>
      <c r="M65" s="1932">
        <v>0.02</v>
      </c>
      <c r="O65" s="1884" t="s">
        <v>1040</v>
      </c>
      <c r="P65" s="1885" t="s">
        <v>1527</v>
      </c>
      <c r="Q65" s="1886">
        <f ca="1">C40+J29</f>
        <v>66730</v>
      </c>
      <c r="R65" s="1886" t="s">
        <v>1528</v>
      </c>
    </row>
    <row r="66" spans="1:18" s="1842" customFormat="1" ht="16.5" thickBot="1">
      <c r="A66" s="1201" t="s">
        <v>1503</v>
      </c>
      <c r="B66" s="1169" t="s">
        <v>1438</v>
      </c>
      <c r="C66" s="24">
        <f ca="1">ROUND(C48*F66,1)</f>
        <v>0</v>
      </c>
      <c r="D66" s="1183" t="s">
        <v>1458</v>
      </c>
      <c r="E66" s="1169" t="s">
        <v>1421</v>
      </c>
      <c r="F66" s="357">
        <f t="shared" ca="1" si="0"/>
        <v>0.02</v>
      </c>
      <c r="O66" s="1884" t="s">
        <v>1041</v>
      </c>
      <c r="P66" s="1885" t="s">
        <v>1557</v>
      </c>
      <c r="Q66" s="1886">
        <f ca="1">L60</f>
        <v>0</v>
      </c>
      <c r="R66" s="1886" t="s">
        <v>1580</v>
      </c>
    </row>
    <row r="67" spans="1:18" s="1842" customFormat="1" ht="16.5" thickBot="1">
      <c r="A67" s="1176" t="s">
        <v>1031</v>
      </c>
      <c r="B67" s="1186" t="s">
        <v>1462</v>
      </c>
      <c r="C67" s="361">
        <f ca="1">C48-C58</f>
        <v>-938</v>
      </c>
      <c r="D67" s="1182" t="s">
        <v>1463</v>
      </c>
      <c r="E67" s="1187"/>
      <c r="F67" s="1188"/>
      <c r="O67" s="1894" t="s">
        <v>1042</v>
      </c>
      <c r="P67" s="1885" t="s">
        <v>1561</v>
      </c>
      <c r="Q67" s="1933">
        <f ca="1">L51</f>
        <v>40470</v>
      </c>
      <c r="R67" s="1886" t="s">
        <v>1581</v>
      </c>
    </row>
    <row r="68" spans="1:18" s="1842" customFormat="1" ht="16.5" thickBot="1">
      <c r="A68" s="1166" t="s">
        <v>1032</v>
      </c>
      <c r="B68" s="1167" t="s">
        <v>1484</v>
      </c>
      <c r="C68" s="346">
        <f ca="1">ROUND(C67*(1-((1+F70)/(1+F68))^F69)/(F68-F70),0)</f>
        <v>-4877</v>
      </c>
      <c r="D68" s="1184" t="s">
        <v>1468</v>
      </c>
      <c r="E68" s="1169" t="s">
        <v>1469</v>
      </c>
      <c r="F68" s="357">
        <f ca="1">F40</f>
        <v>0.05</v>
      </c>
      <c r="O68" s="1894" t="s">
        <v>1043</v>
      </c>
      <c r="P68" s="1934" t="s">
        <v>1582</v>
      </c>
      <c r="Q68" s="1886">
        <f ca="1">ROUND(Q69-Q70*Q71,0)</f>
        <v>2275</v>
      </c>
      <c r="R68" s="1886" t="s">
        <v>1051</v>
      </c>
    </row>
    <row r="69" spans="1:18" s="1842" customFormat="1" ht="13.5" thickBot="1">
      <c r="A69" s="1170"/>
      <c r="B69" s="1171"/>
      <c r="C69" s="351"/>
      <c r="D69" s="1189" t="s">
        <v>1472</v>
      </c>
      <c r="E69" s="1169" t="s">
        <v>1473</v>
      </c>
      <c r="F69" s="379">
        <f ca="1">F41</f>
        <v>6.17</v>
      </c>
      <c r="O69" s="1894" t="s">
        <v>1048</v>
      </c>
      <c r="P69" s="1934" t="s">
        <v>1583</v>
      </c>
      <c r="Q69" s="1886">
        <f ca="1">C39</f>
        <v>2952</v>
      </c>
      <c r="R69" s="1886" t="s">
        <v>1528</v>
      </c>
    </row>
    <row r="70" spans="1:18" s="1842" customFormat="1" ht="13.5" thickBot="1">
      <c r="A70" s="1173"/>
      <c r="B70" s="1174"/>
      <c r="C70" s="355"/>
      <c r="D70" s="1185"/>
      <c r="E70" s="1169" t="s">
        <v>1476</v>
      </c>
      <c r="F70" s="1275"/>
      <c r="O70" s="1894" t="s">
        <v>1049</v>
      </c>
      <c r="P70" s="1934" t="s">
        <v>1584</v>
      </c>
      <c r="Q70" s="1886">
        <f ca="1">C13</f>
        <v>7964</v>
      </c>
      <c r="R70" s="1886" t="s">
        <v>1528</v>
      </c>
    </row>
    <row r="71" spans="1:18" s="1842" customFormat="1" ht="13.5" thickBot="1">
      <c r="A71" s="1190" t="s">
        <v>1033</v>
      </c>
      <c r="B71" s="1191" t="s">
        <v>1486</v>
      </c>
      <c r="C71" s="382">
        <f ca="1">ROUND(C68*10000/F71,0)</f>
        <v>-2823</v>
      </c>
      <c r="D71" s="1192" t="s">
        <v>1487</v>
      </c>
      <c r="E71" s="1193" t="s">
        <v>1488</v>
      </c>
      <c r="F71" s="385">
        <f ca="1">F43</f>
        <v>17274</v>
      </c>
      <c r="O71" s="1894" t="s">
        <v>1050</v>
      </c>
      <c r="P71" s="1934" t="s">
        <v>1585</v>
      </c>
      <c r="Q71" s="1897">
        <f ca="1">C76</f>
        <v>8.5000000000000006E-2</v>
      </c>
      <c r="R71" s="1886"/>
    </row>
    <row r="72" spans="1:18" s="1842" customFormat="1" ht="13.5" thickBot="1">
      <c r="B72" s="796"/>
      <c r="C72" s="796"/>
      <c r="O72" s="1894" t="s">
        <v>1044</v>
      </c>
      <c r="P72" s="1885" t="s">
        <v>1563</v>
      </c>
      <c r="Q72" s="1897">
        <f>L52</f>
        <v>4.4999999999999998E-2</v>
      </c>
      <c r="R72" s="1886"/>
    </row>
    <row r="73" spans="1:18" ht="16.5" thickBot="1">
      <c r="A73" s="1842"/>
      <c r="B73" s="796"/>
      <c r="C73" s="796"/>
      <c r="D73" s="1842"/>
      <c r="E73" s="1842"/>
      <c r="F73" s="1842"/>
      <c r="O73" s="1894" t="s">
        <v>1045</v>
      </c>
      <c r="P73" s="1885" t="s">
        <v>1566</v>
      </c>
      <c r="Q73" s="1886">
        <f ca="1">L58</f>
        <v>0.90010000000000001</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f ca="1">L59</f>
        <v>1.0105</v>
      </c>
      <c r="R74" s="1886" t="s">
        <v>1568</v>
      </c>
    </row>
    <row r="75" spans="1:18" ht="13.5" thickBot="1">
      <c r="A75" s="1842"/>
      <c r="B75" s="386" t="s">
        <v>1505</v>
      </c>
      <c r="C75" s="387">
        <f ca="1">ROUND(C13*C76,0)</f>
        <v>677</v>
      </c>
      <c r="D75" s="1842"/>
      <c r="E75" s="1842"/>
      <c r="F75" s="1842"/>
      <c r="K75" s="1868"/>
      <c r="L75" s="1842"/>
      <c r="O75" s="1884" t="s">
        <v>1046</v>
      </c>
      <c r="P75" s="1885" t="s">
        <v>1548</v>
      </c>
      <c r="Q75" s="1886">
        <f ca="1">Q65+Q66</f>
        <v>66730</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0.77100000000000002</v>
      </c>
    </row>
    <row r="80" spans="1:18">
      <c r="B80" s="386" t="s">
        <v>1510</v>
      </c>
      <c r="C80" s="318">
        <f ca="1">ROUND(C75/C39,3)</f>
        <v>0.22900000000000001</v>
      </c>
    </row>
    <row r="81" spans="2:3">
      <c r="B81" s="314" t="s">
        <v>1511</v>
      </c>
      <c r="C81" s="282"/>
    </row>
    <row r="82" spans="2:3">
      <c r="B82" s="317" t="s">
        <v>1512</v>
      </c>
      <c r="C82" s="319">
        <f ca="1">1-C83</f>
        <v>0.48099999999999998</v>
      </c>
    </row>
    <row r="83" spans="2:3">
      <c r="B83" s="317" t="s">
        <v>1513</v>
      </c>
      <c r="C83" s="318">
        <f ca="1">ROUND(C13/C40,3)</f>
        <v>0.51900000000000002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zoomScale="90" zoomScaleNormal="90" zoomScaleSheetLayoutView="90" workbookViewId="0">
      <selection activeCell="F32" sqref="F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3192</v>
      </c>
      <c r="D1" s="1820" t="s">
        <v>70</v>
      </c>
      <c r="E1" s="1821" t="s">
        <v>1387</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t="e">
        <f ca="1">C40+J29+L46</f>
        <v>#N/A</v>
      </c>
      <c r="C2" s="1845" t="s">
        <v>1515</v>
      </c>
      <c r="D2" s="1845"/>
      <c r="E2" s="1846"/>
      <c r="F2" s="1847"/>
      <c r="G2" s="1848"/>
      <c r="H2" s="1840"/>
      <c r="I2" s="1840"/>
      <c r="J2" s="1840"/>
      <c r="K2" s="1841"/>
      <c r="L2" s="1840"/>
      <c r="M2" s="1840"/>
    </row>
    <row r="3" spans="1:37" ht="18" customHeight="1" thickBot="1">
      <c r="A3" s="1849" t="s">
        <v>1516</v>
      </c>
      <c r="B3" s="1850">
        <f ca="1">IF(ISERROR(B2*10000/F43),0,ROUND(B2*10000/F43,0))</f>
        <v>0</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t="e">
        <f ca="1">C6+C10+C12</f>
        <v>#N/A</v>
      </c>
      <c r="D5" s="1822" t="s">
        <v>1402</v>
      </c>
      <c r="E5" s="1293"/>
      <c r="F5" s="1294"/>
      <c r="G5" s="1851"/>
      <c r="H5" s="344">
        <v>1</v>
      </c>
      <c r="I5" s="345" t="s">
        <v>1401</v>
      </c>
      <c r="J5" s="1292" t="e">
        <f ca="1">J6+J10+J12</f>
        <v>#N/A</v>
      </c>
      <c r="K5" s="1822" t="s">
        <v>1402</v>
      </c>
      <c r="L5" s="1293"/>
      <c r="M5" s="1294"/>
    </row>
    <row r="6" spans="1:37" ht="18" customHeight="1">
      <c r="A6" s="1291" t="s">
        <v>1035</v>
      </c>
      <c r="B6" s="3236" t="s">
        <v>1403</v>
      </c>
      <c r="C6" s="1296" t="e">
        <f ca="1">ROUND(F6*F8*F7*(1-F9)/10000,0)</f>
        <v>#N/A</v>
      </c>
      <c r="D6" s="164" t="s">
        <v>3024</v>
      </c>
      <c r="E6" s="347" t="s">
        <v>1405</v>
      </c>
      <c r="F6" s="348" t="e">
        <f ca="1">INDIRECT("'数据-取费表'!u"&amp;$G$1)</f>
        <v>#N/A</v>
      </c>
      <c r="G6" s="1851"/>
      <c r="H6" s="1291" t="s">
        <v>1035</v>
      </c>
      <c r="I6" s="3236" t="s">
        <v>1403</v>
      </c>
      <c r="J6" s="346" t="e">
        <f ca="1">ROUND(M6*M8*M7*(1-M9)/10000,0)</f>
        <v>#N/A</v>
      </c>
      <c r="K6" s="164" t="s">
        <v>3023</v>
      </c>
      <c r="L6" s="347" t="s">
        <v>1405</v>
      </c>
      <c r="M6" s="348" t="e">
        <f ca="1">INDIRECT("'数据-取费表'!z"&amp;$G$1)</f>
        <v>#N/A</v>
      </c>
    </row>
    <row r="7" spans="1:37" ht="18" customHeight="1">
      <c r="A7" s="1295"/>
      <c r="B7" s="3237"/>
      <c r="C7" s="1297"/>
      <c r="D7" s="352"/>
      <c r="E7" s="2943" t="s">
        <v>1406</v>
      </c>
      <c r="F7" s="348" t="e">
        <f ca="1">IF(INDIRECT("'数据-取费表'!ah"&amp;$G$1)="",INDIRECT("'数据-取费表'!k"&amp;$G$1),INDIRECT("'数据-取费表'!ah"&amp;$G$1))</f>
        <v>#N/A</v>
      </c>
      <c r="G7" s="1851"/>
      <c r="H7" s="349"/>
      <c r="I7" s="3237"/>
      <c r="J7" s="351"/>
      <c r="K7" s="352"/>
      <c r="L7" s="347" t="s">
        <v>1406</v>
      </c>
      <c r="M7" s="348" t="e">
        <f ca="1">F7</f>
        <v>#N/A</v>
      </c>
    </row>
    <row r="8" spans="1:37" ht="18" customHeight="1">
      <c r="A8" s="349"/>
      <c r="B8" s="3237"/>
      <c r="C8" s="351"/>
      <c r="D8" s="352"/>
      <c r="E8" s="347" t="s">
        <v>1407</v>
      </c>
      <c r="F8" s="348" t="e">
        <f ca="1">INDIRECT("'数据-取费表'!ai"&amp;$G$1)</f>
        <v>#N/A</v>
      </c>
      <c r="G8" s="1851"/>
      <c r="H8" s="349"/>
      <c r="I8" s="3237"/>
      <c r="J8" s="351"/>
      <c r="K8" s="352"/>
      <c r="L8" s="347" t="s">
        <v>1407</v>
      </c>
      <c r="M8" s="348" t="e">
        <f ca="1">INDIRECT("'数据-取费表'!ai"&amp;$G$1)</f>
        <v>#N/A</v>
      </c>
    </row>
    <row r="9" spans="1:37" ht="18" customHeight="1">
      <c r="A9" s="349"/>
      <c r="B9" s="3238"/>
      <c r="C9" s="351"/>
      <c r="D9" s="352"/>
      <c r="E9" s="347" t="s">
        <v>1408</v>
      </c>
      <c r="F9" s="357" t="e">
        <f ca="1">INDIRECT("'数据-取费表'!w"&amp;$G$1)</f>
        <v>#N/A</v>
      </c>
      <c r="G9" s="1851"/>
      <c r="H9" s="349"/>
      <c r="I9" s="3238"/>
      <c r="J9" s="351"/>
      <c r="K9" s="352"/>
      <c r="L9" s="358" t="s">
        <v>1408</v>
      </c>
      <c r="M9" s="359" t="e">
        <f ca="1">INDIRECT("'数据-取费表'!ab"&amp;$G$1)</f>
        <v>#N/A</v>
      </c>
    </row>
    <row r="10" spans="1:37" ht="18" customHeight="1">
      <c r="A10" s="1291" t="s">
        <v>1039</v>
      </c>
      <c r="B10" s="1823" t="s">
        <v>1409</v>
      </c>
      <c r="C10" s="361" t="e">
        <f ca="1">ROUND(IF(F10="押一",C6/12*F11,IF(F10="押二",C6/12*2*F11,IF(F10="押三",C6/12*3*F11,C11*F11))),0)</f>
        <v>#N/A</v>
      </c>
      <c r="D10" s="1824" t="s">
        <v>3033</v>
      </c>
      <c r="E10" s="358" t="s">
        <v>1410</v>
      </c>
      <c r="F10" s="1366" t="s">
        <v>3175</v>
      </c>
      <c r="G10" s="1851"/>
      <c r="H10" s="1291" t="s">
        <v>1039</v>
      </c>
      <c r="I10" s="1823" t="s">
        <v>1409</v>
      </c>
      <c r="J10" s="346" t="e">
        <f ca="1">ROUND(IF(M10="押一",J6/12*M11,IF(M10="押二",J6/12*2*M11,IF(M10="押三",J6/12*3*M11,J11*M11))),0)</f>
        <v>#N/A</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t="e">
        <f ca="1">ROUND(C29*F13,0)</f>
        <v>#N/A</v>
      </c>
      <c r="D13" s="1331" t="s">
        <v>1414</v>
      </c>
      <c r="E13" s="1331" t="s">
        <v>1415</v>
      </c>
      <c r="F13" s="1332" t="e">
        <f ca="1">INDIRECT("'数据-取费表'!y"&amp;$G$1)</f>
        <v>#N/A</v>
      </c>
      <c r="G13" s="1851"/>
      <c r="H13" s="1329">
        <v>2</v>
      </c>
      <c r="I13" s="1330" t="s">
        <v>1413</v>
      </c>
      <c r="J13" s="1290" t="e">
        <f ca="1">ROUND(J14*J15,0)</f>
        <v>#N/A</v>
      </c>
      <c r="K13" s="1337" t="s">
        <v>1414</v>
      </c>
      <c r="L13" s="1852"/>
      <c r="M13" s="1853"/>
    </row>
    <row r="14" spans="1:37" ht="18" customHeight="1">
      <c r="A14" s="1201" t="s">
        <v>1034</v>
      </c>
      <c r="B14" s="347" t="s">
        <v>1416</v>
      </c>
      <c r="C14" s="363" t="e">
        <f ca="1">INDIRECT("'数据-取费表'!m"&amp;$G$1)+INDIRECT("'数据-取费表'!t"&amp;$G$1)</f>
        <v>#N/A</v>
      </c>
      <c r="D14" s="2949" t="s">
        <v>1417</v>
      </c>
      <c r="E14" s="2948"/>
      <c r="F14" s="364"/>
      <c r="G14" s="1851"/>
      <c r="H14" s="1201" t="s">
        <v>1035</v>
      </c>
      <c r="I14" s="347" t="s">
        <v>1418</v>
      </c>
      <c r="J14" s="24" t="e">
        <f ca="1">C29</f>
        <v>#N/A</v>
      </c>
      <c r="K14" s="2942"/>
      <c r="L14" s="979"/>
      <c r="M14" s="980"/>
    </row>
    <row r="15" spans="1:37" s="1858" customFormat="1" ht="18" customHeight="1" thickBot="1">
      <c r="A15" s="1201" t="s">
        <v>1036</v>
      </c>
      <c r="B15" s="347" t="s">
        <v>1419</v>
      </c>
      <c r="C15" s="24" t="e">
        <f ca="1">ROUND(C14*F15,0)</f>
        <v>#N/A</v>
      </c>
      <c r="D15" s="365" t="s">
        <v>1420</v>
      </c>
      <c r="E15" s="365" t="s">
        <v>1421</v>
      </c>
      <c r="F15" s="366">
        <f>'数据-取费表'!B33</f>
        <v>0.03</v>
      </c>
      <c r="G15" s="1854"/>
      <c r="H15" s="1339" t="s">
        <v>1039</v>
      </c>
      <c r="I15" s="1340" t="s">
        <v>1415</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t="e">
        <f ca="1">ROUND(INDIRECT("'数据-取费表'!m"&amp;$G$1)*F16,0)</f>
        <v>#N/A</v>
      </c>
      <c r="D16" s="347" t="s">
        <v>1420</v>
      </c>
      <c r="E16" s="347" t="s">
        <v>1421</v>
      </c>
      <c r="F16" s="367" t="e">
        <f ca="1">IF(INDIRECT("'数据-取费表'!c"&amp;$G$1)="住宅",'数据-取费表'!B34,0)</f>
        <v>#N/A</v>
      </c>
      <c r="G16" s="1851"/>
      <c r="H16" s="1329" t="s">
        <v>1030</v>
      </c>
      <c r="I16" s="1330" t="s">
        <v>1423</v>
      </c>
      <c r="J16" s="355" t="e">
        <f ca="1">ROUND(J17+J22+J23+J24,0)</f>
        <v>#N/A</v>
      </c>
      <c r="K16" s="1337" t="s">
        <v>1424</v>
      </c>
      <c r="L16" s="2951"/>
      <c r="M16" s="1294"/>
    </row>
    <row r="17" spans="1:37" s="1858" customFormat="1" ht="18" customHeight="1">
      <c r="A17" s="1201" t="s">
        <v>1390</v>
      </c>
      <c r="B17" s="347" t="s">
        <v>1425</v>
      </c>
      <c r="C17" s="24" t="e">
        <f ca="1">ROUND(F17*(F43+INDIRECT("'数据-取费表'!S"&amp;$G$1))/10000,0)</f>
        <v>#N/A</v>
      </c>
      <c r="D17" s="347" t="s">
        <v>1426</v>
      </c>
      <c r="E17" s="347" t="s">
        <v>1427</v>
      </c>
      <c r="F17" s="26">
        <f>'数据-取费表'!B35</f>
        <v>200</v>
      </c>
      <c r="G17" s="1854"/>
      <c r="H17" s="1201" t="s">
        <v>1035</v>
      </c>
      <c r="I17" s="347" t="s">
        <v>1428</v>
      </c>
      <c r="J17" s="24" t="e">
        <f ca="1">ROUND(IF(项目基本情况!B11="自然人",J5*M17,J18+J19+J20),1)</f>
        <v>#N/A</v>
      </c>
      <c r="K17" s="2949" t="s">
        <v>1429</v>
      </c>
      <c r="L17" s="2950"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t="e">
        <f ca="1">ROUND(C14*F18,0)</f>
        <v>#N/A</v>
      </c>
      <c r="D18" s="347" t="s">
        <v>1420</v>
      </c>
      <c r="E18" s="347" t="s">
        <v>1421</v>
      </c>
      <c r="F18" s="367">
        <f>'数据-取费表'!B36</f>
        <v>1.4999999999999999E-2</v>
      </c>
      <c r="G18" s="1854"/>
      <c r="H18" s="1201" t="s">
        <v>1034</v>
      </c>
      <c r="I18" s="347" t="s">
        <v>1432</v>
      </c>
      <c r="J18" s="24" t="e">
        <f ca="1">ROUND(J5*M18/(1+'数据-取费表'!C42),2)</f>
        <v>#N/A</v>
      </c>
      <c r="K18" s="2950"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t="e">
        <f ca="1">SUM(C14:C18)</f>
        <v>#N/A</v>
      </c>
      <c r="D19" s="140" t="s">
        <v>1435</v>
      </c>
      <c r="E19" s="2941"/>
      <c r="F19" s="26"/>
      <c r="G19" s="1851"/>
      <c r="H19" s="1201" t="s">
        <v>1036</v>
      </c>
      <c r="I19" s="347" t="s">
        <v>1436</v>
      </c>
      <c r="J19" s="24" t="e">
        <f ca="1">IF(K19="按租金收入计税",ROUND(J5*M19,2),ROUND(C29*M19*0.7,2))</f>
        <v>#N/A</v>
      </c>
      <c r="K19" s="1828" t="s">
        <v>3176</v>
      </c>
      <c r="L19" s="347" t="s">
        <v>1421</v>
      </c>
      <c r="M19" s="367">
        <f>IF(K19="按租金收入计税",'数据-取费表'!B51,'数据-取费表'!B50)</f>
        <v>0.12</v>
      </c>
    </row>
    <row r="20" spans="1:37" s="1858" customFormat="1" ht="18" customHeight="1">
      <c r="A20" s="1201" t="s">
        <v>1039</v>
      </c>
      <c r="B20" s="347" t="s">
        <v>1438</v>
      </c>
      <c r="C20" s="24" t="e">
        <f ca="1">ROUND(C19*F20,0)</f>
        <v>#N/A</v>
      </c>
      <c r="D20" s="369" t="s">
        <v>1439</v>
      </c>
      <c r="E20" s="347" t="s">
        <v>1421</v>
      </c>
      <c r="F20" s="367">
        <f>'数据-取费表'!B37</f>
        <v>1.4999999999999999E-2</v>
      </c>
      <c r="G20" s="1854"/>
      <c r="H20" s="1201" t="s">
        <v>1389</v>
      </c>
      <c r="I20" s="164" t="s">
        <v>1440</v>
      </c>
      <c r="J20" s="25" t="e">
        <f ca="1">ROUND(M20*M21/10000,2)</f>
        <v>#N/A</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2941"/>
      <c r="F22" s="26"/>
      <c r="G22" s="1851"/>
      <c r="H22" s="1201" t="s">
        <v>1039</v>
      </c>
      <c r="I22" s="347" t="s">
        <v>1448</v>
      </c>
      <c r="J22" s="24" t="e">
        <f ca="1">ROUND(J14*M22,1)</f>
        <v>#N/A</v>
      </c>
      <c r="K22" s="2950" t="s">
        <v>1449</v>
      </c>
      <c r="L22" s="347" t="s">
        <v>1421</v>
      </c>
      <c r="M22" s="374" t="e">
        <f ca="1">INDIRECT("'数据-取费表'!Ak"&amp;$G$1)</f>
        <v>#N/A</v>
      </c>
    </row>
    <row r="23" spans="1:37" s="1858" customFormat="1" ht="18" customHeight="1">
      <c r="A23" s="1201"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t="e">
        <f ca="1">ROUND(J13*M23,1)</f>
        <v>#N/A</v>
      </c>
      <c r="K23" s="2950" t="s">
        <v>1453</v>
      </c>
      <c r="L23" s="347" t="s">
        <v>1421</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1392</v>
      </c>
      <c r="I24" s="1340" t="s">
        <v>1438</v>
      </c>
      <c r="J24" s="1341" t="e">
        <f ca="1">ROUND(J5*M24,1)</f>
        <v>#N/A</v>
      </c>
      <c r="K24" s="1342" t="s">
        <v>1458</v>
      </c>
      <c r="L24" s="1340" t="s">
        <v>1421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2941"/>
      <c r="F25" s="26"/>
      <c r="G25" s="1851"/>
      <c r="H25" s="1329" t="s">
        <v>1031</v>
      </c>
      <c r="I25" s="1344" t="s">
        <v>1462</v>
      </c>
      <c r="J25" s="355" t="e">
        <f ca="1">J5-J16</f>
        <v>#N/A</v>
      </c>
      <c r="K25" s="1345" t="s">
        <v>1463</v>
      </c>
      <c r="L25" s="1346"/>
      <c r="M25" s="1347"/>
    </row>
    <row r="26" spans="1:37">
      <c r="A26" s="1201" t="s">
        <v>1034</v>
      </c>
      <c r="B26" s="347" t="s">
        <v>1464</v>
      </c>
      <c r="C26" s="24" t="e">
        <f ca="1">ROUND((C19+C20)*F26,0)</f>
        <v>#N/A</v>
      </c>
      <c r="D26" s="369" t="s">
        <v>1465</v>
      </c>
      <c r="E26" s="358" t="s">
        <v>1466</v>
      </c>
      <c r="F26" s="357" t="e">
        <f ca="1">INDIRECT("'数据-取费表'!q"&amp;$G$1)</f>
        <v>#N/A</v>
      </c>
      <c r="G26" s="1851"/>
      <c r="H26" s="344" t="s">
        <v>1032</v>
      </c>
      <c r="I26" s="345" t="s">
        <v>1467</v>
      </c>
      <c r="J26" s="346" t="e">
        <f ca="1">IF(J5&lt;&gt;0,ROUND(J25*(1-((1+M28)/(1+M26))^M27)/(M26-M28),0),0)</f>
        <v>#N/A</v>
      </c>
      <c r="K26" s="370" t="s">
        <v>1468</v>
      </c>
      <c r="L26" s="347" t="s">
        <v>1469</v>
      </c>
      <c r="M26" s="357" t="e">
        <f ca="1">INDIRECT("'数据-取费表'!I"&amp;$G$1)</f>
        <v>#N/A</v>
      </c>
    </row>
    <row r="27" spans="1:37" ht="18" customHeight="1">
      <c r="A27" s="1201" t="s">
        <v>1036</v>
      </c>
      <c r="B27" s="347" t="s">
        <v>1470</v>
      </c>
      <c r="C27" s="24" t="e">
        <f ca="1">ROUND(F21*F26,4)</f>
        <v>#N/A</v>
      </c>
      <c r="D27" s="369" t="s">
        <v>1471</v>
      </c>
      <c r="E27" s="365"/>
      <c r="F27" s="366"/>
      <c r="G27" s="1851"/>
      <c r="H27" s="349"/>
      <c r="I27" s="350"/>
      <c r="J27" s="351"/>
      <c r="K27" s="378" t="s">
        <v>1472</v>
      </c>
      <c r="L27" s="347" t="s">
        <v>1473</v>
      </c>
      <c r="M27" s="379" t="e">
        <f ca="1">INDIRECT("'数据-取费表'!ag"&amp;$G$1)</f>
        <v>#N/A</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t="e">
        <f ca="1">ROUND((C19+C20+C23+C26)/(1-F21-C24-C27-C28),0)</f>
        <v>#N/A</v>
      </c>
      <c r="D29" s="1342"/>
      <c r="E29" s="1340"/>
      <c r="F29" s="1343"/>
      <c r="G29" s="1854"/>
      <c r="H29" s="380" t="s">
        <v>1033</v>
      </c>
      <c r="I29" s="381" t="s">
        <v>1478</v>
      </c>
      <c r="J29" s="382" t="e">
        <f ca="1">ROUND(J26/(1+F40)^F41,0)</f>
        <v>#N/A</v>
      </c>
      <c r="K29" s="383" t="s">
        <v>1479</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t="e">
        <f ca="1">ROUND(C31+C36+C37+C38,0)</f>
        <v>#N/A</v>
      </c>
      <c r="D30" s="1337" t="s">
        <v>1424</v>
      </c>
      <c r="E30" s="2951"/>
      <c r="F30" s="1294"/>
      <c r="G30" s="1851"/>
      <c r="H30" s="745"/>
      <c r="I30" s="746"/>
      <c r="J30" s="747"/>
      <c r="K30" s="748"/>
      <c r="L30" s="749"/>
      <c r="M30" s="750"/>
    </row>
    <row r="31" spans="1:37" ht="18" customHeight="1">
      <c r="A31" s="1201" t="s">
        <v>1035</v>
      </c>
      <c r="B31" s="347" t="s">
        <v>1428</v>
      </c>
      <c r="C31" s="24" t="e">
        <f ca="1">ROUND(IF(项目基本情况!B11="自然人",C5*F31,C32+C33+C34),1)</f>
        <v>#N/A</v>
      </c>
      <c r="D31" s="2949" t="s">
        <v>1429</v>
      </c>
      <c r="E31" s="2950"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t="e">
        <f ca="1">IF(项目基本情况!B11="自然人","——",ROUND(C5*F32/(1+'数据-取费表'!C42),2))</f>
        <v>#N/A</v>
      </c>
      <c r="D32" s="2950" t="s">
        <v>1433</v>
      </c>
      <c r="E32" s="347" t="s">
        <v>1421</v>
      </c>
      <c r="F32" s="377">
        <f>'数据-取费表'!B41</f>
        <v>5.6000000000000001E-2</v>
      </c>
      <c r="G32" s="1851"/>
      <c r="H32" s="745"/>
      <c r="I32" s="746"/>
      <c r="J32" s="747"/>
      <c r="K32" s="748"/>
      <c r="L32" s="749"/>
      <c r="M32" s="750"/>
    </row>
    <row r="33" spans="1:18" ht="18" customHeight="1">
      <c r="A33" s="1201" t="s">
        <v>1036</v>
      </c>
      <c r="B33" s="347" t="s">
        <v>1436</v>
      </c>
      <c r="C33" s="24" t="e">
        <f ca="1">IF(项目基本情况!B11="自然人","——",IF(D33="按租金收入计税",ROUND(C5*F33,2),IF(D33="按房产原值计税",ROUND(C29*F33*0.7,2),INDIRECT("'数据-取费表'!Aj"&amp;$G$1))))</f>
        <v>#N/A</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t="e">
        <f ca="1">IF(项目基本情况!B11="自然人","——",ROUND(F34*F35/10000,2))</f>
        <v>#N/A</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t="e">
        <f ca="1">INDIRECT("'数据-取费表'!r"&amp;$G$1)</f>
        <v>#N/A</v>
      </c>
      <c r="G35" s="1851"/>
      <c r="H35" s="745"/>
      <c r="I35" s="1860"/>
      <c r="J35" s="1861"/>
      <c r="K35" s="1862"/>
      <c r="L35" s="1859"/>
      <c r="M35" s="1859"/>
    </row>
    <row r="36" spans="1:18" ht="18" customHeight="1">
      <c r="A36" s="1352" t="s">
        <v>1039</v>
      </c>
      <c r="B36" s="347" t="s">
        <v>1448</v>
      </c>
      <c r="C36" s="24" t="e">
        <f ca="1">ROUND(C29*F36,1)</f>
        <v>#N/A</v>
      </c>
      <c r="D36" s="2950" t="s">
        <v>1481</v>
      </c>
      <c r="E36" s="347" t="s">
        <v>1421</v>
      </c>
      <c r="F36" s="374" t="e">
        <f ca="1">INDIRECT("'数据-取费表'!Ak"&amp;$G$1)</f>
        <v>#N/A</v>
      </c>
      <c r="G36" s="1851"/>
      <c r="H36" s="1859"/>
      <c r="I36" s="1860"/>
      <c r="J36" s="1861"/>
      <c r="K36" s="751"/>
      <c r="L36" s="1859"/>
      <c r="M36" s="1859"/>
    </row>
    <row r="37" spans="1:18" ht="18" customHeight="1">
      <c r="A37" s="1201" t="s">
        <v>1075</v>
      </c>
      <c r="B37" s="347" t="s">
        <v>1452</v>
      </c>
      <c r="C37" s="24" t="e">
        <f ca="1">ROUND(C13*F37,1)</f>
        <v>#N/A</v>
      </c>
      <c r="D37" s="2950" t="s">
        <v>1453</v>
      </c>
      <c r="E37" s="347" t="s">
        <v>1421</v>
      </c>
      <c r="F37" s="376" t="e">
        <f ca="1">INDIRECT("'数据-取费表'!Al"&amp;$G$1)</f>
        <v>#N/A</v>
      </c>
      <c r="G37" s="1851"/>
      <c r="H37" s="1859"/>
      <c r="I37" s="1860"/>
      <c r="J37" s="1861"/>
      <c r="K37" s="751"/>
      <c r="L37" s="1859"/>
      <c r="M37" s="1859"/>
    </row>
    <row r="38" spans="1:18" ht="18" customHeight="1" thickBot="1">
      <c r="A38" s="1339" t="s">
        <v>1392</v>
      </c>
      <c r="B38" s="1340" t="s">
        <v>1438</v>
      </c>
      <c r="C38" s="1341" t="e">
        <f ca="1">ROUND(C5*F38,1)</f>
        <v>#N/A</v>
      </c>
      <c r="D38" s="1342" t="s">
        <v>1458</v>
      </c>
      <c r="E38" s="1340" t="s">
        <v>1421</v>
      </c>
      <c r="F38" s="1336" t="e">
        <f ca="1">INDIRECT("'数据-取费表'!Am"&amp;$G$1)</f>
        <v>#N/A</v>
      </c>
      <c r="G38" s="1851"/>
      <c r="H38" s="1859"/>
      <c r="I38" s="1860"/>
      <c r="J38" s="1861"/>
      <c r="K38" s="1865"/>
      <c r="L38" s="1859"/>
      <c r="M38" s="1859"/>
    </row>
    <row r="39" spans="1:18" ht="24.6" customHeight="1" thickTop="1">
      <c r="A39" s="1329" t="s">
        <v>1031</v>
      </c>
      <c r="B39" s="1344" t="s">
        <v>1462</v>
      </c>
      <c r="C39" s="355" t="e">
        <f ca="1">C5-C30</f>
        <v>#N/A</v>
      </c>
      <c r="D39" s="1345" t="s">
        <v>1463</v>
      </c>
      <c r="E39" s="1346"/>
      <c r="F39" s="1347"/>
      <c r="G39" s="1851"/>
      <c r="H39" s="1859"/>
      <c r="I39" s="1860"/>
      <c r="J39" s="1861"/>
      <c r="K39" s="1865"/>
      <c r="L39" s="1859"/>
      <c r="M39" s="1859"/>
    </row>
    <row r="40" spans="1:18" ht="18" customHeight="1">
      <c r="A40" s="344" t="s">
        <v>1032</v>
      </c>
      <c r="B40" s="345" t="s">
        <v>1484</v>
      </c>
      <c r="C40" s="346" t="e">
        <f ca="1">ROUND(C39*(1-((1+F42)/(1+F40))^F41)/(F40-F42),0)</f>
        <v>#N/A</v>
      </c>
      <c r="D40" s="370" t="s">
        <v>1468</v>
      </c>
      <c r="E40" s="347" t="s">
        <v>1469</v>
      </c>
      <c r="F40" s="357" t="e">
        <f ca="1">INDIRECT("'数据-取费表'!I"&amp;$G$1)</f>
        <v>#N/A</v>
      </c>
      <c r="G40" s="1851"/>
      <c r="H40" s="1839"/>
      <c r="I40" s="1860"/>
      <c r="J40" s="1861"/>
      <c r="K40" s="1865"/>
      <c r="L40" s="1839"/>
      <c r="M40" s="1839"/>
    </row>
    <row r="41" spans="1:18" ht="18" customHeight="1">
      <c r="A41" s="349"/>
      <c r="B41" s="350"/>
      <c r="C41" s="351"/>
      <c r="D41" s="378" t="s">
        <v>1485</v>
      </c>
      <c r="E41" s="347" t="s">
        <v>1473</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1476</v>
      </c>
      <c r="F42" s="357" t="e">
        <f ca="1">INDIRECT("'数据-取费表'!v"&amp;$G$1)</f>
        <v>#N/A</v>
      </c>
      <c r="G42" s="1851"/>
      <c r="H42" s="732"/>
      <c r="I42" s="1860"/>
      <c r="J42" s="1861"/>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t="e">
        <f ca="1">C68-C40</f>
        <v>#N/A</v>
      </c>
      <c r="D46" s="1872" t="str">
        <f>C2</f>
        <v>万元</v>
      </c>
      <c r="E46" s="1866"/>
      <c r="F46" s="1866"/>
      <c r="I46" s="1873" t="s">
        <v>1520</v>
      </c>
      <c r="J46" s="1874"/>
      <c r="K46" s="1875"/>
      <c r="L46" s="1876" t="e">
        <f ca="1">IF(M47="住宅",0,IF(L48&gt;J51,L60,J60))</f>
        <v>#N/A</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t="e">
        <f ca="1">INDIRECT("'数据-取费表'!d"&amp;$G$1)</f>
        <v>#N/A</v>
      </c>
      <c r="M47" s="1838" t="str">
        <f>IF(ISNUMBER(FIND("住宅",C1)),"住宅","非住宅")</f>
        <v>非住宅</v>
      </c>
      <c r="O47" s="1884" t="s">
        <v>1040</v>
      </c>
      <c r="P47" s="1885" t="s">
        <v>1527</v>
      </c>
      <c r="Q47" s="1886" t="e">
        <f ca="1">C40+J29</f>
        <v>#N/A</v>
      </c>
      <c r="R47" s="1886" t="s">
        <v>1528</v>
      </c>
    </row>
    <row r="48" spans="1:18" s="1842" customFormat="1" ht="28.5" thickBot="1">
      <c r="A48" s="1360" t="s">
        <v>1135</v>
      </c>
      <c r="B48" s="345" t="s">
        <v>1401</v>
      </c>
      <c r="C48" s="2940" t="e">
        <f ca="1">C49+C53+C55</f>
        <v>#N/A</v>
      </c>
      <c r="D48" s="1362"/>
      <c r="E48" s="1363"/>
      <c r="F48" s="1181"/>
      <c r="G48" s="792"/>
      <c r="H48" s="793"/>
      <c r="I48" s="1887" t="s">
        <v>1529</v>
      </c>
      <c r="J48" s="1888" t="s">
        <v>3178</v>
      </c>
      <c r="K48" s="1889" t="s">
        <v>1530</v>
      </c>
      <c r="L48" s="1890" t="e">
        <f ca="1">INDIRECT("'数据-取费表'!f"&amp;$G$1)</f>
        <v>#N/A</v>
      </c>
      <c r="O48" s="1884" t="s">
        <v>1041</v>
      </c>
      <c r="P48" s="1885" t="s">
        <v>1531</v>
      </c>
      <c r="Q48" s="1886" t="e">
        <f ca="1">J60</f>
        <v>#N/A</v>
      </c>
      <c r="R48" s="1886" t="s">
        <v>1532</v>
      </c>
    </row>
    <row r="49" spans="1:18" s="1842" customFormat="1" ht="13.5" thickBot="1">
      <c r="A49" s="1194" t="s">
        <v>1136</v>
      </c>
      <c r="B49" s="1829" t="s">
        <v>1489</v>
      </c>
      <c r="C49" s="1364" t="e">
        <f ca="1">ROUND(F49*F51*F50*(1-F52)/10000,0)</f>
        <v>#N/A</v>
      </c>
      <c r="D49" s="1276" t="s">
        <v>3025</v>
      </c>
      <c r="E49" s="1830" t="s">
        <v>1490</v>
      </c>
      <c r="F49" s="1281"/>
      <c r="G49" s="1891"/>
      <c r="H49" s="793"/>
      <c r="I49" s="1887" t="s">
        <v>1533</v>
      </c>
      <c r="J49" s="1892">
        <v>2010</v>
      </c>
      <c r="K49" s="1889" t="s">
        <v>1534</v>
      </c>
      <c r="L49" s="1893"/>
      <c r="O49" s="1894" t="s">
        <v>1042</v>
      </c>
      <c r="P49" s="1885" t="s">
        <v>1535</v>
      </c>
      <c r="Q49" s="1886" t="e">
        <f ca="1">C29</f>
        <v>#N/A</v>
      </c>
      <c r="R49" s="1886" t="s">
        <v>1528</v>
      </c>
    </row>
    <row r="50" spans="1:18" s="1842" customFormat="1" ht="13.5" thickBot="1">
      <c r="A50" s="1195"/>
      <c r="B50" s="1198"/>
      <c r="C50" s="1368"/>
      <c r="D50" s="1172"/>
      <c r="E50" s="1277" t="s">
        <v>1406</v>
      </c>
      <c r="F50" s="1278" t="e">
        <f ca="1">F7</f>
        <v>#N/A</v>
      </c>
      <c r="H50" s="793"/>
      <c r="I50" s="1887" t="s">
        <v>1536</v>
      </c>
      <c r="J50" s="1895">
        <f>SUMPRODUCT((I63:I65=J47)*(J62:L62=J48)*(J63:L65))</f>
        <v>60</v>
      </c>
      <c r="K50" s="1889" t="s">
        <v>1537</v>
      </c>
      <c r="L50" s="1893"/>
      <c r="M50" s="1896"/>
      <c r="O50" s="1894" t="s">
        <v>1043</v>
      </c>
      <c r="P50" s="1885" t="s">
        <v>1538</v>
      </c>
      <c r="Q50" s="1897" t="e">
        <f ca="1">J58</f>
        <v>#N/A</v>
      </c>
      <c r="R50" s="1886"/>
    </row>
    <row r="51" spans="1:18" s="1842" customFormat="1" ht="13.5" thickBot="1">
      <c r="A51" s="1196"/>
      <c r="B51" s="1198"/>
      <c r="C51" s="1199"/>
      <c r="D51" s="1172"/>
      <c r="E51" s="1200" t="s">
        <v>1407</v>
      </c>
      <c r="F51" s="348" t="e">
        <f ca="1">F8</f>
        <v>#N/A</v>
      </c>
      <c r="I51" s="1898" t="s">
        <v>1539</v>
      </c>
      <c r="J51" s="1899">
        <f>IF(J49="",J50,J49+J50-YEAR('数据-取费表'!B2))</f>
        <v>52</v>
      </c>
      <c r="K51" s="1900" t="s">
        <v>1540</v>
      </c>
      <c r="L51" s="1901" t="e">
        <f ca="1">ROUND(-PV(INDIRECT("'数据-取费表'!h"&amp;$G$1),L48,(C39-C13*C76),0),0)</f>
        <v>#N/A</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0.05</v>
      </c>
      <c r="O52" s="1894" t="s">
        <v>1045</v>
      </c>
      <c r="P52" s="1885" t="s">
        <v>1544</v>
      </c>
      <c r="Q52" s="1886" t="e">
        <f ca="1">J53</f>
        <v>#N/A</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t="e">
        <f ca="1">IF(M47="住宅",J51,IF(D1="——",MIN(J51,L48),IF(D1="在建（套用方法）",MIN(J51,L48-'数据-取费表'!B24),IF(D1="土地（套用方法）",MIN(J51,L48-'数据-取费表'!B20)))))</f>
        <v>#N/A</v>
      </c>
      <c r="K53" s="3239" t="s">
        <v>1547</v>
      </c>
      <c r="L53" s="3240"/>
      <c r="O53" s="1884" t="s">
        <v>1046</v>
      </c>
      <c r="P53" s="1885" t="s">
        <v>1548</v>
      </c>
      <c r="Q53" s="1886" t="e">
        <f ca="1">Q47+Q48</f>
        <v>#N/A</v>
      </c>
      <c r="R53" s="1886" t="s">
        <v>1047</v>
      </c>
    </row>
    <row r="54" spans="1:18" s="1842" customFormat="1" ht="13.5" thickBot="1">
      <c r="A54" s="1406"/>
      <c r="B54" s="1825" t="s">
        <v>1388</v>
      </c>
      <c r="C54" s="1178"/>
      <c r="D54" s="1824"/>
      <c r="E54" s="2944"/>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1549</v>
      </c>
      <c r="P54" s="1839"/>
      <c r="Q54" s="1839"/>
      <c r="R54" s="1839"/>
    </row>
    <row r="55" spans="1:18" s="1842" customFormat="1" ht="13.5" thickBot="1">
      <c r="A55" s="1333" t="s">
        <v>1075</v>
      </c>
      <c r="B55" s="1827" t="s">
        <v>1412</v>
      </c>
      <c r="C55" s="1334"/>
      <c r="D55" s="1824"/>
      <c r="E55" s="2944"/>
      <c r="F55" s="1907"/>
      <c r="I55" s="1910" t="s">
        <v>1550</v>
      </c>
      <c r="J55" s="1911" t="e">
        <f ca="1">ROUND(IF(J47="钢混",J57/J50,1-(1-2%)*(J50-J57)/J50),3)</f>
        <v>#N/A</v>
      </c>
      <c r="K55" s="1912" t="s">
        <v>1551</v>
      </c>
      <c r="L55" s="1913" t="s">
        <v>1552</v>
      </c>
      <c r="O55" s="1877" t="s">
        <v>1521</v>
      </c>
      <c r="P55" s="1878" t="s">
        <v>1522</v>
      </c>
      <c r="Q55" s="1879" t="s">
        <v>1523</v>
      </c>
      <c r="R55" s="1879" t="s">
        <v>1524</v>
      </c>
    </row>
    <row r="56" spans="1:18" s="1842" customFormat="1" ht="25.5" thickTop="1" thickBot="1">
      <c r="A56" s="1176">
        <v>2</v>
      </c>
      <c r="B56" s="1177" t="s">
        <v>1413</v>
      </c>
      <c r="C56" s="276" t="e">
        <f ca="1">C13</f>
        <v>#N/A</v>
      </c>
      <c r="D56" s="1914"/>
      <c r="E56" s="1915"/>
      <c r="F56" s="1907"/>
      <c r="I56" s="1916" t="s">
        <v>1553</v>
      </c>
      <c r="J56" s="1917" t="s">
        <v>3132</v>
      </c>
      <c r="K56" s="1887" t="s">
        <v>1554</v>
      </c>
      <c r="L56" s="1890" t="e">
        <f ca="1">IF(L48&lt;J51,"——",L48-J53)</f>
        <v>#N/A</v>
      </c>
      <c r="O56" s="1884" t="s">
        <v>1040</v>
      </c>
      <c r="P56" s="1885" t="s">
        <v>1527</v>
      </c>
      <c r="Q56" s="1886" t="e">
        <f ca="1">C40+J29</f>
        <v>#N/A</v>
      </c>
      <c r="R56" s="1886" t="s">
        <v>1528</v>
      </c>
    </row>
    <row r="57" spans="1:18" s="1842" customFormat="1" ht="24.75" thickBot="1">
      <c r="A57" s="1918"/>
      <c r="B57" s="1169" t="s">
        <v>1477</v>
      </c>
      <c r="C57" s="282" t="e">
        <f ca="1">C29</f>
        <v>#N/A</v>
      </c>
      <c r="D57" s="1919"/>
      <c r="E57" s="1920"/>
      <c r="F57" s="1921"/>
      <c r="I57" s="1922" t="s">
        <v>1555</v>
      </c>
      <c r="J57" s="1923" t="e">
        <f ca="1">IF(OR(M47="住宅",J51&lt;L48,J56="是"),"——",J51-L48)</f>
        <v>#N/A</v>
      </c>
      <c r="K57" s="1887" t="s">
        <v>1556</v>
      </c>
      <c r="L57" s="1890" t="e">
        <f ca="1">IF(L48&lt;J51,"——",IF(L55="比较法",L49,IF(L55="基准地价",L50,L51)))</f>
        <v>#N/A</v>
      </c>
      <c r="O57" s="1884" t="s">
        <v>1041</v>
      </c>
      <c r="P57" s="1885" t="s">
        <v>1557</v>
      </c>
      <c r="Q57" s="1886" t="e">
        <f ca="1">L60</f>
        <v>#N/A</v>
      </c>
      <c r="R57" s="1886" t="s">
        <v>1558</v>
      </c>
    </row>
    <row r="58" spans="1:18" s="1842" customFormat="1" ht="24.75" thickBot="1">
      <c r="A58" s="360" t="s">
        <v>1030</v>
      </c>
      <c r="B58" s="1177" t="s">
        <v>1423</v>
      </c>
      <c r="C58" s="361" t="e">
        <f ca="1">ROUND(C59+C64+C65+C66,0)</f>
        <v>#N/A</v>
      </c>
      <c r="D58" s="1179" t="s">
        <v>1424</v>
      </c>
      <c r="E58" s="1180"/>
      <c r="F58" s="1181"/>
      <c r="I58" s="1922" t="s">
        <v>1559</v>
      </c>
      <c r="J58" s="1924" t="e">
        <f ca="1">IF(J55&lt;0.4,0.4,J55)</f>
        <v>#N/A</v>
      </c>
      <c r="K58" s="1900" t="s">
        <v>1560</v>
      </c>
      <c r="L58" s="1890" t="e">
        <f ca="1">ROUND(POWER(1+L52,L47-L48)*(POWER(1+L52,L48)-1)/(POWER(1+L52,L47)-1),4)</f>
        <v>#N/A</v>
      </c>
      <c r="O58" s="1894" t="s">
        <v>1042</v>
      </c>
      <c r="P58" s="1885" t="s">
        <v>1561</v>
      </c>
      <c r="Q58" s="1886">
        <f>IF(L55="比较法",L49,IF(L55="基准地价",L50,0))</f>
        <v>0</v>
      </c>
      <c r="R58" s="1886" t="s">
        <v>1528</v>
      </c>
    </row>
    <row r="59" spans="1:18" s="1842" customFormat="1" ht="24.75" thickBot="1">
      <c r="A59" s="1201" t="s">
        <v>1035</v>
      </c>
      <c r="B59" s="1169" t="s">
        <v>1428</v>
      </c>
      <c r="C59" s="24" t="e">
        <f ca="1">ROUND(IF(项目基本情况!B11="自然人",C48*F59,C60+C61+C62),1)</f>
        <v>#N/A</v>
      </c>
      <c r="D59" s="1182" t="s">
        <v>1429</v>
      </c>
      <c r="E59" s="1183" t="s">
        <v>1430</v>
      </c>
      <c r="F59" s="368" t="str">
        <f ca="1">IF(项目基本情况!B11="企业","",IF(INDIRECT("'数据-取费表'!c"&amp;$G$1)="住宅",5%,IF(F49*F50*F51/12/(1+'数据-取费表'!C42)&gt;20000,12%,7%)))</f>
        <v/>
      </c>
      <c r="I59" s="1922" t="s">
        <v>1562</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1563</v>
      </c>
      <c r="Q59" s="1897">
        <f>L52</f>
        <v>0.05</v>
      </c>
      <c r="R59" s="1886"/>
    </row>
    <row r="60" spans="1:18" s="1842" customFormat="1" ht="16.5" thickBot="1">
      <c r="A60" s="1201" t="s">
        <v>1034</v>
      </c>
      <c r="B60" s="1169" t="s">
        <v>1432</v>
      </c>
      <c r="C60" s="24" t="e">
        <f ca="1">IF(项目基本情况!B11="自然人","——",ROUND(C48*F60/(1+'数据-取费表'!C42),2))</f>
        <v>#N/A</v>
      </c>
      <c r="D60" s="1183" t="s">
        <v>1433</v>
      </c>
      <c r="E60" s="1169" t="s">
        <v>1421</v>
      </c>
      <c r="F60" s="377">
        <f t="shared" ref="F60:F66" si="0">F32</f>
        <v>5.6000000000000001E-2</v>
      </c>
      <c r="I60" s="1925" t="s">
        <v>1564</v>
      </c>
      <c r="J60" s="1926" t="e">
        <f ca="1">IF(OR(M47="住宅",J51&lt;L48,J56="是"),"0",ROUND(J59/(1+J52)^J53,0))</f>
        <v>#N/A</v>
      </c>
      <c r="K60" s="1927" t="s">
        <v>1565</v>
      </c>
      <c r="L60" s="1926" t="e">
        <f ca="1">IF(OR(M47="住宅",L48&lt;J51),0,ROUND(L57*(L58/L59-1),0))</f>
        <v>#N/A</v>
      </c>
      <c r="O60" s="1894" t="s">
        <v>1044</v>
      </c>
      <c r="P60" s="1885" t="s">
        <v>1566</v>
      </c>
      <c r="Q60" s="1886" t="e">
        <f ca="1">L58</f>
        <v>#N/A</v>
      </c>
      <c r="R60" s="1886" t="s">
        <v>1567</v>
      </c>
    </row>
    <row r="61" spans="1:18" s="1842" customFormat="1" ht="13.5" thickBot="1">
      <c r="A61" s="1201" t="s">
        <v>1491</v>
      </c>
      <c r="B61" s="1169" t="s">
        <v>1436</v>
      </c>
      <c r="C61" s="24" t="e">
        <f ca="1">IF(项目基本情况!B11="自然人","——",IF(D61="按租金收入计税",ROUND(C48*F61,2),IF(D61="按房产原值计税",ROUND(C57*F61*0.7,2),INDIRECT("'数据-取费表'!Aj"&amp;$G$1))))</f>
        <v>#N/A</v>
      </c>
      <c r="D61" s="1828" t="s">
        <v>1437</v>
      </c>
      <c r="E61" s="1169" t="s">
        <v>1421</v>
      </c>
      <c r="F61" s="367">
        <f t="shared" si="0"/>
        <v>0.12</v>
      </c>
      <c r="I61" s="1928"/>
      <c r="J61" s="1928"/>
      <c r="K61" s="1928"/>
      <c r="L61" s="1928"/>
      <c r="O61" s="1894" t="s">
        <v>1045</v>
      </c>
      <c r="P61" s="1885" t="str">
        <f>K59</f>
        <v>建筑物剩余耐用年限下的土地年期修正系数Kn</v>
      </c>
      <c r="Q61" s="1886" t="e">
        <f ca="1">L59</f>
        <v>#N/A</v>
      </c>
      <c r="R61" s="1886" t="s">
        <v>1568</v>
      </c>
    </row>
    <row r="62" spans="1:18" s="1842" customFormat="1" ht="13.5" thickBot="1">
      <c r="A62" s="1201" t="s">
        <v>1494</v>
      </c>
      <c r="B62" s="1168" t="s">
        <v>1440</v>
      </c>
      <c r="C62" s="25" t="e">
        <f ca="1">IF(项目基本情况!B11="自然人","——",ROUND(F62*F63/10000,2))</f>
        <v>#N/A</v>
      </c>
      <c r="D62" s="1184" t="s">
        <v>1441</v>
      </c>
      <c r="E62" s="1169" t="s">
        <v>1442</v>
      </c>
      <c r="F62" s="371">
        <f t="shared" si="0"/>
        <v>12</v>
      </c>
      <c r="I62" s="1929" t="s">
        <v>1569</v>
      </c>
      <c r="J62" s="1930" t="s">
        <v>1570</v>
      </c>
      <c r="K62" s="1930" t="s">
        <v>1571</v>
      </c>
      <c r="L62" s="1930" t="s">
        <v>1572</v>
      </c>
      <c r="M62" s="1931" t="s">
        <v>1573</v>
      </c>
      <c r="O62" s="1884" t="s">
        <v>1046</v>
      </c>
      <c r="P62" s="1885" t="s">
        <v>1548</v>
      </c>
      <c r="Q62" s="1886" t="e">
        <f ca="1">Q56+Q57</f>
        <v>#N/A</v>
      </c>
      <c r="R62" s="1886" t="s">
        <v>1047</v>
      </c>
    </row>
    <row r="63" spans="1:18" s="1842" customFormat="1" ht="13.5" thickBot="1">
      <c r="A63" s="372"/>
      <c r="B63" s="1175"/>
      <c r="C63" s="29"/>
      <c r="D63" s="1185"/>
      <c r="E63" s="1169" t="s">
        <v>1446</v>
      </c>
      <c r="F63" s="348" t="e">
        <f t="shared" ca="1" si="0"/>
        <v>#N/A</v>
      </c>
      <c r="I63" s="1929" t="s">
        <v>1575</v>
      </c>
      <c r="J63" s="1930">
        <v>70</v>
      </c>
      <c r="K63" s="1930">
        <v>50</v>
      </c>
      <c r="L63" s="1930">
        <v>80</v>
      </c>
      <c r="M63" s="1932">
        <v>0.02</v>
      </c>
      <c r="O63" s="1869" t="s">
        <v>1576</v>
      </c>
      <c r="P63" s="1839"/>
      <c r="Q63" s="1839"/>
      <c r="R63" s="1839"/>
    </row>
    <row r="64" spans="1:18" s="1842" customFormat="1" ht="13.5" thickBot="1">
      <c r="A64" s="1201" t="s">
        <v>1039</v>
      </c>
      <c r="B64" s="1169" t="s">
        <v>1448</v>
      </c>
      <c r="C64" s="24" t="e">
        <f ca="1">ROUND(C57*F64,1)</f>
        <v>#N/A</v>
      </c>
      <c r="D64" s="1183" t="s">
        <v>1481</v>
      </c>
      <c r="E64" s="1169" t="s">
        <v>1421</v>
      </c>
      <c r="F64" s="374" t="e">
        <f t="shared" ca="1" si="0"/>
        <v>#N/A</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t="e">
        <f ca="1">ROUND(C56*F65,1)</f>
        <v>#N/A</v>
      </c>
      <c r="D65" s="1183" t="s">
        <v>1453</v>
      </c>
      <c r="E65" s="1169" t="s">
        <v>1421</v>
      </c>
      <c r="F65" s="376" t="e">
        <f t="shared" ca="1" si="0"/>
        <v>#N/A</v>
      </c>
      <c r="I65" s="1929" t="s">
        <v>1578</v>
      </c>
      <c r="J65" s="1930">
        <v>40</v>
      </c>
      <c r="K65" s="1930">
        <v>30</v>
      </c>
      <c r="L65" s="1930">
        <v>50</v>
      </c>
      <c r="M65" s="1932">
        <v>0.02</v>
      </c>
      <c r="O65" s="1884" t="s">
        <v>1040</v>
      </c>
      <c r="P65" s="1885" t="s">
        <v>1527</v>
      </c>
      <c r="Q65" s="1886" t="e">
        <f ca="1">C40+J29</f>
        <v>#N/A</v>
      </c>
      <c r="R65" s="1886" t="s">
        <v>1528</v>
      </c>
    </row>
    <row r="66" spans="1:18" s="1842" customFormat="1" ht="16.5" thickBot="1">
      <c r="A66" s="1201" t="s">
        <v>1503</v>
      </c>
      <c r="B66" s="1169" t="s">
        <v>1438</v>
      </c>
      <c r="C66" s="24" t="e">
        <f ca="1">ROUND(C48*F66,1)</f>
        <v>#N/A</v>
      </c>
      <c r="D66" s="1183" t="s">
        <v>1458</v>
      </c>
      <c r="E66" s="1169" t="s">
        <v>1421</v>
      </c>
      <c r="F66" s="357" t="e">
        <f t="shared" ca="1" si="0"/>
        <v>#N/A</v>
      </c>
      <c r="O66" s="1884" t="s">
        <v>1041</v>
      </c>
      <c r="P66" s="1885" t="s">
        <v>1557</v>
      </c>
      <c r="Q66" s="1886" t="e">
        <f ca="1">L60</f>
        <v>#N/A</v>
      </c>
      <c r="R66" s="1886" t="s">
        <v>1580</v>
      </c>
    </row>
    <row r="67" spans="1:18" s="1842" customFormat="1" ht="16.5" thickBot="1">
      <c r="A67" s="1176" t="s">
        <v>1031</v>
      </c>
      <c r="B67" s="1186" t="s">
        <v>1462</v>
      </c>
      <c r="C67" s="361" t="e">
        <f ca="1">C48-C58</f>
        <v>#N/A</v>
      </c>
      <c r="D67" s="1182" t="s">
        <v>1463</v>
      </c>
      <c r="E67" s="1187"/>
      <c r="F67" s="1188"/>
      <c r="O67" s="1894" t="s">
        <v>1042</v>
      </c>
      <c r="P67" s="1885" t="s">
        <v>1561</v>
      </c>
      <c r="Q67" s="1933" t="e">
        <f ca="1">L51</f>
        <v>#N/A</v>
      </c>
      <c r="R67" s="1886" t="s">
        <v>1581</v>
      </c>
    </row>
    <row r="68" spans="1:18" s="1842" customFormat="1" ht="16.5" thickBot="1">
      <c r="A68" s="1166" t="s">
        <v>1032</v>
      </c>
      <c r="B68" s="1167" t="s">
        <v>1484</v>
      </c>
      <c r="C68" s="346" t="e">
        <f ca="1">ROUND(C67*(1-((1+F70)/(1+F68))^F69)/(F68-F70),0)</f>
        <v>#N/A</v>
      </c>
      <c r="D68" s="1184" t="s">
        <v>1468</v>
      </c>
      <c r="E68" s="1169" t="s">
        <v>1469</v>
      </c>
      <c r="F68" s="357" t="e">
        <f ca="1">F40</f>
        <v>#N/A</v>
      </c>
      <c r="O68" s="1894" t="s">
        <v>1043</v>
      </c>
      <c r="P68" s="1934" t="s">
        <v>1582</v>
      </c>
      <c r="Q68" s="1886" t="e">
        <f ca="1">ROUND(Q69-Q70*Q71,0)</f>
        <v>#N/A</v>
      </c>
      <c r="R68" s="1886" t="s">
        <v>1051</v>
      </c>
    </row>
    <row r="69" spans="1:18" s="1842" customFormat="1" ht="13.5" thickBot="1">
      <c r="A69" s="1170"/>
      <c r="B69" s="1171"/>
      <c r="C69" s="351"/>
      <c r="D69" s="1189" t="s">
        <v>1472</v>
      </c>
      <c r="E69" s="1169" t="s">
        <v>1473</v>
      </c>
      <c r="F69" s="379" t="e">
        <f ca="1">F41</f>
        <v>#N/A</v>
      </c>
      <c r="O69" s="1894" t="s">
        <v>1048</v>
      </c>
      <c r="P69" s="1934" t="s">
        <v>1583</v>
      </c>
      <c r="Q69" s="1886" t="e">
        <f ca="1">C39</f>
        <v>#N/A</v>
      </c>
      <c r="R69" s="1886" t="s">
        <v>1528</v>
      </c>
    </row>
    <row r="70" spans="1:18" s="1842" customFormat="1" ht="13.5" thickBot="1">
      <c r="A70" s="1173"/>
      <c r="B70" s="1174"/>
      <c r="C70" s="355"/>
      <c r="D70" s="1185"/>
      <c r="E70" s="1169" t="s">
        <v>1476</v>
      </c>
      <c r="F70" s="1275"/>
      <c r="O70" s="1894" t="s">
        <v>1049</v>
      </c>
      <c r="P70" s="1934" t="s">
        <v>1584</v>
      </c>
      <c r="Q70" s="1886" t="e">
        <f ca="1">C13</f>
        <v>#N/A</v>
      </c>
      <c r="R70" s="1886" t="s">
        <v>1528</v>
      </c>
    </row>
    <row r="71" spans="1:18" s="1842" customFormat="1" ht="13.5" thickBot="1">
      <c r="A71" s="1190" t="s">
        <v>1033</v>
      </c>
      <c r="B71" s="1191" t="s">
        <v>1486</v>
      </c>
      <c r="C71" s="382" t="e">
        <f ca="1">ROUND(C68*10000/F71,0)</f>
        <v>#N/A</v>
      </c>
      <c r="D71" s="1192" t="s">
        <v>1487</v>
      </c>
      <c r="E71" s="1193" t="s">
        <v>1488</v>
      </c>
      <c r="F71" s="385" t="e">
        <f ca="1">F43</f>
        <v>#N/A</v>
      </c>
      <c r="O71" s="1894" t="s">
        <v>1050</v>
      </c>
      <c r="P71" s="1934" t="s">
        <v>1585</v>
      </c>
      <c r="Q71" s="1897" t="e">
        <f ca="1">C76</f>
        <v>#N/A</v>
      </c>
      <c r="R71" s="1886"/>
    </row>
    <row r="72" spans="1:18" s="1842" customFormat="1" ht="13.5" thickBot="1">
      <c r="B72" s="796"/>
      <c r="C72" s="796"/>
      <c r="O72" s="1894" t="s">
        <v>1044</v>
      </c>
      <c r="P72" s="1885" t="s">
        <v>1563</v>
      </c>
      <c r="Q72" s="1897">
        <f>L52</f>
        <v>0.05</v>
      </c>
      <c r="R72" s="1886"/>
    </row>
    <row r="73" spans="1:18" ht="16.5" thickBot="1">
      <c r="A73" s="1842"/>
      <c r="B73" s="796"/>
      <c r="C73" s="796"/>
      <c r="D73" s="1842"/>
      <c r="E73" s="1842"/>
      <c r="F73" s="1842"/>
      <c r="O73" s="1894" t="s">
        <v>1045</v>
      </c>
      <c r="P73" s="1885" t="s">
        <v>1566</v>
      </c>
      <c r="Q73" s="1886" t="e">
        <f ca="1">L58</f>
        <v>#N/A</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#N/A</v>
      </c>
      <c r="R74" s="1886" t="s">
        <v>1568</v>
      </c>
    </row>
    <row r="75" spans="1:18" ht="13.5" thickBot="1">
      <c r="A75" s="1842"/>
      <c r="B75" s="386" t="s">
        <v>1505</v>
      </c>
      <c r="C75" s="387" t="e">
        <f ca="1">ROUND(C13*C76,0)</f>
        <v>#N/A</v>
      </c>
      <c r="D75" s="1842"/>
      <c r="E75" s="1842"/>
      <c r="F75" s="1842"/>
      <c r="K75" s="1868"/>
      <c r="L75" s="1842"/>
      <c r="O75" s="1884" t="s">
        <v>1046</v>
      </c>
      <c r="P75" s="1885" t="s">
        <v>1548</v>
      </c>
      <c r="Q75" s="1886" t="e">
        <f ca="1">Q65+Q66</f>
        <v>#N/A</v>
      </c>
      <c r="R75" s="1886" t="s">
        <v>1047</v>
      </c>
    </row>
    <row r="76" spans="1:18">
      <c r="B76" s="388" t="s">
        <v>1506</v>
      </c>
      <c r="C76" s="389" t="e">
        <f ca="1">INDIRECT("'数据-取费表'!j"&amp;$G$1)</f>
        <v>#N/A</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北京北辰万通国际投资有限公司：</v>
      </c>
    </row>
    <row r="4" spans="1:1" ht="36">
      <c r="A4" s="1948" t="str">
        <f>"受贵公司委托，我公司对"&amp;项目基本情况!S1&amp;"进行了预评估。"</f>
        <v>受贵公司委托，我公司对北京市石景山区时代花园南路17号房地产抵押价值进行了预评估。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房地产，为北京北辰万通国际投资有限公司所有。根据《国有土地使用证》[京石国用（2009出）第0022号]，估价对象（分摊）出让国有建设用地使用权面积为11364.7平方米，建筑面积为28872.97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房地产,为北京北辰万通国际投资有限公司开发建设的办公项目，该项目尚在开发建设中。根据《国有土地使用证》[京石国用（2009出）第0022号]，估价对象（分摊）出让国有建设用地使用权面积为11364.7平方米，规划建筑面积为28872.97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为估价委托人在向华夏银行股份有限公司北京北沙滩支行办理贷款手续过程中，确定房地产抵押贷款额度提供参考依据而评估房地产抵押价值。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商业、办公、车库，土地取得方式为出让，出让国有建设用地使用权剩余土地使用年限为商业26.6年、办公36.6年、车库36.6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车库，实际开发程度为宗地红线外“七通”（即通路、通电、通上水、通下水、通讯、通热、燃气）、红线内场地平整条件下，剩余土地使用年限为商业26.6年、办公36.6年、车库36.6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本次评估采用的主估价方法为成本法和收益法。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4" sqref="C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3149</v>
      </c>
      <c r="D1" s="1820" t="s">
        <v>70</v>
      </c>
      <c r="E1" s="1821" t="s">
        <v>1387</v>
      </c>
      <c r="F1" s="1283">
        <f ca="1">J53</f>
        <v>36.619999999999997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f ca="1">C40+J29+L46</f>
        <v>425</v>
      </c>
      <c r="C2" s="1845" t="s">
        <v>1515</v>
      </c>
      <c r="D2" s="1845"/>
      <c r="E2" s="1846"/>
      <c r="F2" s="1847"/>
      <c r="G2" s="1848"/>
      <c r="H2" s="1840"/>
      <c r="I2" s="1840"/>
      <c r="J2" s="1840"/>
      <c r="K2" s="1841"/>
      <c r="L2" s="1840"/>
      <c r="M2" s="1840"/>
    </row>
    <row r="3" spans="1:37" ht="18" customHeight="1" thickBot="1">
      <c r="A3" s="1849" t="s">
        <v>1516</v>
      </c>
      <c r="B3" s="1850">
        <f ca="1">IF(ISERROR(B2*10000/F43),0,ROUND(B2*10000/F43,0))</f>
        <v>888</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64</v>
      </c>
      <c r="D5" s="1822" t="s">
        <v>1402</v>
      </c>
      <c r="E5" s="1293"/>
      <c r="F5" s="1294"/>
      <c r="G5" s="1851"/>
      <c r="H5" s="344">
        <v>1</v>
      </c>
      <c r="I5" s="345" t="s">
        <v>1401</v>
      </c>
      <c r="J5" s="1292">
        <f ca="1">J6+J10+J12</f>
        <v>0</v>
      </c>
      <c r="K5" s="1822" t="s">
        <v>1402</v>
      </c>
      <c r="L5" s="1293"/>
      <c r="M5" s="1294"/>
    </row>
    <row r="6" spans="1:37" ht="18" customHeight="1">
      <c r="A6" s="1291" t="s">
        <v>1035</v>
      </c>
      <c r="B6" s="3236" t="s">
        <v>1403</v>
      </c>
      <c r="C6" s="1296">
        <f ca="1">ROUND(F6*F8*F7*(1-F9)/10000,0)</f>
        <v>64</v>
      </c>
      <c r="D6" s="164" t="s">
        <v>3024</v>
      </c>
      <c r="E6" s="347" t="s">
        <v>1405</v>
      </c>
      <c r="F6" s="348">
        <f ca="1">INDIRECT("'数据-取费表'!u"&amp;$G$1)</f>
        <v>500</v>
      </c>
      <c r="G6" s="1851"/>
      <c r="H6" s="1291" t="s">
        <v>1035</v>
      </c>
      <c r="I6" s="3236" t="s">
        <v>1403</v>
      </c>
      <c r="J6" s="346">
        <f ca="1">ROUND(M6*M8*M7*(1-M9)/10000,0)</f>
        <v>0</v>
      </c>
      <c r="K6" s="164" t="s">
        <v>3023</v>
      </c>
      <c r="L6" s="347" t="s">
        <v>1405</v>
      </c>
      <c r="M6" s="348">
        <f ca="1">INDIRECT("'数据-取费表'!z"&amp;$G$1)</f>
        <v>0</v>
      </c>
    </row>
    <row r="7" spans="1:37" ht="18" customHeight="1">
      <c r="A7" s="1295"/>
      <c r="B7" s="3237"/>
      <c r="C7" s="1297"/>
      <c r="D7" s="352"/>
      <c r="E7" s="1298" t="s">
        <v>1406</v>
      </c>
      <c r="F7" s="348">
        <f ca="1">IF(INDIRECT("'数据-取费表'!ah"&amp;$G$1)="",INDIRECT("'数据-取费表'!k"&amp;$G$1),INDIRECT("'数据-取费表'!ah"&amp;$G$1))</f>
        <v>107</v>
      </c>
      <c r="G7" s="1851"/>
      <c r="H7" s="349"/>
      <c r="I7" s="3237"/>
      <c r="J7" s="351"/>
      <c r="K7" s="352"/>
      <c r="L7" s="347" t="s">
        <v>1406</v>
      </c>
      <c r="M7" s="348">
        <f ca="1">F7</f>
        <v>107</v>
      </c>
    </row>
    <row r="8" spans="1:37" ht="18" customHeight="1">
      <c r="A8" s="349"/>
      <c r="B8" s="3237"/>
      <c r="C8" s="351"/>
      <c r="D8" s="352"/>
      <c r="E8" s="347" t="s">
        <v>1407</v>
      </c>
      <c r="F8" s="348">
        <f ca="1">INDIRECT("'数据-取费表'!ai"&amp;$G$1)</f>
        <v>12</v>
      </c>
      <c r="G8" s="1851"/>
      <c r="H8" s="349"/>
      <c r="I8" s="3237"/>
      <c r="J8" s="351"/>
      <c r="K8" s="352"/>
      <c r="L8" s="347" t="s">
        <v>1407</v>
      </c>
      <c r="M8" s="348">
        <f ca="1">INDIRECT("'数据-取费表'!ai"&amp;$G$1)</f>
        <v>12</v>
      </c>
    </row>
    <row r="9" spans="1:37" ht="18" customHeight="1">
      <c r="A9" s="349"/>
      <c r="B9" s="3238"/>
      <c r="C9" s="351"/>
      <c r="D9" s="352"/>
      <c r="E9" s="347" t="s">
        <v>1408</v>
      </c>
      <c r="F9" s="357">
        <f ca="1">INDIRECT("'数据-取费表'!w"&amp;$G$1)</f>
        <v>0</v>
      </c>
      <c r="G9" s="1851"/>
      <c r="H9" s="349"/>
      <c r="I9" s="3238"/>
      <c r="J9" s="351"/>
      <c r="K9" s="352"/>
      <c r="L9" s="358" t="s">
        <v>1408</v>
      </c>
      <c r="M9" s="359">
        <f ca="1">INDIRECT("'数据-取费表'!ab"&amp;$G$1)</f>
        <v>0.1</v>
      </c>
    </row>
    <row r="10" spans="1:37" ht="18" customHeight="1">
      <c r="A10" s="1291" t="s">
        <v>1039</v>
      </c>
      <c r="B10" s="1823" t="s">
        <v>1409</v>
      </c>
      <c r="C10" s="361">
        <f ca="1">ROUND(IF(F10="押一",C6/12*F11,IF(F10="押二",C6/12*2*F11,IF(F10="押三",C6/12*3*F11,C11*F11))),0)</f>
        <v>0</v>
      </c>
      <c r="D10" s="1824" t="s">
        <v>3033</v>
      </c>
      <c r="E10" s="358" t="s">
        <v>1410</v>
      </c>
      <c r="F10" s="1366" t="s">
        <v>3175</v>
      </c>
      <c r="G10" s="1851"/>
      <c r="H10" s="1291" t="s">
        <v>1039</v>
      </c>
      <c r="I10" s="1823" t="s">
        <v>1409</v>
      </c>
      <c r="J10" s="346">
        <f ca="1">ROUND(IF(M10="押一",J6/12*M11,IF(M10="押二",J6/12*2*M11,IF(M10="押三",J6/12*3*M11,J11*M11))),0)</f>
        <v>0</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1256</v>
      </c>
      <c r="D13" s="1331" t="s">
        <v>1414</v>
      </c>
      <c r="E13" s="1331" t="s">
        <v>1415</v>
      </c>
      <c r="F13" s="1332">
        <f ca="1">INDIRECT("'数据-取费表'!y"&amp;$G$1)</f>
        <v>0.87</v>
      </c>
      <c r="G13" s="1851"/>
      <c r="H13" s="1329">
        <v>2</v>
      </c>
      <c r="I13" s="1330" t="s">
        <v>1413</v>
      </c>
      <c r="J13" s="1290">
        <f ca="1">ROUND(J14*J15,0)</f>
        <v>0</v>
      </c>
      <c r="K13" s="1337" t="s">
        <v>1414</v>
      </c>
      <c r="L13" s="1852"/>
      <c r="M13" s="1853"/>
    </row>
    <row r="14" spans="1:37" ht="18" customHeight="1">
      <c r="A14" s="1201" t="s">
        <v>1034</v>
      </c>
      <c r="B14" s="347" t="s">
        <v>1416</v>
      </c>
      <c r="C14" s="363">
        <f ca="1">INDIRECT("'数据-取费表'!m"&amp;$G$1)+INDIRECT("'数据-取费表'!t"&amp;$G$1)</f>
        <v>1054</v>
      </c>
      <c r="D14" s="1800" t="s">
        <v>1417</v>
      </c>
      <c r="E14" s="1794"/>
      <c r="F14" s="364"/>
      <c r="G14" s="1851"/>
      <c r="H14" s="1201" t="s">
        <v>1035</v>
      </c>
      <c r="I14" s="347" t="s">
        <v>1418</v>
      </c>
      <c r="J14" s="24">
        <f ca="1">C29</f>
        <v>1444</v>
      </c>
      <c r="K14" s="15"/>
      <c r="L14" s="979"/>
      <c r="M14" s="980"/>
    </row>
    <row r="15" spans="1:37" s="1858" customFormat="1" ht="18" customHeight="1" thickBot="1">
      <c r="A15" s="1201" t="s">
        <v>1036</v>
      </c>
      <c r="B15" s="347" t="s">
        <v>1419</v>
      </c>
      <c r="C15" s="24">
        <f ca="1">ROUND(C14*F15,0)</f>
        <v>32</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24</v>
      </c>
      <c r="K16" s="1337" t="s">
        <v>1424</v>
      </c>
      <c r="L16" s="1338"/>
      <c r="M16" s="1294"/>
    </row>
    <row r="17" spans="1:37" s="1858" customFormat="1" ht="18" customHeight="1">
      <c r="A17" s="1201" t="s">
        <v>1390</v>
      </c>
      <c r="B17" s="347" t="s">
        <v>1425</v>
      </c>
      <c r="C17" s="24">
        <f ca="1">ROUND(F17*(F43+INDIRECT("'数据-取费表'!S"&amp;$G$1))/10000,0)</f>
        <v>96</v>
      </c>
      <c r="D17" s="347" t="s">
        <v>1426</v>
      </c>
      <c r="E17" s="347" t="s">
        <v>1427</v>
      </c>
      <c r="F17" s="26">
        <f>'数据-取费表'!B35</f>
        <v>200</v>
      </c>
      <c r="G17" s="1854"/>
      <c r="H17" s="1201" t="s">
        <v>1035</v>
      </c>
      <c r="I17" s="347" t="s">
        <v>1428</v>
      </c>
      <c r="J17" s="24">
        <f ca="1">ROUND(IF(项目基本情况!B11="自然人",J5*M17,J18+J19+J20),1)</f>
        <v>2.2999999999999998</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16</v>
      </c>
      <c r="D18" s="347" t="s">
        <v>1420</v>
      </c>
      <c r="E18" s="347" t="s">
        <v>1421</v>
      </c>
      <c r="F18" s="367">
        <f>'数据-取费表'!B36</f>
        <v>1.4999999999999999E-2</v>
      </c>
      <c r="G18" s="1854"/>
      <c r="H18" s="1201"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1198</v>
      </c>
      <c r="D19" s="140" t="s">
        <v>1435</v>
      </c>
      <c r="E19" s="1818"/>
      <c r="F19" s="26"/>
      <c r="G19" s="1851"/>
      <c r="H19" s="1201" t="s">
        <v>1036</v>
      </c>
      <c r="I19" s="347" t="s">
        <v>1436</v>
      </c>
      <c r="J19" s="24">
        <f ca="1">IF(K19="按租金收入计税",ROUND(J5*M19,2),ROUND(C29*M19*0.7,2))</f>
        <v>0</v>
      </c>
      <c r="K19" s="1828" t="s">
        <v>3176</v>
      </c>
      <c r="L19" s="347" t="s">
        <v>1421</v>
      </c>
      <c r="M19" s="367">
        <f>IF(K19="按租金收入计税",'数据-取费表'!B51,'数据-取费表'!B50)</f>
        <v>0.12</v>
      </c>
    </row>
    <row r="20" spans="1:37" s="1858" customFormat="1" ht="18" customHeight="1">
      <c r="A20" s="1201" t="s">
        <v>1039</v>
      </c>
      <c r="B20" s="347" t="s">
        <v>1438</v>
      </c>
      <c r="C20" s="24">
        <f ca="1">ROUND(C19*F20,0)</f>
        <v>18</v>
      </c>
      <c r="D20" s="369" t="s">
        <v>1439</v>
      </c>
      <c r="E20" s="347" t="s">
        <v>1421</v>
      </c>
      <c r="F20" s="367">
        <f>'数据-取费表'!B37</f>
        <v>1.4999999999999999E-2</v>
      </c>
      <c r="G20" s="1854"/>
      <c r="H20" s="1201" t="s">
        <v>1389</v>
      </c>
      <c r="I20" s="164" t="s">
        <v>1440</v>
      </c>
      <c r="J20" s="25">
        <f ca="1">ROUND(M20*M21/10000,2)</f>
        <v>2.2599999999999998</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1884.87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1818"/>
      <c r="F22" s="26"/>
      <c r="G22" s="1851"/>
      <c r="H22" s="1201" t="s">
        <v>1039</v>
      </c>
      <c r="I22" s="347" t="s">
        <v>1448</v>
      </c>
      <c r="J22" s="24">
        <f ca="1">ROUND(J14*M22,1)</f>
        <v>21.7</v>
      </c>
      <c r="K22" s="1798" t="s">
        <v>1449</v>
      </c>
      <c r="L22" s="347" t="s">
        <v>1421</v>
      </c>
      <c r="M22" s="374">
        <f ca="1">INDIRECT("'数据-取费表'!Ak"&amp;$G$1)</f>
        <v>1.4999999999999999E-2</v>
      </c>
    </row>
    <row r="23" spans="1:37" s="1858" customFormat="1" ht="18" customHeight="1">
      <c r="A23" s="1201" t="s">
        <v>1034</v>
      </c>
      <c r="B23" s="347" t="s">
        <v>1450</v>
      </c>
      <c r="C23" s="24">
        <f ca="1">IF('数据-取费表'!B22&lt;=1,ROUND(C19*F24*F23/2,0)+ROUND(C20*F24*F23/2,0),ROUND(C19*(POWER((1+F24),F23/2)-1),0)+ROUND(C20*(POWER((1+F24),F23/2)-1),0))</f>
        <v>58</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ROUND(J13*M23,1)</f>
        <v>0</v>
      </c>
      <c r="K23" s="1798" t="s">
        <v>1453</v>
      </c>
      <c r="L23" s="347" t="s">
        <v>1454</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1818"/>
      <c r="F25" s="26"/>
      <c r="G25" s="1851"/>
      <c r="H25" s="1329" t="s">
        <v>1031</v>
      </c>
      <c r="I25" s="1344" t="s">
        <v>1462</v>
      </c>
      <c r="J25" s="355">
        <f ca="1">J5-J16</f>
        <v>-24</v>
      </c>
      <c r="K25" s="1345" t="s">
        <v>1463</v>
      </c>
      <c r="L25" s="1346"/>
      <c r="M25" s="1347"/>
    </row>
    <row r="26" spans="1:37">
      <c r="A26" s="1201" t="s">
        <v>1034</v>
      </c>
      <c r="B26" s="347" t="s">
        <v>1464</v>
      </c>
      <c r="C26" s="24">
        <f ca="1">ROUND((C19+C20)*F26,0)</f>
        <v>61</v>
      </c>
      <c r="D26" s="369" t="s">
        <v>1465</v>
      </c>
      <c r="E26" s="358" t="s">
        <v>1466</v>
      </c>
      <c r="F26" s="357">
        <f ca="1">INDIRECT("'数据-取费表'!q"&amp;$G$1)</f>
        <v>0.05</v>
      </c>
      <c r="G26" s="1851"/>
      <c r="H26" s="344" t="s">
        <v>1032</v>
      </c>
      <c r="I26" s="345" t="s">
        <v>1467</v>
      </c>
      <c r="J26" s="346">
        <f ca="1">IF(J5&lt;&gt;0,ROUND(J25*(1-((1+M28)/(1+M26))^M27)/(M26-M28),0),0)</f>
        <v>0</v>
      </c>
      <c r="K26" s="370" t="s">
        <v>1468</v>
      </c>
      <c r="L26" s="347" t="s">
        <v>1469</v>
      </c>
      <c r="M26" s="357">
        <f ca="1">INDIRECT("'数据-取费表'!I"&amp;$G$1)</f>
        <v>0.05</v>
      </c>
    </row>
    <row r="27" spans="1:37" ht="18" customHeight="1">
      <c r="A27" s="1201" t="s">
        <v>1036</v>
      </c>
      <c r="B27" s="347" t="s">
        <v>1470</v>
      </c>
      <c r="C27" s="24">
        <f ca="1">ROUND(F21*F26,4)</f>
        <v>1E-3</v>
      </c>
      <c r="D27" s="369" t="s">
        <v>1471</v>
      </c>
      <c r="E27" s="365"/>
      <c r="F27" s="366"/>
      <c r="G27" s="1851"/>
      <c r="H27" s="349"/>
      <c r="I27" s="350"/>
      <c r="J27" s="351"/>
      <c r="K27" s="378" t="s">
        <v>1472</v>
      </c>
      <c r="L27" s="347" t="s">
        <v>1473</v>
      </c>
      <c r="M27" s="379">
        <f ca="1">INDIRECT("'数据-取费表'!ag"&amp;$G$1)</f>
        <v>0</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1444</v>
      </c>
      <c r="D29" s="1342"/>
      <c r="E29" s="1340"/>
      <c r="F29" s="1343"/>
      <c r="G29" s="1854"/>
      <c r="H29" s="380" t="s">
        <v>1033</v>
      </c>
      <c r="I29" s="381" t="s">
        <v>1478</v>
      </c>
      <c r="J29" s="382">
        <f ca="1">ROUND(J26/(1+F40)^F41,0)</f>
        <v>0</v>
      </c>
      <c r="K29" s="383" t="s">
        <v>1479</v>
      </c>
      <c r="L29" s="384"/>
      <c r="M29" s="385">
        <f ca="1">INDIRECT("'数据-取费表'!k"&amp;$G$1)</f>
        <v>4788.67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40</v>
      </c>
      <c r="D30" s="1337" t="s">
        <v>1424</v>
      </c>
      <c r="E30" s="1338"/>
      <c r="F30" s="1294"/>
      <c r="G30" s="1851"/>
      <c r="H30" s="745"/>
      <c r="I30" s="746"/>
      <c r="J30" s="747"/>
      <c r="K30" s="748"/>
      <c r="L30" s="749"/>
      <c r="M30" s="750"/>
    </row>
    <row r="31" spans="1:37" ht="18" customHeight="1">
      <c r="A31" s="1201" t="s">
        <v>1035</v>
      </c>
      <c r="B31" s="347" t="s">
        <v>1428</v>
      </c>
      <c r="C31" s="24">
        <f ca="1">ROUND(IF(项目基本情况!B11="自然人",C5*F31,C32+C33+C34),1)</f>
        <v>13.4</v>
      </c>
      <c r="D31" s="1800" t="s">
        <v>1429</v>
      </c>
      <c r="E31" s="1798"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IF(项目基本情况!B11="自然人","——",ROUND(C5*F32/(1+'数据-取费表'!C42),2))</f>
        <v>3.41</v>
      </c>
      <c r="D32" s="1798"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IF(项目基本情况!B11="自然人","——",IF(D33="按租金收入计税",ROUND(C5*F33,2),IF(D33="按房产原值计税",ROUND(C29*F33*0.7,2),INDIRECT("'数据-取费表'!Aj"&amp;$G$1))))</f>
        <v>7.68</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f ca="1">IF(项目基本情况!B11="自然人","——",ROUND(F34*F35/10000,2))</f>
        <v>2.2599999999999998</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1884.87</v>
      </c>
      <c r="G35" s="1851"/>
      <c r="H35" s="745"/>
      <c r="I35" s="1860"/>
      <c r="J35" s="1861"/>
      <c r="K35" s="1862"/>
      <c r="L35" s="1859"/>
      <c r="M35" s="1859"/>
    </row>
    <row r="36" spans="1:18" ht="18" customHeight="1">
      <c r="A36" s="1352" t="s">
        <v>1039</v>
      </c>
      <c r="B36" s="347" t="s">
        <v>1448</v>
      </c>
      <c r="C36" s="24">
        <f ca="1">ROUND(C29*F36,1)</f>
        <v>21.7</v>
      </c>
      <c r="D36" s="1798" t="s">
        <v>1481</v>
      </c>
      <c r="E36" s="347" t="s">
        <v>1421</v>
      </c>
      <c r="F36" s="374">
        <f ca="1">INDIRECT("'数据-取费表'!Ak"&amp;$G$1)</f>
        <v>1.4999999999999999E-2</v>
      </c>
      <c r="G36" s="1851"/>
      <c r="H36" s="1859"/>
      <c r="I36" s="1860"/>
      <c r="J36" s="1861"/>
      <c r="K36" s="751"/>
      <c r="L36" s="1859"/>
      <c r="M36" s="1859"/>
    </row>
    <row r="37" spans="1:18" ht="18" customHeight="1">
      <c r="A37" s="1201" t="s">
        <v>1075</v>
      </c>
      <c r="B37" s="347" t="s">
        <v>1452</v>
      </c>
      <c r="C37" s="24">
        <f ca="1">ROUND(C13*F37,1)</f>
        <v>3.8</v>
      </c>
      <c r="D37" s="1798" t="s">
        <v>1453</v>
      </c>
      <c r="E37" s="347" t="s">
        <v>1454</v>
      </c>
      <c r="F37" s="376">
        <f ca="1">INDIRECT("'数据-取费表'!Al"&amp;$G$1)</f>
        <v>3.0000000000000001E-3</v>
      </c>
      <c r="G37" s="1851"/>
      <c r="H37" s="1859"/>
      <c r="I37" s="1860"/>
      <c r="J37" s="1861"/>
      <c r="K37" s="751"/>
      <c r="L37" s="1859"/>
      <c r="M37" s="1859"/>
    </row>
    <row r="38" spans="1:18" ht="18" customHeight="1" thickBot="1">
      <c r="A38" s="1339" t="s">
        <v>1393</v>
      </c>
      <c r="B38" s="1340" t="s">
        <v>1438</v>
      </c>
      <c r="C38" s="1341">
        <f ca="1">ROUND(C5*F38,1)</f>
        <v>1.3</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24</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400</v>
      </c>
      <c r="D40" s="370" t="s">
        <v>1468</v>
      </c>
      <c r="E40" s="347" t="s">
        <v>1469</v>
      </c>
      <c r="F40" s="357">
        <f ca="1">INDIRECT("'数据-取费表'!I"&amp;$G$1)</f>
        <v>0.05</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36.619999999999997</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f ca="1">ROUND(C40*10000/F43,0)</f>
        <v>835</v>
      </c>
      <c r="D43" s="383" t="s">
        <v>1487</v>
      </c>
      <c r="E43" s="384" t="s">
        <v>1488</v>
      </c>
      <c r="F43" s="385">
        <f ca="1">INDIRECT("'数据-取费表'!k"&amp;$G$1)</f>
        <v>4788.67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f ca="1">C68-C40</f>
        <v>-2881</v>
      </c>
      <c r="D46" s="1872" t="str">
        <f>C2</f>
        <v>万元</v>
      </c>
      <c r="E46" s="1866"/>
      <c r="F46" s="1866"/>
      <c r="I46" s="1873" t="s">
        <v>1520</v>
      </c>
      <c r="J46" s="1874"/>
      <c r="K46" s="1875"/>
      <c r="L46" s="1876">
        <f ca="1">IF(M47="住宅",0,IF(L48&gt;J51,L60,J60))</f>
        <v>25</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f ca="1">INDIRECT("'数据-取费表'!d"&amp;$G$1)</f>
        <v>50</v>
      </c>
      <c r="M47" s="1838" t="str">
        <f>IF(ISNUMBER(FIND("住宅",C1)),"住宅","非住宅")</f>
        <v>非住宅</v>
      </c>
      <c r="O47" s="1884" t="s">
        <v>1040</v>
      </c>
      <c r="P47" s="1885" t="s">
        <v>1527</v>
      </c>
      <c r="Q47" s="1886">
        <f ca="1">C40+J29</f>
        <v>400</v>
      </c>
      <c r="R47" s="1886" t="s">
        <v>1528</v>
      </c>
    </row>
    <row r="48" spans="1:18" s="1842" customFormat="1" ht="28.5" thickBot="1">
      <c r="A48" s="1360" t="s">
        <v>1135</v>
      </c>
      <c r="B48" s="345" t="s">
        <v>1401</v>
      </c>
      <c r="C48" s="1817">
        <f ca="1">C49+C53+C55</f>
        <v>0</v>
      </c>
      <c r="D48" s="1362"/>
      <c r="E48" s="1363"/>
      <c r="F48" s="1181"/>
      <c r="G48" s="792"/>
      <c r="H48" s="793"/>
      <c r="I48" s="1887" t="s">
        <v>1529</v>
      </c>
      <c r="J48" s="1888" t="s">
        <v>3178</v>
      </c>
      <c r="K48" s="1889" t="s">
        <v>1530</v>
      </c>
      <c r="L48" s="1890">
        <f ca="1">INDIRECT("'数据-取费表'!f"&amp;$G$1)</f>
        <v>36.619999999999997</v>
      </c>
      <c r="O48" s="1884" t="s">
        <v>1041</v>
      </c>
      <c r="P48" s="1885" t="s">
        <v>1531</v>
      </c>
      <c r="Q48" s="1886">
        <f ca="1">J60</f>
        <v>25</v>
      </c>
      <c r="R48" s="1886" t="s">
        <v>1532</v>
      </c>
    </row>
    <row r="49" spans="1:18" s="1842" customFormat="1" ht="13.5" thickBot="1">
      <c r="A49" s="1194" t="s">
        <v>1136</v>
      </c>
      <c r="B49" s="1829" t="s">
        <v>1489</v>
      </c>
      <c r="C49" s="1364">
        <f ca="1">ROUND(F49*F51*F50*(1-F52)/10000,0)</f>
        <v>0</v>
      </c>
      <c r="D49" s="1276" t="s">
        <v>3025</v>
      </c>
      <c r="E49" s="1830" t="s">
        <v>1490</v>
      </c>
      <c r="F49" s="1281"/>
      <c r="G49" s="1891"/>
      <c r="H49" s="793"/>
      <c r="I49" s="1887" t="s">
        <v>1533</v>
      </c>
      <c r="J49" s="1892">
        <v>2010</v>
      </c>
      <c r="K49" s="1889" t="s">
        <v>1534</v>
      </c>
      <c r="L49" s="1893"/>
      <c r="O49" s="1894" t="s">
        <v>1042</v>
      </c>
      <c r="P49" s="1885" t="s">
        <v>1535</v>
      </c>
      <c r="Q49" s="1886">
        <f ca="1">C29</f>
        <v>1444</v>
      </c>
      <c r="R49" s="1886" t="s">
        <v>1528</v>
      </c>
    </row>
    <row r="50" spans="1:18" s="1842" customFormat="1" ht="13.5" thickBot="1">
      <c r="A50" s="1195"/>
      <c r="B50" s="1198"/>
      <c r="C50" s="1368"/>
      <c r="D50" s="1172"/>
      <c r="E50" s="1277" t="s">
        <v>1406</v>
      </c>
      <c r="F50" s="1278">
        <f ca="1">F7</f>
        <v>107</v>
      </c>
      <c r="H50" s="793"/>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6"/>
      <c r="B51" s="1198"/>
      <c r="C51" s="1199"/>
      <c r="D51" s="1172"/>
      <c r="E51" s="1200" t="s">
        <v>1407</v>
      </c>
      <c r="F51" s="348">
        <f ca="1">F8</f>
        <v>12</v>
      </c>
      <c r="I51" s="1898" t="s">
        <v>1539</v>
      </c>
      <c r="J51" s="1899">
        <f>IF(J49="",J50,J49+J50-YEAR('数据-取费表'!B2))</f>
        <v>52</v>
      </c>
      <c r="K51" s="1900" t="s">
        <v>1540</v>
      </c>
      <c r="L51" s="1901">
        <f ca="1">ROUND(-PV(INDIRECT("'数据-取费表'!h"&amp;$G$1),L48,(C39-C13*C76),0),0)</f>
        <v>-1472</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4.4999999999999998E-2</v>
      </c>
      <c r="M52" s="1842">
        <v>4.5</v>
      </c>
      <c r="O52" s="1894" t="s">
        <v>1045</v>
      </c>
      <c r="P52" s="1885" t="s">
        <v>1544</v>
      </c>
      <c r="Q52" s="1886">
        <f ca="1">J53</f>
        <v>36.619999999999997</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f ca="1">IF(M47="住宅",J51,IF(D1="——",MIN(J51,L48),IF(D1="在建（套用方法）",MIN(J51,L48-'数据-取费表'!B24),IF(D1="土地（套用方法）",MIN(J51,L48-'数据-取费表'!B20)))))</f>
        <v>36.619999999999997</v>
      </c>
      <c r="K53" s="3239" t="s">
        <v>1547</v>
      </c>
      <c r="L53" s="3240"/>
      <c r="O53" s="1884" t="s">
        <v>1046</v>
      </c>
      <c r="P53" s="1885" t="s">
        <v>1548</v>
      </c>
      <c r="Q53" s="1886">
        <f ca="1">Q47+Q48</f>
        <v>425</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f ca="1">ROUND(IF(J47="钢混",J57/J50,1-(1-2%)*(J50-J57)/J50),3)</f>
        <v>0.25600000000000001</v>
      </c>
      <c r="K55" s="1912" t="s">
        <v>1551</v>
      </c>
      <c r="L55" s="1913" t="s">
        <v>1552</v>
      </c>
      <c r="O55" s="1877" t="s">
        <v>1521</v>
      </c>
      <c r="P55" s="1878" t="s">
        <v>1522</v>
      </c>
      <c r="Q55" s="1879" t="s">
        <v>1523</v>
      </c>
      <c r="R55" s="1879" t="s">
        <v>1524</v>
      </c>
    </row>
    <row r="56" spans="1:18" s="1842" customFormat="1" ht="25.5" thickTop="1" thickBot="1">
      <c r="A56" s="1176">
        <v>2</v>
      </c>
      <c r="B56" s="1177" t="s">
        <v>1413</v>
      </c>
      <c r="C56" s="276">
        <f ca="1">C13</f>
        <v>1256</v>
      </c>
      <c r="D56" s="1914"/>
      <c r="E56" s="1915"/>
      <c r="F56" s="1907"/>
      <c r="I56" s="1916" t="s">
        <v>1553</v>
      </c>
      <c r="J56" s="1917" t="s">
        <v>3132</v>
      </c>
      <c r="K56" s="1887" t="s">
        <v>1554</v>
      </c>
      <c r="L56" s="1890" t="str">
        <f ca="1">IF(L48&lt;J51,"——",L48-J53)</f>
        <v>——</v>
      </c>
      <c r="O56" s="1884" t="s">
        <v>1040</v>
      </c>
      <c r="P56" s="1885" t="s">
        <v>1527</v>
      </c>
      <c r="Q56" s="1886">
        <f ca="1">C40+J29</f>
        <v>400</v>
      </c>
      <c r="R56" s="1886" t="s">
        <v>1528</v>
      </c>
    </row>
    <row r="57" spans="1:18" s="1842" customFormat="1" ht="24.75" thickBot="1">
      <c r="A57" s="1918"/>
      <c r="B57" s="1169" t="s">
        <v>1477</v>
      </c>
      <c r="C57" s="282">
        <f ca="1">C29</f>
        <v>1444</v>
      </c>
      <c r="D57" s="1919"/>
      <c r="E57" s="1920"/>
      <c r="F57" s="1921"/>
      <c r="I57" s="1922" t="s">
        <v>1555</v>
      </c>
      <c r="J57" s="1923">
        <f ca="1">IF(OR(M47="住宅",J51&lt;L48,J56="是"),"——",J51-L48)</f>
        <v>15.380000000000003</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7" t="s">
        <v>1423</v>
      </c>
      <c r="C58" s="361">
        <f ca="1">ROUND(C59+C64+C65+C66,0)</f>
        <v>149</v>
      </c>
      <c r="D58" s="1179" t="s">
        <v>1424</v>
      </c>
      <c r="E58" s="1180"/>
      <c r="F58" s="1181"/>
      <c r="I58" s="1922" t="s">
        <v>1559</v>
      </c>
      <c r="J58" s="1924">
        <f ca="1">IF(J55&lt;0.4,0.4,J55)</f>
        <v>0.4</v>
      </c>
      <c r="K58" s="1900" t="s">
        <v>1560</v>
      </c>
      <c r="L58" s="1890">
        <f ca="1">ROUND(POWER(1+L52,L47-L48)*(POWER(1+L52,L48)-1)/(POWER(1+L52,L47)-1),4)</f>
        <v>0.90010000000000001</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ROUND(IF(项目基本情况!B11="自然人",C48*F59,C60+C61+C62),1)</f>
        <v>123.6</v>
      </c>
      <c r="D59" s="1182" t="s">
        <v>1429</v>
      </c>
      <c r="E59" s="1183" t="s">
        <v>1430</v>
      </c>
      <c r="F59" s="368" t="str">
        <f ca="1">IF(项目基本情况!B11="企业","",IF(INDIRECT("'数据-取费表'!c"&amp;$G$1)="住宅",5%,IF(F49*F50*F51/12/(1+'数据-取费表'!C42)&gt;20000,12%,7%)))</f>
        <v/>
      </c>
      <c r="I59" s="1922" t="s">
        <v>1562</v>
      </c>
      <c r="J59" s="1923">
        <f ca="1">IF(OR(M47="住宅",J51&lt;L48,J56="是"),"——",ROUND(C29*J58,0))</f>
        <v>578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1.0105</v>
      </c>
      <c r="M59" s="1838">
        <f ca="1">ROUND(POWER(1+L52,L47-(J51+'数据-取费表'!B24))*(POWER(1+L52,(J51+'数据-取费表'!B24))-1)/(POWER(1+L52,L47)-1),4)</f>
        <v>1.0105</v>
      </c>
      <c r="N59" s="1838">
        <f ca="1">ROUND(POWER(1+L52,L47-(J51+'数据-取费表'!B20))*(POWER(1+L52,(J51+'数据-取费表'!B20))-1)/(POWER(1+L52,L47)-1),4)</f>
        <v>1.0201</v>
      </c>
      <c r="O59" s="1894" t="s">
        <v>1043</v>
      </c>
      <c r="P59" s="1885" t="s">
        <v>1563</v>
      </c>
      <c r="Q59" s="1897">
        <f>L52</f>
        <v>4.4999999999999998E-2</v>
      </c>
      <c r="R59" s="1886"/>
    </row>
    <row r="60" spans="1:18" s="1842" customFormat="1" ht="16.5" thickBot="1">
      <c r="A60" s="1201" t="s">
        <v>1034</v>
      </c>
      <c r="B60" s="1169" t="s">
        <v>1432</v>
      </c>
      <c r="C60" s="24">
        <f ca="1">IF(项目基本情况!B11="自然人","——",ROUND(C48*F60/(1+'数据-取费表'!C42),2))</f>
        <v>0</v>
      </c>
      <c r="D60" s="1183" t="s">
        <v>1433</v>
      </c>
      <c r="E60" s="1169" t="s">
        <v>1421</v>
      </c>
      <c r="F60" s="377">
        <f t="shared" ref="F60:F66" si="0">F32</f>
        <v>5.6000000000000001E-2</v>
      </c>
      <c r="I60" s="1925" t="s">
        <v>1564</v>
      </c>
      <c r="J60" s="1926">
        <f ca="1">IF(OR(M47="住宅",J51&lt;L48,J56="是"),"0",ROUND(J59/(1+J52)^J53,0))</f>
        <v>25</v>
      </c>
      <c r="K60" s="1927" t="s">
        <v>1565</v>
      </c>
      <c r="L60" s="1926">
        <f ca="1">IF(OR(M47="住宅",L48&lt;J51),0,ROUND(L57*(L58/L59-1),0))</f>
        <v>0</v>
      </c>
      <c r="O60" s="1894" t="s">
        <v>1044</v>
      </c>
      <c r="P60" s="1885" t="s">
        <v>1566</v>
      </c>
      <c r="Q60" s="1886">
        <f ca="1">L58</f>
        <v>0.90010000000000001</v>
      </c>
      <c r="R60" s="1886" t="s">
        <v>1567</v>
      </c>
    </row>
    <row r="61" spans="1:18" s="1842" customFormat="1" ht="13.5" thickBot="1">
      <c r="A61" s="1201" t="s">
        <v>1491</v>
      </c>
      <c r="B61" s="1169" t="s">
        <v>1492</v>
      </c>
      <c r="C61" s="24">
        <f ca="1">IF(项目基本情况!B11="自然人","——",IF(D61="按租金收入计税",ROUND(C48*F61,2),IF(D61="按房产原值计税",ROUND(C57*F61*0.7,2),INDIRECT("'数据-取费表'!Aj"&amp;$G$1))))</f>
        <v>121.3</v>
      </c>
      <c r="D61" s="1828" t="s">
        <v>1437</v>
      </c>
      <c r="E61" s="1169" t="s">
        <v>1493</v>
      </c>
      <c r="F61" s="367">
        <f t="shared" si="0"/>
        <v>0.12</v>
      </c>
      <c r="I61" s="1928"/>
      <c r="J61" s="1928"/>
      <c r="K61" s="1928"/>
      <c r="L61" s="1928"/>
      <c r="O61" s="1894" t="s">
        <v>1045</v>
      </c>
      <c r="P61" s="1885" t="str">
        <f>K59</f>
        <v>建筑物剩余耐用年限下的土地年期修正系数Kn</v>
      </c>
      <c r="Q61" s="1886">
        <f ca="1">L59</f>
        <v>1.0105</v>
      </c>
      <c r="R61" s="1886" t="s">
        <v>1568</v>
      </c>
    </row>
    <row r="62" spans="1:18" s="1842" customFormat="1" ht="13.5" thickBot="1">
      <c r="A62" s="1201" t="s">
        <v>1494</v>
      </c>
      <c r="B62" s="1168" t="s">
        <v>1495</v>
      </c>
      <c r="C62" s="25">
        <f ca="1">IF(项目基本情况!B11="自然人","——",ROUND(F62*F63/10000,2))</f>
        <v>2.2599999999999998</v>
      </c>
      <c r="D62" s="1184" t="s">
        <v>1496</v>
      </c>
      <c r="E62" s="1169" t="s">
        <v>1497</v>
      </c>
      <c r="F62" s="371">
        <f t="shared" si="0"/>
        <v>12</v>
      </c>
      <c r="I62" s="1929" t="s">
        <v>1569</v>
      </c>
      <c r="J62" s="1930" t="s">
        <v>1570</v>
      </c>
      <c r="K62" s="1930" t="s">
        <v>1571</v>
      </c>
      <c r="L62" s="1930" t="s">
        <v>1572</v>
      </c>
      <c r="M62" s="1931" t="s">
        <v>1573</v>
      </c>
      <c r="O62" s="1884" t="s">
        <v>1046</v>
      </c>
      <c r="P62" s="1885" t="s">
        <v>1574</v>
      </c>
      <c r="Q62" s="1886">
        <f ca="1">Q56+Q57</f>
        <v>400</v>
      </c>
      <c r="R62" s="1886" t="s">
        <v>1047</v>
      </c>
    </row>
    <row r="63" spans="1:18" s="1842" customFormat="1" ht="13.5" thickBot="1">
      <c r="A63" s="372"/>
      <c r="B63" s="1175"/>
      <c r="C63" s="29"/>
      <c r="D63" s="1185"/>
      <c r="E63" s="1169" t="s">
        <v>1498</v>
      </c>
      <c r="F63" s="348">
        <f t="shared" ca="1" si="0"/>
        <v>1884.87</v>
      </c>
      <c r="I63" s="1929" t="s">
        <v>1575</v>
      </c>
      <c r="J63" s="1930">
        <v>70</v>
      </c>
      <c r="K63" s="1930">
        <v>50</v>
      </c>
      <c r="L63" s="1930">
        <v>80</v>
      </c>
      <c r="M63" s="1932">
        <v>0.02</v>
      </c>
      <c r="O63" s="1869" t="s">
        <v>1576</v>
      </c>
      <c r="P63" s="1839"/>
      <c r="Q63" s="1839"/>
      <c r="R63" s="1839"/>
    </row>
    <row r="64" spans="1:18" s="1842" customFormat="1" ht="13.5" thickBot="1">
      <c r="A64" s="1201" t="s">
        <v>1499</v>
      </c>
      <c r="B64" s="1169" t="s">
        <v>1500</v>
      </c>
      <c r="C64" s="24">
        <f ca="1">ROUND(C57*F64,1)</f>
        <v>21.7</v>
      </c>
      <c r="D64" s="1183" t="s">
        <v>1501</v>
      </c>
      <c r="E64" s="1169" t="s">
        <v>1493</v>
      </c>
      <c r="F64" s="374">
        <f t="shared" ca="1" si="0"/>
        <v>1.4999999999999999E-2</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ROUND(C56*F65,1)</f>
        <v>3.8</v>
      </c>
      <c r="D65" s="1183" t="s">
        <v>1453</v>
      </c>
      <c r="E65" s="1169" t="s">
        <v>1454</v>
      </c>
      <c r="F65" s="376">
        <f t="shared" ca="1" si="0"/>
        <v>3.0000000000000001E-3</v>
      </c>
      <c r="I65" s="1929" t="s">
        <v>1578</v>
      </c>
      <c r="J65" s="1930">
        <v>40</v>
      </c>
      <c r="K65" s="1930">
        <v>30</v>
      </c>
      <c r="L65" s="1930">
        <v>50</v>
      </c>
      <c r="M65" s="1932">
        <v>0.02</v>
      </c>
      <c r="O65" s="1884" t="s">
        <v>1040</v>
      </c>
      <c r="P65" s="1885" t="s">
        <v>1579</v>
      </c>
      <c r="Q65" s="1886">
        <f ca="1">C40+J29</f>
        <v>400</v>
      </c>
      <c r="R65" s="1886" t="s">
        <v>1528</v>
      </c>
    </row>
    <row r="66" spans="1:18" s="1842" customFormat="1" ht="16.5" thickBot="1">
      <c r="A66" s="1201" t="s">
        <v>1503</v>
      </c>
      <c r="B66" s="1169" t="s">
        <v>1438</v>
      </c>
      <c r="C66" s="24">
        <f ca="1">ROUND(C48*F66,1)</f>
        <v>0</v>
      </c>
      <c r="D66" s="1183" t="s">
        <v>1504</v>
      </c>
      <c r="E66" s="1169" t="s">
        <v>1421</v>
      </c>
      <c r="F66" s="357">
        <f t="shared" ca="1" si="0"/>
        <v>0.02</v>
      </c>
      <c r="O66" s="1884" t="s">
        <v>1041</v>
      </c>
      <c r="P66" s="1885" t="s">
        <v>1557</v>
      </c>
      <c r="Q66" s="1886">
        <f ca="1">L60</f>
        <v>0</v>
      </c>
      <c r="R66" s="1886" t="s">
        <v>1580</v>
      </c>
    </row>
    <row r="67" spans="1:18" s="1842" customFormat="1" ht="16.5" thickBot="1">
      <c r="A67" s="1176" t="s">
        <v>1031</v>
      </c>
      <c r="B67" s="1186" t="s">
        <v>1462</v>
      </c>
      <c r="C67" s="361">
        <f ca="1">C48-C58</f>
        <v>-149</v>
      </c>
      <c r="D67" s="1182" t="s">
        <v>1463</v>
      </c>
      <c r="E67" s="1187"/>
      <c r="F67" s="1188"/>
      <c r="O67" s="1894" t="s">
        <v>1042</v>
      </c>
      <c r="P67" s="1885" t="s">
        <v>1561</v>
      </c>
      <c r="Q67" s="1933">
        <f ca="1">L51</f>
        <v>-1472</v>
      </c>
      <c r="R67" s="1886" t="s">
        <v>1581</v>
      </c>
    </row>
    <row r="68" spans="1:18" s="1842" customFormat="1" ht="16.5" thickBot="1">
      <c r="A68" s="1166" t="s">
        <v>1032</v>
      </c>
      <c r="B68" s="1167" t="s">
        <v>1484</v>
      </c>
      <c r="C68" s="346">
        <f ca="1">ROUND(C67*(1-((1+F70)/(1+F68))^F69)/(F68-F70),0)</f>
        <v>-2481</v>
      </c>
      <c r="D68" s="1184" t="s">
        <v>1468</v>
      </c>
      <c r="E68" s="1169" t="s">
        <v>1469</v>
      </c>
      <c r="F68" s="357">
        <f ca="1">F40</f>
        <v>0.05</v>
      </c>
      <c r="O68" s="1894" t="s">
        <v>1043</v>
      </c>
      <c r="P68" s="1934" t="s">
        <v>1582</v>
      </c>
      <c r="Q68" s="1886">
        <f ca="1">ROUND(Q69-Q70*Q71,0)</f>
        <v>-83</v>
      </c>
      <c r="R68" s="1886" t="s">
        <v>1051</v>
      </c>
    </row>
    <row r="69" spans="1:18" s="1842" customFormat="1" ht="13.5" thickBot="1">
      <c r="A69" s="1170"/>
      <c r="B69" s="1171"/>
      <c r="C69" s="351"/>
      <c r="D69" s="1189" t="s">
        <v>1472</v>
      </c>
      <c r="E69" s="1169" t="s">
        <v>1473</v>
      </c>
      <c r="F69" s="379">
        <f ca="1">F41</f>
        <v>36.619999999999997</v>
      </c>
      <c r="O69" s="1894" t="s">
        <v>1048</v>
      </c>
      <c r="P69" s="1934" t="s">
        <v>1583</v>
      </c>
      <c r="Q69" s="1886">
        <f ca="1">C39</f>
        <v>24</v>
      </c>
      <c r="R69" s="1886" t="s">
        <v>1528</v>
      </c>
    </row>
    <row r="70" spans="1:18" s="1842" customFormat="1" ht="13.5" thickBot="1">
      <c r="A70" s="1173"/>
      <c r="B70" s="1174"/>
      <c r="C70" s="355"/>
      <c r="D70" s="1185"/>
      <c r="E70" s="1169" t="s">
        <v>1476</v>
      </c>
      <c r="F70" s="1275"/>
      <c r="O70" s="1894" t="s">
        <v>1049</v>
      </c>
      <c r="P70" s="1934" t="s">
        <v>1584</v>
      </c>
      <c r="Q70" s="1886">
        <f ca="1">C13</f>
        <v>1256</v>
      </c>
      <c r="R70" s="1886" t="s">
        <v>1528</v>
      </c>
    </row>
    <row r="71" spans="1:18" s="1842" customFormat="1" ht="13.5" thickBot="1">
      <c r="A71" s="1190" t="s">
        <v>1033</v>
      </c>
      <c r="B71" s="1191" t="s">
        <v>1486</v>
      </c>
      <c r="C71" s="382">
        <f ca="1">ROUND(C68*10000/F71,0)</f>
        <v>-5181</v>
      </c>
      <c r="D71" s="1192" t="s">
        <v>1487</v>
      </c>
      <c r="E71" s="1193" t="s">
        <v>1488</v>
      </c>
      <c r="F71" s="385">
        <f ca="1">F43</f>
        <v>4788.67</v>
      </c>
      <c r="O71" s="1894" t="s">
        <v>1050</v>
      </c>
      <c r="P71" s="1934" t="s">
        <v>1585</v>
      </c>
      <c r="Q71" s="1897">
        <f ca="1">C76</f>
        <v>8.5000000000000006E-2</v>
      </c>
      <c r="R71" s="1886"/>
    </row>
    <row r="72" spans="1:18" s="1842" customFormat="1" ht="13.5" thickBot="1">
      <c r="B72" s="796"/>
      <c r="C72" s="796"/>
      <c r="O72" s="1894" t="s">
        <v>1044</v>
      </c>
      <c r="P72" s="1885" t="s">
        <v>1563</v>
      </c>
      <c r="Q72" s="1897">
        <f>L52</f>
        <v>4.4999999999999998E-2</v>
      </c>
      <c r="R72" s="1886"/>
    </row>
    <row r="73" spans="1:18" ht="16.5" thickBot="1">
      <c r="A73" s="1842"/>
      <c r="B73" s="796"/>
      <c r="C73" s="796"/>
      <c r="D73" s="1842"/>
      <c r="E73" s="1842"/>
      <c r="F73" s="1842"/>
      <c r="O73" s="1894" t="s">
        <v>1045</v>
      </c>
      <c r="P73" s="1885" t="s">
        <v>1566</v>
      </c>
      <c r="Q73" s="1886">
        <f ca="1">L58</f>
        <v>0.90010000000000001</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f ca="1">L59</f>
        <v>1.0105</v>
      </c>
      <c r="R74" s="1886" t="s">
        <v>1568</v>
      </c>
    </row>
    <row r="75" spans="1:18" ht="13.5" thickBot="1">
      <c r="A75" s="1842"/>
      <c r="B75" s="386" t="s">
        <v>1505</v>
      </c>
      <c r="C75" s="387">
        <f ca="1">ROUND(C13*C76,0)</f>
        <v>107</v>
      </c>
      <c r="D75" s="1842"/>
      <c r="E75" s="1842"/>
      <c r="F75" s="1842"/>
      <c r="K75" s="1868"/>
      <c r="L75" s="1842"/>
      <c r="O75" s="1884" t="s">
        <v>1046</v>
      </c>
      <c r="P75" s="1885" t="s">
        <v>1548</v>
      </c>
      <c r="Q75" s="1886">
        <f ca="1">Q65+Q66</f>
        <v>400</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-3.4580000000000002</v>
      </c>
    </row>
    <row r="80" spans="1:18">
      <c r="B80" s="386" t="s">
        <v>1510</v>
      </c>
      <c r="C80" s="318">
        <f ca="1">ROUND(C75/C39,3)</f>
        <v>4.4580000000000002</v>
      </c>
    </row>
    <row r="81" spans="2:3">
      <c r="B81" s="314" t="s">
        <v>1511</v>
      </c>
      <c r="C81" s="282"/>
    </row>
    <row r="82" spans="2:3">
      <c r="B82" s="317" t="s">
        <v>1512</v>
      </c>
      <c r="C82" s="319">
        <f ca="1">1-C83</f>
        <v>-2.14</v>
      </c>
    </row>
    <row r="83" spans="2:3">
      <c r="B83" s="317" t="s">
        <v>1513</v>
      </c>
      <c r="C83" s="318">
        <f ca="1">ROUND(C13/C40,3)</f>
        <v>3.14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4"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236" t="s">
        <v>1403</v>
      </c>
      <c r="C6" s="1296">
        <f ca="1">ROUND(F6*F8*F7*(1-F9),0)</f>
        <v>0</v>
      </c>
      <c r="D6" s="164" t="s">
        <v>3021</v>
      </c>
      <c r="E6" s="347" t="s">
        <v>1405</v>
      </c>
      <c r="F6" s="348">
        <f ca="1">INDIRECT("'数据-取费表'!u"&amp;$G$1)</f>
        <v>0</v>
      </c>
      <c r="G6" s="1851"/>
      <c r="H6" s="1291" t="s">
        <v>1035</v>
      </c>
      <c r="I6" s="3236" t="s">
        <v>1403</v>
      </c>
      <c r="J6" s="346">
        <f ca="1">ROUND(M6*M8*M7*(1-M9),0)</f>
        <v>0</v>
      </c>
      <c r="K6" s="1834" t="s">
        <v>3022</v>
      </c>
      <c r="L6" s="347" t="s">
        <v>1405</v>
      </c>
      <c r="M6" s="348">
        <f ca="1">INDIRECT("'数据-取费表'!z"&amp;$G$1)</f>
        <v>0</v>
      </c>
    </row>
    <row r="7" spans="1:37" ht="18" customHeight="1">
      <c r="A7" s="1295"/>
      <c r="B7" s="3237"/>
      <c r="C7" s="1297"/>
      <c r="D7" s="352"/>
      <c r="E7" s="1298" t="s">
        <v>1406</v>
      </c>
      <c r="F7" s="348">
        <f ca="1">IF(INDIRECT("'数据-取费表'!ah"&amp;$G$1)="",INDIRECT("'数据-取费表'!k"&amp;$G$1),INDIRECT("'数据-取费表'!ah"&amp;$G$1))</f>
        <v>0</v>
      </c>
      <c r="G7" s="1851"/>
      <c r="H7" s="349"/>
      <c r="I7" s="3237"/>
      <c r="J7" s="351"/>
      <c r="K7" s="352"/>
      <c r="L7" s="347" t="s">
        <v>1406</v>
      </c>
      <c r="M7" s="348">
        <f ca="1">F7</f>
        <v>0</v>
      </c>
    </row>
    <row r="8" spans="1:37" ht="18" customHeight="1">
      <c r="A8" s="349"/>
      <c r="B8" s="3237"/>
      <c r="C8" s="351"/>
      <c r="D8" s="352"/>
      <c r="E8" s="347" t="s">
        <v>1407</v>
      </c>
      <c r="F8" s="348">
        <f ca="1">INDIRECT("'数据-取费表'!ai"&amp;$G$1)</f>
        <v>0</v>
      </c>
      <c r="G8" s="1851"/>
      <c r="H8" s="349"/>
      <c r="I8" s="3237"/>
      <c r="J8" s="351"/>
      <c r="K8" s="352"/>
      <c r="L8" s="347" t="s">
        <v>1407</v>
      </c>
      <c r="M8" s="348">
        <f ca="1">INDIRECT("'数据-取费表'!ai"&amp;$G$1)</f>
        <v>0</v>
      </c>
    </row>
    <row r="9" spans="1:37" ht="18" customHeight="1">
      <c r="A9" s="349"/>
      <c r="B9" s="3238"/>
      <c r="C9" s="351"/>
      <c r="D9" s="352"/>
      <c r="E9" s="347" t="s">
        <v>1408</v>
      </c>
      <c r="F9" s="357">
        <f ca="1">INDIRECT("'数据-取费表'!w"&amp;$G$1)</f>
        <v>0</v>
      </c>
      <c r="G9" s="1851"/>
      <c r="H9" s="349"/>
      <c r="I9" s="3238"/>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3032</v>
      </c>
      <c r="E10" s="358" t="s">
        <v>1410</v>
      </c>
      <c r="F10" s="1366"/>
      <c r="G10" s="1851"/>
      <c r="H10" s="1291" t="s">
        <v>1039</v>
      </c>
      <c r="I10" s="1823" t="s">
        <v>1409</v>
      </c>
      <c r="J10" s="346">
        <f ca="1">ROUND(IF(M10="押一",J6/12*M11,IF(M10="押二",J6/12*2*M11,IF(M10="押三",J6/12*3*M11,J11*M11))),0)</f>
        <v>0</v>
      </c>
      <c r="K10" s="1835" t="s">
        <v>3034</v>
      </c>
      <c r="L10" s="358" t="s">
        <v>1410</v>
      </c>
      <c r="M10" s="1366"/>
    </row>
    <row r="11" spans="1:37" ht="18" customHeight="1">
      <c r="A11" s="353"/>
      <c r="B11" s="1825" t="s">
        <v>1601</v>
      </c>
      <c r="C11" s="1178"/>
      <c r="D11" s="352"/>
      <c r="E11" s="358" t="s">
        <v>1411</v>
      </c>
      <c r="F11" s="359">
        <f ca="1">'数据-取费表'!B39</f>
        <v>1.4999999999999999E-2</v>
      </c>
      <c r="G11" s="1851"/>
      <c r="H11" s="1299"/>
      <c r="I11" s="1825" t="s">
        <v>1602</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1" t="s">
        <v>1034</v>
      </c>
      <c r="B14" s="347" t="s">
        <v>1416</v>
      </c>
      <c r="C14" s="363">
        <f ca="1">ROUND(INDIRECT("'数据-取费表'!l"&amp;$G$1)*F43+'数据-取费表'!L14*INDIRECT("'数据-取费表'!S"&amp;$G$1),0)</f>
        <v>0</v>
      </c>
      <c r="D14" s="1800" t="s">
        <v>1417</v>
      </c>
      <c r="E14" s="1794"/>
      <c r="F14" s="364"/>
      <c r="G14" s="1851"/>
      <c r="H14" s="1201" t="s">
        <v>1035</v>
      </c>
      <c r="I14" s="347" t="s">
        <v>1418</v>
      </c>
      <c r="J14" s="24">
        <f ca="1">C29</f>
        <v>0</v>
      </c>
      <c r="K14" s="15"/>
      <c r="L14" s="979"/>
      <c r="M14" s="980"/>
    </row>
    <row r="15" spans="1:37" s="1858" customFormat="1" ht="18" customHeight="1" thickBot="1">
      <c r="A15" s="1201"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1" t="s">
        <v>1390</v>
      </c>
      <c r="B17" s="347" t="s">
        <v>1425</v>
      </c>
      <c r="C17" s="24">
        <f ca="1">ROUND(F17*(F43+INDIRECT("'数据-取费表'!S"&amp;$G$1)),0)</f>
        <v>0</v>
      </c>
      <c r="D17" s="347" t="s">
        <v>1426</v>
      </c>
      <c r="E17" s="347" t="s">
        <v>1427</v>
      </c>
      <c r="F17" s="26">
        <f>'数据-取费表'!B35</f>
        <v>200</v>
      </c>
      <c r="G17" s="1854"/>
      <c r="H17" s="1201"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0</v>
      </c>
      <c r="D18" s="347" t="s">
        <v>1420</v>
      </c>
      <c r="E18" s="347" t="s">
        <v>1421</v>
      </c>
      <c r="F18" s="367">
        <f>'数据-取费表'!B36</f>
        <v>1.4999999999999999E-2</v>
      </c>
      <c r="G18" s="1854"/>
      <c r="H18" s="1201"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0</v>
      </c>
      <c r="D19" s="140" t="s">
        <v>1435</v>
      </c>
      <c r="E19" s="1818"/>
      <c r="F19" s="26"/>
      <c r="G19" s="1851"/>
      <c r="H19" s="1201"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1" t="s">
        <v>1039</v>
      </c>
      <c r="B20" s="347" t="s">
        <v>1438</v>
      </c>
      <c r="C20" s="24">
        <f ca="1">ROUND(C19*F20,0)</f>
        <v>0</v>
      </c>
      <c r="D20" s="369" t="s">
        <v>1439</v>
      </c>
      <c r="E20" s="347" t="s">
        <v>1421</v>
      </c>
      <c r="F20" s="367">
        <f>'数据-取费表'!B37</f>
        <v>1.4999999999999999E-2</v>
      </c>
      <c r="G20" s="1854"/>
      <c r="H20" s="1201"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1818"/>
      <c r="F22" s="26"/>
      <c r="G22" s="1851"/>
      <c r="H22" s="1201" t="s">
        <v>1039</v>
      </c>
      <c r="I22" s="347" t="s">
        <v>1448</v>
      </c>
      <c r="J22" s="24">
        <f ca="1">ROUND(J14*M22,0)</f>
        <v>0</v>
      </c>
      <c r="K22" s="1798" t="s">
        <v>1449</v>
      </c>
      <c r="L22" s="347" t="s">
        <v>1421</v>
      </c>
      <c r="M22" s="374">
        <f ca="1">INDIRECT("'数据-取费表'!Ak"&amp;$G$1)</f>
        <v>0</v>
      </c>
    </row>
    <row r="23" spans="1:37" s="1858" customFormat="1" ht="18" customHeight="1">
      <c r="A23" s="1201"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1"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1"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5"/>
      <c r="I30" s="746"/>
      <c r="J30" s="747"/>
      <c r="K30" s="748"/>
      <c r="L30" s="749"/>
      <c r="M30" s="750"/>
    </row>
    <row r="31" spans="1:37" ht="18" customHeight="1">
      <c r="A31" s="1201"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IF(项目基本情况!B11="自然人","——",ROUND(C5*F32/(1+'数据-取费表'!C42),0))</f>
        <v>0</v>
      </c>
      <c r="D32" s="1798"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0</v>
      </c>
      <c r="G35" s="1851"/>
      <c r="H35" s="745"/>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51"/>
      <c r="L36" s="1859"/>
      <c r="M36" s="1859"/>
    </row>
    <row r="37" spans="1:18" ht="18" customHeight="1">
      <c r="A37" s="1201" t="s">
        <v>1075</v>
      </c>
      <c r="B37" s="347" t="s">
        <v>1452</v>
      </c>
      <c r="C37" s="24">
        <f ca="1">ROUND(C13*F37,0)</f>
        <v>0</v>
      </c>
      <c r="D37" s="1798" t="s">
        <v>1453</v>
      </c>
      <c r="E37" s="347" t="s">
        <v>1454</v>
      </c>
      <c r="F37" s="376">
        <f ca="1">INDIRECT("'数据-取费表'!Al"&amp;$G$1)</f>
        <v>0</v>
      </c>
      <c r="G37" s="1851"/>
      <c r="H37" s="1859"/>
      <c r="I37" s="1860"/>
      <c r="J37" s="1861"/>
      <c r="K37" s="751"/>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5" t="s">
        <v>1396</v>
      </c>
      <c r="B47" s="1197" t="s">
        <v>1397</v>
      </c>
      <c r="C47" s="1197" t="s">
        <v>1398</v>
      </c>
      <c r="D47" s="1197" t="s">
        <v>1399</v>
      </c>
      <c r="E47" s="1279" t="s">
        <v>1400</v>
      </c>
      <c r="F47" s="1280"/>
      <c r="G47" s="792"/>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1"/>
      <c r="G48" s="792"/>
      <c r="H48" s="793"/>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4" t="s">
        <v>1136</v>
      </c>
      <c r="B49" s="1829" t="s">
        <v>1489</v>
      </c>
      <c r="C49" s="1364">
        <f ca="1">ROUND(F49*F51*F50*(1-F52),0)</f>
        <v>0</v>
      </c>
      <c r="D49" s="1276" t="s">
        <v>1404</v>
      </c>
      <c r="E49" s="1830" t="s">
        <v>1490</v>
      </c>
      <c r="F49" s="1281"/>
      <c r="G49" s="1891"/>
      <c r="H49" s="793"/>
      <c r="I49" s="1887" t="s">
        <v>1533</v>
      </c>
      <c r="J49" s="1892"/>
      <c r="K49" s="1889" t="s">
        <v>1534</v>
      </c>
      <c r="L49" s="1893"/>
      <c r="O49" s="1894" t="s">
        <v>1042</v>
      </c>
      <c r="P49" s="1885" t="s">
        <v>1535</v>
      </c>
      <c r="Q49" s="1886">
        <f ca="1">C29</f>
        <v>0</v>
      </c>
      <c r="R49" s="1886" t="s">
        <v>1528</v>
      </c>
    </row>
    <row r="50" spans="1:18" s="1842" customFormat="1" ht="13.5" thickBot="1">
      <c r="A50" s="1195"/>
      <c r="B50" s="1198"/>
      <c r="C50" s="1199"/>
      <c r="D50" s="1172"/>
      <c r="E50" s="1277" t="s">
        <v>1406</v>
      </c>
      <c r="F50" s="1278">
        <f ca="1">F7</f>
        <v>0</v>
      </c>
      <c r="H50" s="793"/>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6"/>
      <c r="B51" s="1198"/>
      <c r="C51" s="1199"/>
      <c r="D51" s="1172"/>
      <c r="E51" s="1200"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6"/>
      <c r="B52" s="1198"/>
      <c r="C52" s="1199"/>
      <c r="D52" s="1172"/>
      <c r="E52" s="1200"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3035</v>
      </c>
      <c r="E53" s="358" t="s">
        <v>1410</v>
      </c>
      <c r="F53" s="1366"/>
      <c r="I53" s="1905" t="s">
        <v>1546</v>
      </c>
      <c r="J53" s="1906" t="b">
        <f>IF(M47="住宅",J51,IF(D1="——",MIN(J51,L48),IF(D1="在建（套用方法）",MIN(J51,L48-'数据-取费表'!B24),IF(D1="土地（套用方法）",MIN(J51,L48-'数据-取费表'!B20)))))</f>
        <v>0</v>
      </c>
      <c r="K53" s="3239" t="s">
        <v>1547</v>
      </c>
      <c r="L53" s="3240"/>
      <c r="O53" s="1884" t="s">
        <v>1046</v>
      </c>
      <c r="P53" s="1885" t="s">
        <v>1548</v>
      </c>
      <c r="Q53" s="1886" t="e">
        <f ca="1">Q47+Q48</f>
        <v>#DIV/0!</v>
      </c>
      <c r="R53" s="1886" t="s">
        <v>1047</v>
      </c>
    </row>
    <row r="54" spans="1:18" s="1842" customFormat="1" ht="13.5" thickBot="1">
      <c r="A54" s="1194"/>
      <c r="B54" s="1941" t="s">
        <v>1602</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6">
        <v>2</v>
      </c>
      <c r="B56" s="1177"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69"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7" t="s">
        <v>1423</v>
      </c>
      <c r="C58" s="361">
        <f ca="1">ROUND(C59+C64+C65+C66,0)</f>
        <v>0</v>
      </c>
      <c r="D58" s="1179" t="s">
        <v>1424</v>
      </c>
      <c r="E58" s="1180"/>
      <c r="F58" s="1181"/>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ROUND(IF(项目基本情况!B11="自然人",C48*F59,C60+C61+C62),0)</f>
        <v>0</v>
      </c>
      <c r="D59" s="1182" t="s">
        <v>1429</v>
      </c>
      <c r="E59" s="1183"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1" t="s">
        <v>1034</v>
      </c>
      <c r="B60" s="1169" t="s">
        <v>1432</v>
      </c>
      <c r="C60" s="24">
        <f ca="1">IF(项目基本情况!B11="自然人","——",ROUND(C48*F60/(1+'数据-取费表'!C42),0))</f>
        <v>0</v>
      </c>
      <c r="D60" s="1183" t="s">
        <v>1433</v>
      </c>
      <c r="E60" s="1169"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1" t="s">
        <v>1491</v>
      </c>
      <c r="B61" s="1169" t="s">
        <v>1492</v>
      </c>
      <c r="C61" s="24">
        <f ca="1">IF(项目基本情况!B11="自然人","——",IF(D61="按租金收入计税",ROUND(C48*F61,0),IF(D61="按房产原值计税",ROUND(C57*F61*0.7,0),INDIRECT("'数据-取费表'!Aj"&amp;$G$1))))</f>
        <v>0</v>
      </c>
      <c r="D61" s="1828" t="s">
        <v>1437</v>
      </c>
      <c r="E61" s="1169"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1" t="s">
        <v>1494</v>
      </c>
      <c r="B62" s="1168" t="s">
        <v>1495</v>
      </c>
      <c r="C62" s="25">
        <f ca="1">IF(项目基本情况!B11="自然人","——",ROUND(F62*F63,0))</f>
        <v>0</v>
      </c>
      <c r="D62" s="1184" t="s">
        <v>1496</v>
      </c>
      <c r="E62" s="1169"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5"/>
      <c r="C63" s="29"/>
      <c r="D63" s="1185"/>
      <c r="E63" s="1169"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1" t="s">
        <v>1499</v>
      </c>
      <c r="B64" s="1169" t="s">
        <v>1500</v>
      </c>
      <c r="C64" s="24">
        <f ca="1">ROUND(C57*F64,0)</f>
        <v>0</v>
      </c>
      <c r="D64" s="1183" t="s">
        <v>1501</v>
      </c>
      <c r="E64" s="1169"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ROUND(C56*F65,0)</f>
        <v>0</v>
      </c>
      <c r="D65" s="1183" t="s">
        <v>1453</v>
      </c>
      <c r="E65" s="1169"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1" t="s">
        <v>1503</v>
      </c>
      <c r="B66" s="1169" t="s">
        <v>1438</v>
      </c>
      <c r="C66" s="24">
        <f ca="1">ROUND(C48*F66,0)</f>
        <v>0</v>
      </c>
      <c r="D66" s="1183" t="s">
        <v>1504</v>
      </c>
      <c r="E66" s="1169" t="s">
        <v>1421</v>
      </c>
      <c r="F66" s="357">
        <f t="shared" ca="1" si="0"/>
        <v>0</v>
      </c>
      <c r="O66" s="1884" t="s">
        <v>1041</v>
      </c>
      <c r="P66" s="1885" t="s">
        <v>1557</v>
      </c>
      <c r="Q66" s="1886" t="e">
        <f ca="1">L60</f>
        <v>#DIV/0!</v>
      </c>
      <c r="R66" s="1886" t="s">
        <v>1580</v>
      </c>
    </row>
    <row r="67" spans="1:18" s="1842" customFormat="1" ht="16.5" thickBot="1">
      <c r="A67" s="1176" t="s">
        <v>1031</v>
      </c>
      <c r="B67" s="1186" t="s">
        <v>1462</v>
      </c>
      <c r="C67" s="361">
        <f ca="1">C48-C58</f>
        <v>0</v>
      </c>
      <c r="D67" s="1182" t="s">
        <v>1463</v>
      </c>
      <c r="E67" s="1187"/>
      <c r="F67" s="1188"/>
      <c r="O67" s="1894" t="s">
        <v>1042</v>
      </c>
      <c r="P67" s="1885" t="s">
        <v>1561</v>
      </c>
      <c r="Q67" s="1933">
        <f ca="1">L51</f>
        <v>0</v>
      </c>
      <c r="R67" s="1886" t="s">
        <v>1581</v>
      </c>
    </row>
    <row r="68" spans="1:18" s="1842" customFormat="1" ht="16.5" thickBot="1">
      <c r="A68" s="1166" t="s">
        <v>1032</v>
      </c>
      <c r="B68" s="1167" t="s">
        <v>1484</v>
      </c>
      <c r="C68" s="346" t="e">
        <f ca="1">ROUND(C67*(1-((1+F70)/(1+F68))^F69)/(F68-F70),0)</f>
        <v>#DIV/0!</v>
      </c>
      <c r="D68" s="1184" t="s">
        <v>1468</v>
      </c>
      <c r="E68" s="1169" t="s">
        <v>1469</v>
      </c>
      <c r="F68" s="357">
        <f ca="1">F40</f>
        <v>0</v>
      </c>
      <c r="O68" s="1894" t="s">
        <v>1043</v>
      </c>
      <c r="P68" s="1934" t="s">
        <v>1582</v>
      </c>
      <c r="Q68" s="1886">
        <f ca="1">ROUND(Q69-Q70*Q71,0)</f>
        <v>0</v>
      </c>
      <c r="R68" s="1886" t="s">
        <v>1051</v>
      </c>
    </row>
    <row r="69" spans="1:18" s="1842" customFormat="1" ht="13.5" thickBot="1">
      <c r="A69" s="1170"/>
      <c r="B69" s="1171"/>
      <c r="C69" s="351"/>
      <c r="D69" s="1189" t="s">
        <v>1472</v>
      </c>
      <c r="E69" s="1169" t="s">
        <v>1473</v>
      </c>
      <c r="F69" s="379">
        <f ca="1">F41</f>
        <v>0</v>
      </c>
      <c r="O69" s="1894" t="s">
        <v>1048</v>
      </c>
      <c r="P69" s="1934" t="s">
        <v>1583</v>
      </c>
      <c r="Q69" s="1886">
        <f ca="1">C39</f>
        <v>0</v>
      </c>
      <c r="R69" s="1886" t="s">
        <v>1528</v>
      </c>
    </row>
    <row r="70" spans="1:18" s="1842" customFormat="1" ht="13.5" thickBot="1">
      <c r="A70" s="1173"/>
      <c r="B70" s="1174"/>
      <c r="C70" s="355"/>
      <c r="D70" s="1185"/>
      <c r="E70" s="1169" t="s">
        <v>1476</v>
      </c>
      <c r="F70" s="1275">
        <f ca="1">F42</f>
        <v>0</v>
      </c>
      <c r="O70" s="1894" t="s">
        <v>1049</v>
      </c>
      <c r="P70" s="1934" t="s">
        <v>1584</v>
      </c>
      <c r="Q70" s="1886">
        <f ca="1">C13</f>
        <v>0</v>
      </c>
      <c r="R70" s="1886" t="s">
        <v>1528</v>
      </c>
    </row>
    <row r="71" spans="1:18" s="1842" customFormat="1" ht="13.5" thickBot="1">
      <c r="A71" s="1190" t="s">
        <v>1033</v>
      </c>
      <c r="B71" s="1191" t="s">
        <v>1486</v>
      </c>
      <c r="C71" s="382" t="e">
        <f ca="1">ROUND(C68/F71,0)</f>
        <v>#DIV/0!</v>
      </c>
      <c r="D71" s="1192" t="s">
        <v>1487</v>
      </c>
      <c r="E71" s="1193" t="s">
        <v>1488</v>
      </c>
      <c r="F71" s="385">
        <f ca="1">F43</f>
        <v>0</v>
      </c>
      <c r="O71" s="1894" t="s">
        <v>1050</v>
      </c>
      <c r="P71" s="1934" t="s">
        <v>1585</v>
      </c>
      <c r="Q71" s="1897">
        <f ca="1">C76</f>
        <v>0</v>
      </c>
      <c r="R71" s="1886"/>
    </row>
    <row r="72" spans="1:18" s="1842" customFormat="1" ht="13.5" thickBot="1">
      <c r="B72" s="796"/>
      <c r="C72" s="796"/>
      <c r="O72" s="1894" t="s">
        <v>1044</v>
      </c>
      <c r="P72" s="1885" t="s">
        <v>1563</v>
      </c>
      <c r="Q72" s="1897">
        <f>L52</f>
        <v>0</v>
      </c>
      <c r="R72" s="1886"/>
    </row>
    <row r="73" spans="1:18" ht="16.5" thickBot="1">
      <c r="A73" s="1842"/>
      <c r="B73" s="796"/>
      <c r="C73" s="796"/>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301" t="s">
        <v>1079</v>
      </c>
      <c r="E2" s="1301" t="s">
        <v>1080</v>
      </c>
      <c r="F2" s="1301" t="s">
        <v>1081</v>
      </c>
      <c r="G2" s="1301" t="s">
        <v>1082</v>
      </c>
      <c r="H2" s="1301" t="s">
        <v>1083</v>
      </c>
      <c r="I2" s="1302" t="s">
        <v>1084</v>
      </c>
    </row>
    <row r="3" spans="1:9">
      <c r="A3" s="3246"/>
      <c r="B3" s="3247" t="s">
        <v>1085</v>
      </c>
      <c r="C3" s="3247"/>
      <c r="D3" s="1303"/>
      <c r="E3" s="1301"/>
      <c r="F3" s="1304"/>
      <c r="G3" s="1304"/>
      <c r="H3" s="1305"/>
      <c r="I3" s="1306">
        <f>ROUND(D3*E3*F3*G3*H3/10000,0)</f>
        <v>0</v>
      </c>
    </row>
    <row r="4" spans="1:9">
      <c r="A4" s="3246"/>
      <c r="B4" s="3247" t="s">
        <v>1086</v>
      </c>
      <c r="C4" s="3247"/>
      <c r="D4" s="1303"/>
      <c r="E4" s="1301"/>
      <c r="F4" s="1304"/>
      <c r="G4" s="1304"/>
      <c r="H4" s="1305"/>
      <c r="I4" s="1306">
        <f t="shared" ref="I4:I9" si="0">ROUND(D4*E4*F4*G4*H4/10000,0)</f>
        <v>0</v>
      </c>
    </row>
    <row r="5" spans="1:9">
      <c r="A5" s="3246"/>
      <c r="B5" s="3247" t="s">
        <v>1087</v>
      </c>
      <c r="C5" s="3247"/>
      <c r="D5" s="1303"/>
      <c r="E5" s="1301"/>
      <c r="F5" s="1304"/>
      <c r="G5" s="1304"/>
      <c r="H5" s="1305"/>
      <c r="I5" s="1306">
        <f t="shared" si="0"/>
        <v>0</v>
      </c>
    </row>
    <row r="6" spans="1:9">
      <c r="A6" s="3246"/>
      <c r="B6" s="3247" t="s">
        <v>1088</v>
      </c>
      <c r="C6" s="3247"/>
      <c r="D6" s="1303"/>
      <c r="E6" s="1301"/>
      <c r="F6" s="1304"/>
      <c r="G6" s="1304"/>
      <c r="H6" s="1305"/>
      <c r="I6" s="1306">
        <f t="shared" si="0"/>
        <v>0</v>
      </c>
    </row>
    <row r="7" spans="1:9">
      <c r="A7" s="3246"/>
      <c r="B7" s="3247" t="s">
        <v>1089</v>
      </c>
      <c r="C7" s="3247"/>
      <c r="D7" s="1303"/>
      <c r="E7" s="1301"/>
      <c r="F7" s="1304"/>
      <c r="G7" s="1304"/>
      <c r="H7" s="1305"/>
      <c r="I7" s="1306">
        <f t="shared" si="0"/>
        <v>0</v>
      </c>
    </row>
    <row r="8" spans="1:9">
      <c r="A8" s="3246"/>
      <c r="B8" s="3247" t="s">
        <v>1090</v>
      </c>
      <c r="C8" s="3247"/>
      <c r="D8" s="1303"/>
      <c r="E8" s="1301"/>
      <c r="F8" s="1304"/>
      <c r="G8" s="1304"/>
      <c r="H8" s="1305"/>
      <c r="I8" s="1306">
        <f t="shared" si="0"/>
        <v>0</v>
      </c>
    </row>
    <row r="9" spans="1:9">
      <c r="A9" s="3246"/>
      <c r="B9" s="3247" t="s">
        <v>1091</v>
      </c>
      <c r="C9" s="3247"/>
      <c r="D9" s="1303"/>
      <c r="E9" s="1301"/>
      <c r="F9" s="1304"/>
      <c r="G9" s="1304"/>
      <c r="H9" s="1305"/>
      <c r="I9" s="1306">
        <f t="shared" si="0"/>
        <v>0</v>
      </c>
    </row>
    <row r="10" spans="1:9">
      <c r="A10" s="3246"/>
      <c r="B10" s="3248" t="s">
        <v>1092</v>
      </c>
      <c r="C10" s="3248"/>
      <c r="D10" s="1307"/>
      <c r="E10" s="1307" t="e">
        <f>ROUND(D1*10000/D10/H9,0)</f>
        <v>#DIV/0!</v>
      </c>
      <c r="F10" s="1308"/>
      <c r="G10" s="1308"/>
      <c r="H10" s="1309"/>
      <c r="I10" s="1310">
        <f>SUM(I3:I9)</f>
        <v>0</v>
      </c>
    </row>
    <row r="11" spans="1:9" ht="14.25">
      <c r="A11" s="3246" t="s">
        <v>1093</v>
      </c>
      <c r="B11" s="3247" t="s">
        <v>1094</v>
      </c>
      <c r="C11" s="3247"/>
      <c r="D11" s="1303" t="s">
        <v>1095</v>
      </c>
      <c r="E11" s="1303" t="s">
        <v>1096</v>
      </c>
      <c r="F11" s="1304" t="s">
        <v>1097</v>
      </c>
      <c r="G11" s="1304" t="s">
        <v>1083</v>
      </c>
      <c r="H11" s="1311" t="s">
        <v>1098</v>
      </c>
      <c r="I11" s="1302" t="s">
        <v>1084</v>
      </c>
    </row>
    <row r="12" spans="1:9">
      <c r="A12" s="3246"/>
      <c r="B12" s="3247" t="s">
        <v>1099</v>
      </c>
      <c r="C12" s="3247"/>
      <c r="D12" s="1303"/>
      <c r="E12" s="1303"/>
      <c r="F12" s="1304"/>
      <c r="G12" s="1305"/>
      <c r="H12" s="1312"/>
      <c r="I12" s="1302">
        <f>ROUND(D12*E12*F12*G12/10000,0)</f>
        <v>0</v>
      </c>
    </row>
    <row r="13" spans="1:9">
      <c r="A13" s="3246"/>
      <c r="B13" s="3247" t="s">
        <v>1100</v>
      </c>
      <c r="C13" s="3247"/>
      <c r="D13" s="1303"/>
      <c r="E13" s="1303"/>
      <c r="F13" s="1304"/>
      <c r="G13" s="1305"/>
      <c r="H13" s="1312"/>
      <c r="I13" s="1302">
        <f>ROUND(D13*E13*F13*G13/10000,0)</f>
        <v>0</v>
      </c>
    </row>
    <row r="14" spans="1:9">
      <c r="A14" s="3246"/>
      <c r="B14" s="3247" t="s">
        <v>1101</v>
      </c>
      <c r="C14" s="3247"/>
      <c r="D14" s="1303"/>
      <c r="E14" s="1303"/>
      <c r="F14" s="1304"/>
      <c r="G14" s="1305"/>
      <c r="H14" s="1312"/>
      <c r="I14" s="1302">
        <f>ROUND(D14*E14*F14*G14/10000,0)</f>
        <v>0</v>
      </c>
    </row>
    <row r="15" spans="1:9">
      <c r="A15" s="3246"/>
      <c r="B15" s="3248" t="s">
        <v>1092</v>
      </c>
      <c r="C15" s="3248"/>
      <c r="D15" s="1307"/>
      <c r="E15" s="1307">
        <f>SUM(E12:E14)</f>
        <v>0</v>
      </c>
      <c r="F15" s="1308"/>
      <c r="G15" s="1305"/>
      <c r="H15" s="1312"/>
      <c r="I15" s="1313">
        <f>SUM(I12:I14)</f>
        <v>0</v>
      </c>
    </row>
    <row r="16" spans="1:9" ht="24">
      <c r="A16" s="3246" t="s">
        <v>1102</v>
      </c>
      <c r="B16" s="3247" t="s">
        <v>1103</v>
      </c>
      <c r="C16" s="3247"/>
      <c r="D16" s="1303" t="s">
        <v>1079</v>
      </c>
      <c r="E16" s="1314" t="s">
        <v>1104</v>
      </c>
      <c r="F16" s="1304" t="s">
        <v>1105</v>
      </c>
      <c r="G16" s="1305" t="s">
        <v>1083</v>
      </c>
      <c r="H16" s="1311" t="s">
        <v>1098</v>
      </c>
      <c r="I16" s="1302" t="s">
        <v>1084</v>
      </c>
    </row>
    <row r="17" spans="1:9" ht="14.25">
      <c r="A17" s="3246"/>
      <c r="B17" s="3247" t="s">
        <v>1106</v>
      </c>
      <c r="C17" s="3247"/>
      <c r="D17" s="1303"/>
      <c r="E17" s="1303"/>
      <c r="F17" s="1304"/>
      <c r="G17" s="1305"/>
      <c r="H17" s="1315"/>
      <c r="I17" s="1316">
        <f>ROUND(D17*E17*F17*G17/10000,0)</f>
        <v>0</v>
      </c>
    </row>
    <row r="18" spans="1:9" ht="14.25">
      <c r="A18" s="3246"/>
      <c r="B18" s="3247" t="s">
        <v>1107</v>
      </c>
      <c r="C18" s="3247"/>
      <c r="D18" s="1303"/>
      <c r="E18" s="1303"/>
      <c r="F18" s="1304"/>
      <c r="G18" s="1305"/>
      <c r="H18" s="1315"/>
      <c r="I18" s="1316">
        <f>ROUND(D18*E18*F18*G18/10000,0)</f>
        <v>0</v>
      </c>
    </row>
    <row r="19" spans="1:9" ht="14.25">
      <c r="A19" s="3246"/>
      <c r="B19" s="3247" t="s">
        <v>1108</v>
      </c>
      <c r="C19" s="3247"/>
      <c r="D19" s="1303"/>
      <c r="E19" s="1303"/>
      <c r="F19" s="1304"/>
      <c r="G19" s="1305"/>
      <c r="H19" s="1315"/>
      <c r="I19" s="1316">
        <f>ROUND(D19*E19*F19*G19/10000,0)</f>
        <v>0</v>
      </c>
    </row>
    <row r="20" spans="1:9">
      <c r="A20" s="3246"/>
      <c r="B20" s="3248" t="s">
        <v>1092</v>
      </c>
      <c r="C20" s="3248"/>
      <c r="D20" s="1307">
        <f>SUM(D17:D19)</f>
        <v>0</v>
      </c>
      <c r="E20" s="1307"/>
      <c r="F20" s="1308"/>
      <c r="G20" s="1305"/>
      <c r="H20" s="1312"/>
      <c r="I20" s="1313">
        <f>SUM(I17:I19)</f>
        <v>0</v>
      </c>
    </row>
    <row r="21" spans="1:9">
      <c r="A21" s="3246" t="s">
        <v>1109</v>
      </c>
      <c r="B21" s="3250"/>
      <c r="C21" s="3250"/>
      <c r="D21" s="3250"/>
      <c r="E21" s="3250"/>
      <c r="F21" s="3250"/>
      <c r="G21" s="3250"/>
      <c r="H21" s="1765">
        <v>0.1</v>
      </c>
      <c r="I21" s="1310">
        <f>ROUND(I10*H21,0)</f>
        <v>0</v>
      </c>
    </row>
    <row r="22" spans="1:9" ht="14.25">
      <c r="A22" s="3251" t="s">
        <v>1110</v>
      </c>
      <c r="B22" s="3252"/>
      <c r="C22" s="3253"/>
      <c r="D22" s="1317" t="s">
        <v>1111</v>
      </c>
      <c r="E22" s="1317" t="s">
        <v>1112</v>
      </c>
      <c r="F22" s="1318" t="s">
        <v>1113</v>
      </c>
      <c r="G22" s="1318" t="s">
        <v>1114</v>
      </c>
      <c r="H22" s="1311" t="s">
        <v>1115</v>
      </c>
      <c r="I22" s="1302" t="s">
        <v>1116</v>
      </c>
    </row>
    <row r="23" spans="1:9" ht="14.25" thickBot="1">
      <c r="A23" s="3254"/>
      <c r="B23" s="3255"/>
      <c r="C23" s="3256"/>
      <c r="D23" s="1319"/>
      <c r="E23" s="1319"/>
      <c r="F23" s="1319"/>
      <c r="G23" s="1320"/>
      <c r="H23" s="1321"/>
      <c r="I23" s="1322">
        <f>ROUND(E23*D23*F23*(1-G23)/10000,0)</f>
        <v>0</v>
      </c>
    </row>
    <row r="26" spans="1:9">
      <c r="A26" s="1323" t="s">
        <v>1117</v>
      </c>
      <c r="B26" s="1323"/>
      <c r="C26" s="1323"/>
      <c r="D26" s="1323"/>
      <c r="E26" s="3257">
        <f>C27-C30-C31-C32</f>
        <v>0</v>
      </c>
      <c r="F26" s="3257"/>
      <c r="G26" s="3257"/>
      <c r="H26" s="1737" t="s">
        <v>1340</v>
      </c>
    </row>
    <row r="27" spans="1:9">
      <c r="A27" s="1324">
        <v>1</v>
      </c>
      <c r="B27" s="1325" t="s">
        <v>1118</v>
      </c>
      <c r="C27" s="1325">
        <f>C28+C29</f>
        <v>0</v>
      </c>
      <c r="D27" s="1325"/>
      <c r="E27" s="3258"/>
      <c r="F27" s="3258"/>
      <c r="G27" s="3258"/>
    </row>
    <row r="28" spans="1:9">
      <c r="A28" s="1326" t="s">
        <v>1119</v>
      </c>
      <c r="B28" s="1325" t="s">
        <v>1120</v>
      </c>
      <c r="C28" s="1325"/>
      <c r="D28" s="1325"/>
      <c r="E28" s="3258"/>
      <c r="F28" s="3258"/>
      <c r="G28" s="325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9"/>
      <c r="F32" s="3249"/>
      <c r="G32" s="3249"/>
    </row>
    <row r="33" spans="1:7" hidden="1">
      <c r="A33" s="3259" t="s">
        <v>1129</v>
      </c>
      <c r="B33" s="3260"/>
      <c r="C33" s="3260"/>
      <c r="D33" s="3261"/>
      <c r="E33" s="3257"/>
      <c r="F33" s="3257"/>
      <c r="G33" s="3257"/>
    </row>
    <row r="34" spans="1:7" hidden="1">
      <c r="A34" s="1328">
        <v>1</v>
      </c>
      <c r="B34" s="1325" t="s">
        <v>1130</v>
      </c>
      <c r="C34" s="1325"/>
      <c r="D34" s="1325"/>
      <c r="E34" s="3258"/>
      <c r="F34" s="3258"/>
      <c r="G34" s="3258"/>
    </row>
    <row r="35" spans="1:7" hidden="1">
      <c r="A35" s="1328">
        <v>2</v>
      </c>
      <c r="B35" s="1325" t="s">
        <v>1131</v>
      </c>
      <c r="C35" s="1325"/>
      <c r="D35" s="1325"/>
      <c r="E35" s="3258"/>
      <c r="F35" s="3258"/>
      <c r="G35" s="3258"/>
    </row>
    <row r="36" spans="1:7" hidden="1">
      <c r="A36" s="1328">
        <v>3</v>
      </c>
      <c r="B36" s="1325" t="s">
        <v>1132</v>
      </c>
      <c r="C36" s="1325"/>
      <c r="D36" s="1325"/>
      <c r="E36" s="3258"/>
      <c r="F36" s="3258"/>
      <c r="G36" s="3258"/>
    </row>
    <row r="37" spans="1:7" hidden="1">
      <c r="A37" s="1328">
        <v>4</v>
      </c>
      <c r="B37" s="1325" t="s">
        <v>1133</v>
      </c>
      <c r="C37" s="1325"/>
      <c r="D37" s="1325"/>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2527</v>
      </c>
      <c r="D3" s="399">
        <f>IF(D1="",'数据-汇总表'!E3,SUMIF('数据-汇总表'!$C19:$C33,D1,'数据-汇总表'!$E19:$E33))</f>
        <v>28872.97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280" t="s">
        <v>2529</v>
      </c>
      <c r="D4" s="3281"/>
      <c r="E4" s="3282" t="s">
        <v>2530</v>
      </c>
      <c r="F4" s="3283"/>
      <c r="G4" s="3280" t="s">
        <v>2531</v>
      </c>
      <c r="H4" s="3281"/>
      <c r="I4" s="3280" t="s">
        <v>2532</v>
      </c>
      <c r="J4" s="3281"/>
      <c r="K4" s="2595" t="s">
        <v>2533</v>
      </c>
      <c r="L4" s="1130"/>
      <c r="M4" s="1131"/>
      <c r="N4" s="1131"/>
      <c r="O4" s="1131"/>
      <c r="P4" s="3284" t="s">
        <v>2534</v>
      </c>
      <c r="Q4" s="3285"/>
      <c r="R4" s="3267" t="s">
        <v>2530</v>
      </c>
      <c r="S4" s="3268"/>
      <c r="T4" s="3267" t="s">
        <v>2531</v>
      </c>
      <c r="U4" s="3268"/>
      <c r="V4" s="3292" t="s">
        <v>2532</v>
      </c>
      <c r="W4" s="3292"/>
      <c r="X4" s="1813"/>
      <c r="Y4" s="3267" t="s">
        <v>2534</v>
      </c>
      <c r="Z4" s="3268"/>
      <c r="AA4" s="3262" t="s">
        <v>2530</v>
      </c>
      <c r="AB4" s="3262" t="s">
        <v>2531</v>
      </c>
      <c r="AC4" s="3262" t="s">
        <v>2532</v>
      </c>
    </row>
    <row r="5" spans="1:29" ht="15">
      <c r="A5" s="404"/>
      <c r="B5" s="405"/>
      <c r="C5" s="3273" t="s">
        <v>2535</v>
      </c>
      <c r="D5" s="3274"/>
      <c r="E5" s="3271" t="s">
        <v>2536</v>
      </c>
      <c r="F5" s="3272"/>
      <c r="G5" s="3273" t="s">
        <v>2537</v>
      </c>
      <c r="H5" s="3274"/>
      <c r="I5" s="3273" t="s">
        <v>2538</v>
      </c>
      <c r="J5" s="3274"/>
      <c r="K5" s="2596"/>
      <c r="L5" s="1130"/>
      <c r="M5" s="1131"/>
      <c r="N5" s="1131"/>
      <c r="O5" s="1131"/>
      <c r="P5" s="3286"/>
      <c r="Q5" s="3287"/>
      <c r="R5" s="3269"/>
      <c r="S5" s="3270"/>
      <c r="T5" s="3269"/>
      <c r="U5" s="3270"/>
      <c r="V5" s="3292"/>
      <c r="W5" s="3292"/>
      <c r="X5" s="1813"/>
      <c r="Y5" s="3269"/>
      <c r="Z5" s="3270"/>
      <c r="AA5" s="3263"/>
      <c r="AB5" s="3263"/>
      <c r="AC5" s="3263"/>
    </row>
    <row r="6" spans="1:29" ht="15.75" thickBot="1">
      <c r="A6" s="406"/>
      <c r="B6" s="407"/>
      <c r="C6" s="3275" t="s">
        <v>2539</v>
      </c>
      <c r="D6" s="3276"/>
      <c r="E6" s="3277" t="s">
        <v>2539</v>
      </c>
      <c r="F6" s="3278"/>
      <c r="G6" s="3275" t="s">
        <v>2539</v>
      </c>
      <c r="H6" s="3276"/>
      <c r="I6" s="3275" t="s">
        <v>2539</v>
      </c>
      <c r="J6" s="3276"/>
      <c r="K6" s="2596" t="s">
        <v>2540</v>
      </c>
      <c r="L6" s="1130"/>
      <c r="M6" s="1131"/>
      <c r="N6" s="1131"/>
      <c r="O6" s="1131"/>
      <c r="P6" s="3288"/>
      <c r="Q6" s="3289"/>
      <c r="R6" s="3269"/>
      <c r="S6" s="3270"/>
      <c r="T6" s="3290"/>
      <c r="U6" s="3291"/>
      <c r="V6" s="3292"/>
      <c r="W6" s="3292"/>
      <c r="X6" s="1813"/>
      <c r="Y6" s="3290"/>
      <c r="Z6" s="3291"/>
      <c r="AA6" s="3264"/>
      <c r="AB6" s="3264"/>
      <c r="AC6" s="3264"/>
    </row>
    <row r="7" spans="1:29" s="117" customFormat="1" ht="15.75" thickBot="1">
      <c r="A7" s="408" t="s">
        <v>2541</v>
      </c>
      <c r="B7" s="409"/>
      <c r="C7" s="410">
        <f>'数据-取费表'!B2</f>
        <v>43222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65" t="s">
        <v>2542</v>
      </c>
      <c r="Q7" s="3293"/>
      <c r="R7" s="770" t="s">
        <v>23</v>
      </c>
      <c r="S7" s="771">
        <f t="shared" ref="S7:S15" si="0">F7</f>
        <v>0</v>
      </c>
      <c r="T7" s="770" t="s">
        <v>23</v>
      </c>
      <c r="U7" s="771">
        <f t="shared" ref="U7:U15" si="1">H7</f>
        <v>0</v>
      </c>
      <c r="V7" s="770" t="s">
        <v>23</v>
      </c>
      <c r="W7" s="771">
        <f t="shared" ref="W7:W15" si="2">J7</f>
        <v>0</v>
      </c>
      <c r="X7" s="772"/>
      <c r="Y7" s="3265" t="s">
        <v>2542</v>
      </c>
      <c r="Z7" s="3266"/>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65" t="s">
        <v>2545</v>
      </c>
      <c r="Q8" s="3266"/>
      <c r="R8" s="770" t="s">
        <v>23</v>
      </c>
      <c r="S8" s="771">
        <f t="shared" si="0"/>
        <v>0</v>
      </c>
      <c r="T8" s="770" t="s">
        <v>23</v>
      </c>
      <c r="U8" s="771">
        <f t="shared" si="1"/>
        <v>0</v>
      </c>
      <c r="V8" s="770" t="s">
        <v>23</v>
      </c>
      <c r="W8" s="771">
        <f t="shared" si="2"/>
        <v>0</v>
      </c>
      <c r="X8" s="772"/>
      <c r="Y8" s="3265" t="s">
        <v>2545</v>
      </c>
      <c r="Z8" s="3266"/>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79" t="s">
        <v>2548</v>
      </c>
      <c r="Q9" s="1795" t="str">
        <f t="shared" ref="Q9:Q15" si="6">B9</f>
        <v>用途</v>
      </c>
      <c r="R9" s="770" t="s">
        <v>17</v>
      </c>
      <c r="S9" s="771">
        <f t="shared" si="0"/>
        <v>100</v>
      </c>
      <c r="T9" s="770" t="s">
        <v>17</v>
      </c>
      <c r="U9" s="771">
        <f t="shared" si="1"/>
        <v>100</v>
      </c>
      <c r="V9" s="770" t="s">
        <v>17</v>
      </c>
      <c r="W9" s="771">
        <f t="shared" si="2"/>
        <v>100</v>
      </c>
      <c r="X9" s="772"/>
      <c r="Y9" s="309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9"/>
      <c r="Q10" s="1795" t="str">
        <f t="shared" si="6"/>
        <v>土地使用年限（年）</v>
      </c>
      <c r="R10" s="770" t="s">
        <v>17</v>
      </c>
      <c r="S10" s="771">
        <f t="shared" si="0"/>
        <v>100</v>
      </c>
      <c r="T10" s="770" t="s">
        <v>17</v>
      </c>
      <c r="U10" s="771">
        <f t="shared" si="1"/>
        <v>100</v>
      </c>
      <c r="V10" s="770" t="s">
        <v>17</v>
      </c>
      <c r="W10" s="771">
        <f t="shared" si="2"/>
        <v>100</v>
      </c>
      <c r="X10" s="772"/>
      <c r="Y10" s="309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9"/>
      <c r="Q11" s="1795" t="str">
        <f t="shared" si="6"/>
        <v>容积率</v>
      </c>
      <c r="R11" s="770" t="s">
        <v>21</v>
      </c>
      <c r="S11" s="771" t="e">
        <f t="shared" si="0"/>
        <v>#N/A</v>
      </c>
      <c r="T11" s="770" t="s">
        <v>21</v>
      </c>
      <c r="U11" s="771" t="e">
        <f t="shared" si="1"/>
        <v>#N/A</v>
      </c>
      <c r="V11" s="770" t="s">
        <v>21</v>
      </c>
      <c r="W11" s="771" t="e">
        <f t="shared" si="2"/>
        <v>#N/A</v>
      </c>
      <c r="X11" s="772"/>
      <c r="Y11" s="309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79"/>
      <c r="Q12" s="1795">
        <f t="shared" si="6"/>
        <v>111</v>
      </c>
      <c r="R12" s="770" t="s">
        <v>21</v>
      </c>
      <c r="S12" s="771">
        <f t="shared" si="0"/>
        <v>100</v>
      </c>
      <c r="T12" s="770" t="s">
        <v>21</v>
      </c>
      <c r="U12" s="771">
        <f t="shared" si="1"/>
        <v>100</v>
      </c>
      <c r="V12" s="770" t="s">
        <v>21</v>
      </c>
      <c r="W12" s="771">
        <f t="shared" si="2"/>
        <v>100</v>
      </c>
      <c r="X12" s="772"/>
      <c r="Y12" s="309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79"/>
      <c r="Q13" s="1795">
        <f t="shared" si="6"/>
        <v>111</v>
      </c>
      <c r="R13" s="770" t="s">
        <v>21</v>
      </c>
      <c r="S13" s="771">
        <f t="shared" si="0"/>
        <v>100</v>
      </c>
      <c r="T13" s="770" t="s">
        <v>21</v>
      </c>
      <c r="U13" s="771">
        <f t="shared" si="1"/>
        <v>100</v>
      </c>
      <c r="V13" s="770" t="s">
        <v>21</v>
      </c>
      <c r="W13" s="771">
        <f t="shared" si="2"/>
        <v>100</v>
      </c>
      <c r="X13" s="772"/>
      <c r="Y13" s="309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79"/>
      <c r="Q14" s="1795">
        <f t="shared" si="6"/>
        <v>111</v>
      </c>
      <c r="R14" s="770" t="s">
        <v>21</v>
      </c>
      <c r="S14" s="771">
        <f t="shared" si="0"/>
        <v>100</v>
      </c>
      <c r="T14" s="770" t="s">
        <v>21</v>
      </c>
      <c r="U14" s="771">
        <f t="shared" si="1"/>
        <v>100</v>
      </c>
      <c r="V14" s="770" t="s">
        <v>21</v>
      </c>
      <c r="W14" s="771">
        <f t="shared" si="2"/>
        <v>100</v>
      </c>
      <c r="X14" s="772"/>
      <c r="Y14" s="3091"/>
      <c r="Z14" s="55">
        <f t="shared" si="7"/>
        <v>111</v>
      </c>
      <c r="AA14" s="773">
        <f t="shared" si="3"/>
        <v>1</v>
      </c>
      <c r="AB14" s="773">
        <f t="shared" si="4"/>
        <v>1</v>
      </c>
      <c r="AC14" s="773">
        <f t="shared" si="5"/>
        <v>1</v>
      </c>
    </row>
    <row r="15" spans="1:29" ht="99.75">
      <c r="A15" s="440" t="s">
        <v>2552</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6" t="s">
        <v>2553</v>
      </c>
      <c r="Q15" s="1810" t="str">
        <f t="shared" si="6"/>
        <v>居住社区成熟度</v>
      </c>
      <c r="R15" s="774" t="s">
        <v>21</v>
      </c>
      <c r="S15" s="775">
        <f t="shared" si="0"/>
        <v>100</v>
      </c>
      <c r="T15" s="774" t="s">
        <v>21</v>
      </c>
      <c r="U15" s="775">
        <f t="shared" si="1"/>
        <v>100</v>
      </c>
      <c r="V15" s="774" t="s">
        <v>21</v>
      </c>
      <c r="W15" s="775">
        <f t="shared" si="2"/>
        <v>100</v>
      </c>
      <c r="X15" s="1813"/>
      <c r="Y15" s="3299"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307"/>
      <c r="Q16" s="1810"/>
      <c r="R16" s="774"/>
      <c r="S16" s="775"/>
      <c r="T16" s="774"/>
      <c r="U16" s="775"/>
      <c r="V16" s="774"/>
      <c r="W16" s="775"/>
      <c r="X16" s="1813"/>
      <c r="Y16" s="3300"/>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7"/>
      <c r="Q17" s="1810" t="str">
        <f>B17</f>
        <v>交通便捷度</v>
      </c>
      <c r="R17" s="774" t="s">
        <v>21</v>
      </c>
      <c r="S17" s="775">
        <f>F17</f>
        <v>100</v>
      </c>
      <c r="T17" s="774" t="s">
        <v>21</v>
      </c>
      <c r="U17" s="775">
        <f>H17</f>
        <v>100</v>
      </c>
      <c r="V17" s="774" t="s">
        <v>21</v>
      </c>
      <c r="W17" s="775">
        <f>J17</f>
        <v>100</v>
      </c>
      <c r="X17" s="1813"/>
      <c r="Y17" s="330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307"/>
      <c r="Q18" s="1810"/>
      <c r="R18" s="774"/>
      <c r="S18" s="775"/>
      <c r="T18" s="774"/>
      <c r="U18" s="775"/>
      <c r="V18" s="774"/>
      <c r="W18" s="775"/>
      <c r="X18" s="1813"/>
      <c r="Y18" s="3300"/>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7"/>
      <c r="Q19" s="1810" t="str">
        <f>B19</f>
        <v>公共配套设施</v>
      </c>
      <c r="R19" s="774" t="s">
        <v>21</v>
      </c>
      <c r="S19" s="775">
        <f>F19</f>
        <v>100</v>
      </c>
      <c r="T19" s="774" t="s">
        <v>21</v>
      </c>
      <c r="U19" s="775">
        <f>H19</f>
        <v>100</v>
      </c>
      <c r="V19" s="774" t="s">
        <v>21</v>
      </c>
      <c r="W19" s="775">
        <f>J19</f>
        <v>100</v>
      </c>
      <c r="X19" s="1813"/>
      <c r="Y19" s="330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307"/>
      <c r="Q20" s="1810"/>
      <c r="R20" s="774"/>
      <c r="S20" s="775"/>
      <c r="T20" s="774"/>
      <c r="U20" s="775"/>
      <c r="V20" s="774"/>
      <c r="W20" s="775"/>
      <c r="X20" s="1813"/>
      <c r="Y20" s="3300"/>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7"/>
      <c r="Q21" s="1810" t="str">
        <f>B21</f>
        <v>基础设施水平</v>
      </c>
      <c r="R21" s="774" t="s">
        <v>17</v>
      </c>
      <c r="S21" s="775">
        <f>F21</f>
        <v>100</v>
      </c>
      <c r="T21" s="774" t="s">
        <v>17</v>
      </c>
      <c r="U21" s="775">
        <f>H21</f>
        <v>100</v>
      </c>
      <c r="V21" s="774" t="s">
        <v>17</v>
      </c>
      <c r="W21" s="775">
        <f>J21</f>
        <v>100</v>
      </c>
      <c r="X21" s="1813"/>
      <c r="Y21" s="330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307"/>
      <c r="Q22" s="1810"/>
      <c r="R22" s="774"/>
      <c r="S22" s="775"/>
      <c r="T22" s="774"/>
      <c r="U22" s="775"/>
      <c r="V22" s="774"/>
      <c r="W22" s="775"/>
      <c r="X22" s="1813"/>
      <c r="Y22" s="3300"/>
      <c r="Z22" s="1814"/>
      <c r="AA22" s="1811">
        <v>1</v>
      </c>
      <c r="AB22" s="1811">
        <v>1</v>
      </c>
      <c r="AC22" s="1811">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7"/>
      <c r="Q23" s="1810" t="str">
        <f>B23</f>
        <v>自然及人文环境</v>
      </c>
      <c r="R23" s="774" t="s">
        <v>21</v>
      </c>
      <c r="S23" s="775">
        <f>F23</f>
        <v>100</v>
      </c>
      <c r="T23" s="774" t="s">
        <v>21</v>
      </c>
      <c r="U23" s="775">
        <f>H23</f>
        <v>100</v>
      </c>
      <c r="V23" s="774" t="s">
        <v>21</v>
      </c>
      <c r="W23" s="775">
        <f>J23</f>
        <v>100</v>
      </c>
      <c r="X23" s="1813"/>
      <c r="Y23" s="330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307"/>
      <c r="Q24" s="1810"/>
      <c r="R24" s="774"/>
      <c r="S24" s="775"/>
      <c r="T24" s="774"/>
      <c r="U24" s="775"/>
      <c r="V24" s="774"/>
      <c r="W24" s="775"/>
      <c r="X24" s="1813"/>
      <c r="Y24" s="3300"/>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0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00"/>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07"/>
      <c r="Q26" s="1810" t="str">
        <f t="shared" si="11"/>
        <v>朝向</v>
      </c>
      <c r="R26" s="774" t="s">
        <v>21</v>
      </c>
      <c r="S26" s="775">
        <f t="shared" si="12"/>
        <v>100</v>
      </c>
      <c r="T26" s="774" t="s">
        <v>21</v>
      </c>
      <c r="U26" s="775">
        <f t="shared" si="13"/>
        <v>100</v>
      </c>
      <c r="V26" s="774" t="s">
        <v>21</v>
      </c>
      <c r="W26" s="775">
        <f t="shared" si="14"/>
        <v>100</v>
      </c>
      <c r="X26" s="1813"/>
      <c r="Y26" s="330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07"/>
      <c r="Q27" s="1795">
        <f t="shared" si="11"/>
        <v>111</v>
      </c>
      <c r="R27" s="770" t="s">
        <v>21</v>
      </c>
      <c r="S27" s="771">
        <f t="shared" si="12"/>
        <v>100</v>
      </c>
      <c r="T27" s="770" t="s">
        <v>21</v>
      </c>
      <c r="U27" s="771">
        <f t="shared" si="13"/>
        <v>100</v>
      </c>
      <c r="V27" s="770" t="s">
        <v>21</v>
      </c>
      <c r="W27" s="771">
        <f t="shared" si="14"/>
        <v>100</v>
      </c>
      <c r="X27" s="772"/>
      <c r="Y27" s="330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07"/>
      <c r="Q28" s="1810">
        <f t="shared" si="11"/>
        <v>111</v>
      </c>
      <c r="R28" s="774" t="s">
        <v>21</v>
      </c>
      <c r="S28" s="775">
        <f t="shared" si="12"/>
        <v>100</v>
      </c>
      <c r="T28" s="774" t="s">
        <v>21</v>
      </c>
      <c r="U28" s="775">
        <f t="shared" si="13"/>
        <v>100</v>
      </c>
      <c r="V28" s="774" t="s">
        <v>21</v>
      </c>
      <c r="W28" s="775">
        <f t="shared" si="14"/>
        <v>100</v>
      </c>
      <c r="X28" s="1813"/>
      <c r="Y28" s="330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07"/>
      <c r="Q29" s="1810">
        <f t="shared" si="11"/>
        <v>111</v>
      </c>
      <c r="R29" s="774" t="s">
        <v>21</v>
      </c>
      <c r="S29" s="775">
        <f t="shared" si="12"/>
        <v>100</v>
      </c>
      <c r="T29" s="774" t="s">
        <v>21</v>
      </c>
      <c r="U29" s="775">
        <f t="shared" si="13"/>
        <v>100</v>
      </c>
      <c r="V29" s="774" t="s">
        <v>21</v>
      </c>
      <c r="W29" s="775">
        <f t="shared" si="14"/>
        <v>100</v>
      </c>
      <c r="X29" s="1813"/>
      <c r="Y29" s="330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07"/>
      <c r="Q30" s="1810">
        <f t="shared" si="11"/>
        <v>111</v>
      </c>
      <c r="R30" s="774" t="s">
        <v>21</v>
      </c>
      <c r="S30" s="775">
        <f t="shared" si="12"/>
        <v>100</v>
      </c>
      <c r="T30" s="774" t="s">
        <v>21</v>
      </c>
      <c r="U30" s="775">
        <f t="shared" si="13"/>
        <v>100</v>
      </c>
      <c r="V30" s="774" t="s">
        <v>21</v>
      </c>
      <c r="W30" s="775">
        <f t="shared" si="14"/>
        <v>100</v>
      </c>
      <c r="X30" s="1813"/>
      <c r="Y30" s="330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07"/>
      <c r="Q31" s="1810">
        <f t="shared" si="11"/>
        <v>111</v>
      </c>
      <c r="R31" s="774" t="s">
        <v>21</v>
      </c>
      <c r="S31" s="775">
        <f t="shared" si="12"/>
        <v>100</v>
      </c>
      <c r="T31" s="774" t="s">
        <v>21</v>
      </c>
      <c r="U31" s="775">
        <f t="shared" si="13"/>
        <v>100</v>
      </c>
      <c r="V31" s="774" t="s">
        <v>21</v>
      </c>
      <c r="W31" s="775">
        <f t="shared" si="14"/>
        <v>100</v>
      </c>
      <c r="X31" s="1813"/>
      <c r="Y31" s="3300"/>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301" t="s">
        <v>2558</v>
      </c>
      <c r="Q32" s="1810" t="str">
        <f t="shared" si="11"/>
        <v>建筑类型</v>
      </c>
      <c r="R32" s="774" t="s">
        <v>21</v>
      </c>
      <c r="S32" s="775">
        <f t="shared" si="12"/>
        <v>100</v>
      </c>
      <c r="T32" s="774" t="s">
        <v>21</v>
      </c>
      <c r="U32" s="775">
        <f t="shared" si="13"/>
        <v>100</v>
      </c>
      <c r="V32" s="774" t="s">
        <v>21</v>
      </c>
      <c r="W32" s="775">
        <f t="shared" si="14"/>
        <v>100</v>
      </c>
      <c r="X32" s="1813"/>
      <c r="Y32" s="3304"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302"/>
      <c r="Q33" s="776" t="str">
        <f t="shared" si="11"/>
        <v>项目建筑规模</v>
      </c>
      <c r="R33" s="777" t="s">
        <v>21</v>
      </c>
      <c r="S33" s="778" t="e">
        <f t="shared" si="12"/>
        <v>#N/A</v>
      </c>
      <c r="T33" s="777" t="s">
        <v>21</v>
      </c>
      <c r="U33" s="778" t="e">
        <f t="shared" si="13"/>
        <v>#N/A</v>
      </c>
      <c r="V33" s="777" t="s">
        <v>21</v>
      </c>
      <c r="W33" s="778" t="e">
        <f t="shared" si="14"/>
        <v>#N/A</v>
      </c>
      <c r="X33" s="779"/>
      <c r="Y33" s="3304"/>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302"/>
      <c r="Q34" s="1810" t="str">
        <f t="shared" si="11"/>
        <v>建筑结构</v>
      </c>
      <c r="R34" s="774" t="s">
        <v>21</v>
      </c>
      <c r="S34" s="775">
        <f t="shared" si="12"/>
        <v>100</v>
      </c>
      <c r="T34" s="774" t="s">
        <v>21</v>
      </c>
      <c r="U34" s="775">
        <f t="shared" si="13"/>
        <v>100</v>
      </c>
      <c r="V34" s="774" t="s">
        <v>21</v>
      </c>
      <c r="W34" s="775">
        <f t="shared" si="14"/>
        <v>100</v>
      </c>
      <c r="X34" s="1813"/>
      <c r="Y34" s="3304"/>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302"/>
      <c r="Q35" s="1810" t="str">
        <f t="shared" si="11"/>
        <v>建筑品质</v>
      </c>
      <c r="R35" s="774" t="s">
        <v>21</v>
      </c>
      <c r="S35" s="775">
        <f t="shared" si="12"/>
        <v>100</v>
      </c>
      <c r="T35" s="774" t="s">
        <v>21</v>
      </c>
      <c r="U35" s="775">
        <f t="shared" si="13"/>
        <v>100</v>
      </c>
      <c r="V35" s="774" t="s">
        <v>21</v>
      </c>
      <c r="W35" s="775">
        <f t="shared" si="14"/>
        <v>100</v>
      </c>
      <c r="X35" s="1813"/>
      <c r="Y35" s="3304"/>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302"/>
      <c r="Q36" s="1810" t="str">
        <f t="shared" si="11"/>
        <v>公共部分装修</v>
      </c>
      <c r="R36" s="774" t="s">
        <v>21</v>
      </c>
      <c r="S36" s="775">
        <f t="shared" si="12"/>
        <v>100</v>
      </c>
      <c r="T36" s="774" t="s">
        <v>21</v>
      </c>
      <c r="U36" s="775">
        <f t="shared" si="13"/>
        <v>100</v>
      </c>
      <c r="V36" s="774" t="s">
        <v>21</v>
      </c>
      <c r="W36" s="775">
        <f t="shared" si="14"/>
        <v>100</v>
      </c>
      <c r="X36" s="1813"/>
      <c r="Y36" s="3304"/>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2"/>
      <c r="Q37" s="1795" t="str">
        <f t="shared" si="11"/>
        <v>成新度</v>
      </c>
      <c r="R37" s="770" t="s">
        <v>21</v>
      </c>
      <c r="S37" s="771" t="e">
        <f t="shared" si="12"/>
        <v>#N/A</v>
      </c>
      <c r="T37" s="770" t="s">
        <v>21</v>
      </c>
      <c r="U37" s="771" t="e">
        <f t="shared" si="13"/>
        <v>#N/A</v>
      </c>
      <c r="V37" s="770" t="s">
        <v>21</v>
      </c>
      <c r="W37" s="771" t="e">
        <f t="shared" si="14"/>
        <v>#N/A</v>
      </c>
      <c r="X37" s="772"/>
      <c r="Y37" s="3304"/>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302" t="s">
        <v>2558</v>
      </c>
      <c r="Q38" s="1810" t="str">
        <f t="shared" si="11"/>
        <v>物业管理</v>
      </c>
      <c r="R38" s="774" t="s">
        <v>21</v>
      </c>
      <c r="S38" s="775">
        <f t="shared" si="12"/>
        <v>100</v>
      </c>
      <c r="T38" s="774" t="s">
        <v>21</v>
      </c>
      <c r="U38" s="775">
        <f t="shared" si="13"/>
        <v>100</v>
      </c>
      <c r="V38" s="774" t="s">
        <v>21</v>
      </c>
      <c r="W38" s="775">
        <f t="shared" si="14"/>
        <v>100</v>
      </c>
      <c r="X38" s="1813"/>
      <c r="Y38" s="3304"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302"/>
      <c r="Q39" s="1810" t="str">
        <f t="shared" si="11"/>
        <v>市政基础设施</v>
      </c>
      <c r="R39" s="774" t="s">
        <v>21</v>
      </c>
      <c r="S39" s="775">
        <f t="shared" si="12"/>
        <v>100</v>
      </c>
      <c r="T39" s="774" t="s">
        <v>21</v>
      </c>
      <c r="U39" s="775">
        <f t="shared" si="13"/>
        <v>100</v>
      </c>
      <c r="V39" s="774" t="s">
        <v>21</v>
      </c>
      <c r="W39" s="775">
        <f t="shared" si="14"/>
        <v>100</v>
      </c>
      <c r="X39" s="1813"/>
      <c r="Y39" s="3304"/>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302"/>
      <c r="Q40" s="1810" t="str">
        <f t="shared" si="11"/>
        <v>房型</v>
      </c>
      <c r="R40" s="774" t="s">
        <v>21</v>
      </c>
      <c r="S40" s="775">
        <f t="shared" si="12"/>
        <v>100</v>
      </c>
      <c r="T40" s="774" t="s">
        <v>21</v>
      </c>
      <c r="U40" s="775">
        <f t="shared" si="13"/>
        <v>100</v>
      </c>
      <c r="V40" s="774" t="s">
        <v>21</v>
      </c>
      <c r="W40" s="775">
        <f t="shared" si="14"/>
        <v>100</v>
      </c>
      <c r="X40" s="1813"/>
      <c r="Y40" s="3304"/>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302"/>
      <c r="Q41" s="776" t="str">
        <f t="shared" si="11"/>
        <v>单套/主力户型建筑面积</v>
      </c>
      <c r="R41" s="777" t="s">
        <v>21</v>
      </c>
      <c r="S41" s="778">
        <f t="shared" si="12"/>
        <v>100</v>
      </c>
      <c r="T41" s="777" t="s">
        <v>21</v>
      </c>
      <c r="U41" s="778">
        <f t="shared" si="13"/>
        <v>100</v>
      </c>
      <c r="V41" s="777" t="s">
        <v>21</v>
      </c>
      <c r="W41" s="778">
        <f t="shared" si="14"/>
        <v>100</v>
      </c>
      <c r="X41" s="779"/>
      <c r="Y41" s="3304"/>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302"/>
      <c r="Q42" s="1810" t="str">
        <f t="shared" si="11"/>
        <v>内部装修</v>
      </c>
      <c r="R42" s="774" t="s">
        <v>21</v>
      </c>
      <c r="S42" s="775">
        <f t="shared" si="12"/>
        <v>100</v>
      </c>
      <c r="T42" s="774" t="s">
        <v>21</v>
      </c>
      <c r="U42" s="775">
        <f t="shared" si="13"/>
        <v>100</v>
      </c>
      <c r="V42" s="774" t="s">
        <v>21</v>
      </c>
      <c r="W42" s="775">
        <f t="shared" si="14"/>
        <v>100</v>
      </c>
      <c r="X42" s="1813"/>
      <c r="Y42" s="3304"/>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02"/>
      <c r="Q43" s="1810" t="str">
        <f t="shared" si="11"/>
        <v>内部装修维护情况</v>
      </c>
      <c r="R43" s="774" t="s">
        <v>21</v>
      </c>
      <c r="S43" s="775">
        <f t="shared" si="12"/>
        <v>100</v>
      </c>
      <c r="T43" s="774" t="s">
        <v>21</v>
      </c>
      <c r="U43" s="775">
        <f t="shared" si="13"/>
        <v>100</v>
      </c>
      <c r="V43" s="774" t="s">
        <v>21</v>
      </c>
      <c r="W43" s="775">
        <f t="shared" si="14"/>
        <v>100</v>
      </c>
      <c r="X43" s="1813"/>
      <c r="Y43" s="330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02"/>
      <c r="Q44" s="1795">
        <f t="shared" si="11"/>
        <v>111</v>
      </c>
      <c r="R44" s="770" t="s">
        <v>21</v>
      </c>
      <c r="S44" s="771">
        <f t="shared" si="12"/>
        <v>100</v>
      </c>
      <c r="T44" s="770" t="s">
        <v>21</v>
      </c>
      <c r="U44" s="771">
        <f t="shared" si="13"/>
        <v>100</v>
      </c>
      <c r="V44" s="770" t="s">
        <v>21</v>
      </c>
      <c r="W44" s="771">
        <f t="shared" si="14"/>
        <v>100</v>
      </c>
      <c r="X44" s="772"/>
      <c r="Y44" s="330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02"/>
      <c r="Q45" s="1810">
        <f t="shared" si="11"/>
        <v>111</v>
      </c>
      <c r="R45" s="774" t="s">
        <v>21</v>
      </c>
      <c r="S45" s="775">
        <f t="shared" si="12"/>
        <v>100</v>
      </c>
      <c r="T45" s="774" t="s">
        <v>21</v>
      </c>
      <c r="U45" s="775">
        <f t="shared" si="13"/>
        <v>100</v>
      </c>
      <c r="V45" s="774" t="s">
        <v>21</v>
      </c>
      <c r="W45" s="775">
        <f t="shared" si="14"/>
        <v>100</v>
      </c>
      <c r="X45" s="1813"/>
      <c r="Y45" s="330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03"/>
      <c r="Q46" s="1810">
        <f t="shared" si="11"/>
        <v>111</v>
      </c>
      <c r="R46" s="774" t="s">
        <v>20</v>
      </c>
      <c r="S46" s="775">
        <f t="shared" si="12"/>
        <v>100</v>
      </c>
      <c r="T46" s="774" t="s">
        <v>20</v>
      </c>
      <c r="U46" s="775">
        <f t="shared" si="13"/>
        <v>100</v>
      </c>
      <c r="V46" s="774" t="s">
        <v>20</v>
      </c>
      <c r="W46" s="775">
        <f t="shared" si="14"/>
        <v>100</v>
      </c>
      <c r="X46" s="1813"/>
      <c r="Y46" s="3305"/>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297" t="str">
        <f>A47</f>
        <v>成交单价（元/平方米）</v>
      </c>
      <c r="Q47" s="3297"/>
      <c r="R47" s="3298">
        <f>E47</f>
        <v>0</v>
      </c>
      <c r="S47" s="3298"/>
      <c r="T47" s="3298">
        <f>G47</f>
        <v>0</v>
      </c>
      <c r="U47" s="3298"/>
      <c r="V47" s="3298">
        <f>I47</f>
        <v>0</v>
      </c>
      <c r="W47" s="3298"/>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294" t="str">
        <f>A49</f>
        <v>估价对象XX用房的比较价值（楼面单价，元/平方米）</v>
      </c>
      <c r="Q49" s="3295"/>
      <c r="R49" s="3296" t="e">
        <f>IF(F1="售价",ROUND(AVERAGE(R48:V48),0),ROUND(AVERAGE(R48:V48),1))</f>
        <v>#DIV/0!</v>
      </c>
      <c r="S49" s="3296"/>
      <c r="T49" s="3296"/>
      <c r="U49" s="3296"/>
      <c r="V49" s="3296"/>
      <c r="W49" s="329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28872.97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280" t="s">
        <v>2639</v>
      </c>
      <c r="D4" s="3281"/>
      <c r="E4" s="3282" t="s">
        <v>2640</v>
      </c>
      <c r="F4" s="3283"/>
      <c r="G4" s="3280" t="s">
        <v>2641</v>
      </c>
      <c r="H4" s="3281"/>
      <c r="I4" s="3280" t="s">
        <v>2642</v>
      </c>
      <c r="J4" s="3281"/>
      <c r="K4" s="610" t="s">
        <v>2643</v>
      </c>
      <c r="L4" s="1130"/>
      <c r="M4" s="1131"/>
      <c r="N4" s="1131"/>
      <c r="O4" s="1131"/>
      <c r="P4" s="3284" t="s">
        <v>2644</v>
      </c>
      <c r="Q4" s="3285"/>
      <c r="R4" s="3267" t="s">
        <v>2640</v>
      </c>
      <c r="S4" s="3268"/>
      <c r="T4" s="3267" t="s">
        <v>2641</v>
      </c>
      <c r="U4" s="3268"/>
      <c r="V4" s="3292" t="s">
        <v>2642</v>
      </c>
      <c r="W4" s="3292"/>
      <c r="X4" s="1813"/>
      <c r="Y4" s="3267" t="s">
        <v>2644</v>
      </c>
      <c r="Z4" s="3268"/>
      <c r="AA4" s="3262" t="s">
        <v>2640</v>
      </c>
      <c r="AB4" s="3292" t="s">
        <v>2641</v>
      </c>
      <c r="AC4" s="3262" t="s">
        <v>2642</v>
      </c>
    </row>
    <row r="5" spans="1:29" ht="15">
      <c r="A5" s="404"/>
      <c r="B5" s="405"/>
      <c r="C5" s="3273" t="s">
        <v>2535</v>
      </c>
      <c r="D5" s="3274"/>
      <c r="E5" s="3271" t="s">
        <v>2536</v>
      </c>
      <c r="F5" s="3272"/>
      <c r="G5" s="3273" t="s">
        <v>2537</v>
      </c>
      <c r="H5" s="3274"/>
      <c r="I5" s="3273" t="s">
        <v>2538</v>
      </c>
      <c r="J5" s="3274"/>
      <c r="K5" s="610"/>
      <c r="L5" s="1130"/>
      <c r="M5" s="1131"/>
      <c r="N5" s="1131"/>
      <c r="O5" s="1131"/>
      <c r="P5" s="3286"/>
      <c r="Q5" s="3287"/>
      <c r="R5" s="3269"/>
      <c r="S5" s="3270"/>
      <c r="T5" s="3269"/>
      <c r="U5" s="3270"/>
      <c r="V5" s="3292"/>
      <c r="W5" s="3292"/>
      <c r="X5" s="1813"/>
      <c r="Y5" s="3269"/>
      <c r="Z5" s="3270"/>
      <c r="AA5" s="3263"/>
      <c r="AB5" s="3292"/>
      <c r="AC5" s="3263"/>
    </row>
    <row r="6" spans="1:29" ht="15.75" thickBot="1">
      <c r="A6" s="406"/>
      <c r="B6" s="407"/>
      <c r="C6" s="3275" t="s">
        <v>2539</v>
      </c>
      <c r="D6" s="3276"/>
      <c r="E6" s="3277" t="s">
        <v>2539</v>
      </c>
      <c r="F6" s="3278"/>
      <c r="G6" s="3275" t="s">
        <v>2539</v>
      </c>
      <c r="H6" s="3276"/>
      <c r="I6" s="3275" t="s">
        <v>2539</v>
      </c>
      <c r="J6" s="3276"/>
      <c r="K6" s="610" t="s">
        <v>2540</v>
      </c>
      <c r="L6" s="1130"/>
      <c r="M6" s="1131"/>
      <c r="N6" s="1131"/>
      <c r="O6" s="1131"/>
      <c r="P6" s="3288"/>
      <c r="Q6" s="3289"/>
      <c r="R6" s="3269"/>
      <c r="S6" s="3270"/>
      <c r="T6" s="3290"/>
      <c r="U6" s="3291"/>
      <c r="V6" s="3292"/>
      <c r="W6" s="3292"/>
      <c r="X6" s="1813"/>
      <c r="Y6" s="3290"/>
      <c r="Z6" s="3291"/>
      <c r="AA6" s="3264"/>
      <c r="AB6" s="3292"/>
      <c r="AC6" s="3264"/>
    </row>
    <row r="7" spans="1:29" s="117" customFormat="1" ht="15.75" thickBot="1">
      <c r="A7" s="408" t="s">
        <v>2541</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5" t="s">
        <v>2542</v>
      </c>
      <c r="Q7" s="3293"/>
      <c r="R7" s="770" t="s">
        <v>17</v>
      </c>
      <c r="S7" s="771">
        <f t="shared" ref="S7:S15" si="0">F7</f>
        <v>0</v>
      </c>
      <c r="T7" s="770" t="s">
        <v>17</v>
      </c>
      <c r="U7" s="771">
        <f t="shared" ref="U7:U15" si="1">H7</f>
        <v>0</v>
      </c>
      <c r="V7" s="770" t="s">
        <v>17</v>
      </c>
      <c r="W7" s="771">
        <f t="shared" ref="W7:W15" si="2">J7</f>
        <v>0</v>
      </c>
      <c r="X7" s="772"/>
      <c r="Y7" s="3265" t="s">
        <v>2542</v>
      </c>
      <c r="Z7" s="3266"/>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5" t="s">
        <v>2545</v>
      </c>
      <c r="Q8" s="3266"/>
      <c r="R8" s="770" t="s">
        <v>17</v>
      </c>
      <c r="S8" s="771">
        <f t="shared" si="0"/>
        <v>0</v>
      </c>
      <c r="T8" s="770" t="s">
        <v>17</v>
      </c>
      <c r="U8" s="771">
        <f t="shared" si="1"/>
        <v>0</v>
      </c>
      <c r="V8" s="770" t="s">
        <v>17</v>
      </c>
      <c r="W8" s="771">
        <f t="shared" si="2"/>
        <v>0</v>
      </c>
      <c r="X8" s="772"/>
      <c r="Y8" s="3265" t="s">
        <v>2545</v>
      </c>
      <c r="Z8" s="3266"/>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9" t="s">
        <v>2548</v>
      </c>
      <c r="Q9" s="1795" t="str">
        <f t="shared" ref="Q9:Q15" si="6">B9</f>
        <v>用途</v>
      </c>
      <c r="R9" s="770" t="s">
        <v>17</v>
      </c>
      <c r="S9" s="771">
        <f t="shared" si="0"/>
        <v>100</v>
      </c>
      <c r="T9" s="770" t="s">
        <v>17</v>
      </c>
      <c r="U9" s="771">
        <f t="shared" si="1"/>
        <v>100</v>
      </c>
      <c r="V9" s="770" t="s">
        <v>17</v>
      </c>
      <c r="W9" s="771">
        <f t="shared" si="2"/>
        <v>100</v>
      </c>
      <c r="X9" s="772"/>
      <c r="Y9" s="309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9"/>
      <c r="Q10" s="1795" t="str">
        <f t="shared" si="6"/>
        <v>土地使用年限（年）</v>
      </c>
      <c r="R10" s="770" t="s">
        <v>17</v>
      </c>
      <c r="S10" s="771">
        <f t="shared" si="0"/>
        <v>100</v>
      </c>
      <c r="T10" s="770" t="s">
        <v>17</v>
      </c>
      <c r="U10" s="771">
        <f t="shared" si="1"/>
        <v>100</v>
      </c>
      <c r="V10" s="770" t="s">
        <v>17</v>
      </c>
      <c r="W10" s="771">
        <f t="shared" si="2"/>
        <v>100</v>
      </c>
      <c r="X10" s="772"/>
      <c r="Y10" s="309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9"/>
      <c r="Q11" s="1795" t="str">
        <f t="shared" si="6"/>
        <v>容积率</v>
      </c>
      <c r="R11" s="770" t="s">
        <v>17</v>
      </c>
      <c r="S11" s="771" t="e">
        <f t="shared" si="0"/>
        <v>#N/A</v>
      </c>
      <c r="T11" s="770" t="s">
        <v>17</v>
      </c>
      <c r="U11" s="771" t="e">
        <f t="shared" si="1"/>
        <v>#N/A</v>
      </c>
      <c r="V11" s="770" t="s">
        <v>17</v>
      </c>
      <c r="W11" s="771" t="e">
        <f t="shared" si="2"/>
        <v>#N/A</v>
      </c>
      <c r="X11" s="772"/>
      <c r="Y11" s="309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9"/>
      <c r="Q12" s="1795">
        <f t="shared" si="6"/>
        <v>111</v>
      </c>
      <c r="R12" s="770" t="s">
        <v>17</v>
      </c>
      <c r="S12" s="771">
        <f t="shared" si="0"/>
        <v>100</v>
      </c>
      <c r="T12" s="770" t="s">
        <v>17</v>
      </c>
      <c r="U12" s="771">
        <f t="shared" si="1"/>
        <v>100</v>
      </c>
      <c r="V12" s="770" t="s">
        <v>17</v>
      </c>
      <c r="W12" s="771">
        <f t="shared" si="2"/>
        <v>100</v>
      </c>
      <c r="X12" s="772"/>
      <c r="Y12" s="309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9"/>
      <c r="Q13" s="1795">
        <f t="shared" si="6"/>
        <v>111</v>
      </c>
      <c r="R13" s="770" t="s">
        <v>17</v>
      </c>
      <c r="S13" s="771">
        <f t="shared" si="0"/>
        <v>100</v>
      </c>
      <c r="T13" s="770" t="s">
        <v>17</v>
      </c>
      <c r="U13" s="771">
        <f t="shared" si="1"/>
        <v>100</v>
      </c>
      <c r="V13" s="770" t="s">
        <v>17</v>
      </c>
      <c r="W13" s="771">
        <f t="shared" si="2"/>
        <v>100</v>
      </c>
      <c r="X13" s="772"/>
      <c r="Y13" s="309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9"/>
      <c r="Q14" s="1795">
        <f t="shared" si="6"/>
        <v>111</v>
      </c>
      <c r="R14" s="770" t="s">
        <v>17</v>
      </c>
      <c r="S14" s="771">
        <f t="shared" si="0"/>
        <v>100</v>
      </c>
      <c r="T14" s="770" t="s">
        <v>17</v>
      </c>
      <c r="U14" s="771">
        <f t="shared" si="1"/>
        <v>100</v>
      </c>
      <c r="V14" s="770" t="s">
        <v>17</v>
      </c>
      <c r="W14" s="771">
        <f t="shared" si="2"/>
        <v>100</v>
      </c>
      <c r="X14" s="772"/>
      <c r="Y14" s="3091"/>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6" t="s">
        <v>2553</v>
      </c>
      <c r="Q15" s="1810" t="str">
        <f t="shared" si="6"/>
        <v>商业繁华度</v>
      </c>
      <c r="R15" s="774" t="s">
        <v>17</v>
      </c>
      <c r="S15" s="775">
        <f t="shared" si="0"/>
        <v>100</v>
      </c>
      <c r="T15" s="774" t="s">
        <v>17</v>
      </c>
      <c r="U15" s="775">
        <f t="shared" si="1"/>
        <v>100</v>
      </c>
      <c r="V15" s="774" t="s">
        <v>17</v>
      </c>
      <c r="W15" s="775">
        <f t="shared" si="2"/>
        <v>100</v>
      </c>
      <c r="X15" s="1813"/>
      <c r="Y15" s="3299"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7"/>
      <c r="Q16" s="1810"/>
      <c r="R16" s="774"/>
      <c r="S16" s="775"/>
      <c r="T16" s="774"/>
      <c r="U16" s="775"/>
      <c r="V16" s="774"/>
      <c r="W16" s="775"/>
      <c r="X16" s="1813"/>
      <c r="Y16" s="3300"/>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7"/>
      <c r="Q17" s="1810" t="str">
        <f>B17</f>
        <v>交通便捷度</v>
      </c>
      <c r="R17" s="774" t="s">
        <v>17</v>
      </c>
      <c r="S17" s="775">
        <f>F17</f>
        <v>100</v>
      </c>
      <c r="T17" s="774" t="s">
        <v>17</v>
      </c>
      <c r="U17" s="775">
        <f>H17</f>
        <v>100</v>
      </c>
      <c r="V17" s="774" t="s">
        <v>17</v>
      </c>
      <c r="W17" s="775">
        <f>J17</f>
        <v>100</v>
      </c>
      <c r="X17" s="1813"/>
      <c r="Y17" s="330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307"/>
      <c r="Q18" s="1810"/>
      <c r="R18" s="774"/>
      <c r="S18" s="775"/>
      <c r="T18" s="774"/>
      <c r="U18" s="775"/>
      <c r="V18" s="774"/>
      <c r="W18" s="775"/>
      <c r="X18" s="1813"/>
      <c r="Y18" s="3300"/>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7"/>
      <c r="Q19" s="1810" t="str">
        <f>B19</f>
        <v>公共配套设施</v>
      </c>
      <c r="R19" s="774" t="s">
        <v>17</v>
      </c>
      <c r="S19" s="775">
        <f>F19</f>
        <v>100</v>
      </c>
      <c r="T19" s="774" t="s">
        <v>17</v>
      </c>
      <c r="U19" s="775">
        <f>H19</f>
        <v>100</v>
      </c>
      <c r="V19" s="774" t="s">
        <v>17</v>
      </c>
      <c r="W19" s="775">
        <f>J19</f>
        <v>100</v>
      </c>
      <c r="X19" s="1813"/>
      <c r="Y19" s="330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307"/>
      <c r="Q20" s="1810"/>
      <c r="R20" s="774"/>
      <c r="S20" s="775"/>
      <c r="T20" s="774"/>
      <c r="U20" s="775"/>
      <c r="V20" s="774"/>
      <c r="W20" s="775"/>
      <c r="X20" s="1813"/>
      <c r="Y20" s="3300"/>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7"/>
      <c r="Q21" s="1810" t="str">
        <f>B21</f>
        <v>基础设施水平</v>
      </c>
      <c r="R21" s="774" t="s">
        <v>17</v>
      </c>
      <c r="S21" s="775">
        <f>F21</f>
        <v>100</v>
      </c>
      <c r="T21" s="774" t="s">
        <v>17</v>
      </c>
      <c r="U21" s="775">
        <f>H21</f>
        <v>100</v>
      </c>
      <c r="V21" s="774" t="s">
        <v>17</v>
      </c>
      <c r="W21" s="775">
        <f>J21</f>
        <v>100</v>
      </c>
      <c r="X21" s="1813"/>
      <c r="Y21" s="330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307"/>
      <c r="Q22" s="1810"/>
      <c r="R22" s="774"/>
      <c r="S22" s="775"/>
      <c r="T22" s="774"/>
      <c r="U22" s="775"/>
      <c r="V22" s="774"/>
      <c r="W22" s="775"/>
      <c r="X22" s="1813"/>
      <c r="Y22" s="3300"/>
      <c r="Z22" s="1814"/>
      <c r="AA22" s="1811">
        <v>1</v>
      </c>
      <c r="AB22" s="1811">
        <v>1</v>
      </c>
      <c r="AC22" s="1811">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7"/>
      <c r="Q23" s="1810" t="str">
        <f>B23</f>
        <v>自然及人文环境</v>
      </c>
      <c r="R23" s="774" t="s">
        <v>17</v>
      </c>
      <c r="S23" s="775">
        <f>F23</f>
        <v>100</v>
      </c>
      <c r="T23" s="774" t="s">
        <v>17</v>
      </c>
      <c r="U23" s="775">
        <f>H23</f>
        <v>100</v>
      </c>
      <c r="V23" s="774" t="s">
        <v>17</v>
      </c>
      <c r="W23" s="775">
        <f>J23</f>
        <v>100</v>
      </c>
      <c r="X23" s="1813"/>
      <c r="Y23" s="3300"/>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307"/>
      <c r="Q24" s="1810"/>
      <c r="R24" s="774"/>
      <c r="S24" s="775"/>
      <c r="T24" s="774"/>
      <c r="U24" s="775"/>
      <c r="V24" s="774"/>
      <c r="W24" s="775"/>
      <c r="X24" s="1813"/>
      <c r="Y24" s="3300"/>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7"/>
      <c r="Q25" s="1810" t="str">
        <f t="shared" ref="Q25:Q46" si="11">B25</f>
        <v>临街状况</v>
      </c>
      <c r="R25" s="774" t="s">
        <v>17</v>
      </c>
      <c r="S25" s="775">
        <f>F25</f>
        <v>100</v>
      </c>
      <c r="T25" s="774" t="s">
        <v>17</v>
      </c>
      <c r="U25" s="775">
        <f>H25</f>
        <v>100</v>
      </c>
      <c r="V25" s="774" t="s">
        <v>17</v>
      </c>
      <c r="W25" s="775">
        <f>J25</f>
        <v>100</v>
      </c>
      <c r="X25" s="1813"/>
      <c r="Y25" s="3300"/>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7"/>
      <c r="Q26" s="1810" t="str">
        <f t="shared" si="11"/>
        <v>平面位置/可视性</v>
      </c>
      <c r="R26" s="774" t="s">
        <v>17</v>
      </c>
      <c r="S26" s="775">
        <f>F26</f>
        <v>100</v>
      </c>
      <c r="T26" s="774" t="s">
        <v>17</v>
      </c>
      <c r="U26" s="775">
        <f>H26</f>
        <v>100</v>
      </c>
      <c r="V26" s="774" t="s">
        <v>17</v>
      </c>
      <c r="W26" s="775">
        <f>J26</f>
        <v>100</v>
      </c>
      <c r="X26" s="1813"/>
      <c r="Y26" s="3300"/>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307"/>
      <c r="Q27" s="1795" t="str">
        <f t="shared" si="11"/>
        <v>人流量</v>
      </c>
      <c r="R27" s="770" t="s">
        <v>17</v>
      </c>
      <c r="S27" s="771">
        <f>F27</f>
        <v>100</v>
      </c>
      <c r="T27" s="770" t="s">
        <v>17</v>
      </c>
      <c r="U27" s="771">
        <f>H27</f>
        <v>100</v>
      </c>
      <c r="V27" s="770" t="s">
        <v>17</v>
      </c>
      <c r="W27" s="771">
        <f>J27</f>
        <v>100</v>
      </c>
      <c r="X27" s="772"/>
      <c r="Y27" s="3300"/>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0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7"/>
      <c r="Q29" s="1810">
        <f t="shared" si="11"/>
        <v>111</v>
      </c>
      <c r="R29" s="774" t="s">
        <v>17</v>
      </c>
      <c r="S29" s="775">
        <f t="shared" si="12"/>
        <v>100</v>
      </c>
      <c r="T29" s="774" t="s">
        <v>17</v>
      </c>
      <c r="U29" s="775">
        <f t="shared" si="13"/>
        <v>100</v>
      </c>
      <c r="V29" s="774" t="s">
        <v>17</v>
      </c>
      <c r="W29" s="775">
        <f t="shared" si="14"/>
        <v>100</v>
      </c>
      <c r="X29" s="1813"/>
      <c r="Y29" s="330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7"/>
      <c r="Q30" s="1810">
        <f t="shared" si="11"/>
        <v>111</v>
      </c>
      <c r="R30" s="774" t="s">
        <v>17</v>
      </c>
      <c r="S30" s="775">
        <f t="shared" si="12"/>
        <v>100</v>
      </c>
      <c r="T30" s="774" t="s">
        <v>17</v>
      </c>
      <c r="U30" s="775">
        <f t="shared" si="13"/>
        <v>100</v>
      </c>
      <c r="V30" s="774" t="s">
        <v>17</v>
      </c>
      <c r="W30" s="775">
        <f t="shared" si="14"/>
        <v>100</v>
      </c>
      <c r="X30" s="1813"/>
      <c r="Y30" s="330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7"/>
      <c r="Q31" s="1810">
        <f t="shared" si="11"/>
        <v>111</v>
      </c>
      <c r="R31" s="774" t="s">
        <v>17</v>
      </c>
      <c r="S31" s="775">
        <f t="shared" si="12"/>
        <v>100</v>
      </c>
      <c r="T31" s="774" t="s">
        <v>17</v>
      </c>
      <c r="U31" s="775">
        <f t="shared" si="13"/>
        <v>100</v>
      </c>
      <c r="V31" s="774" t="s">
        <v>17</v>
      </c>
      <c r="W31" s="775">
        <f t="shared" si="14"/>
        <v>100</v>
      </c>
      <c r="X31" s="1813"/>
      <c r="Y31" s="3300"/>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01" t="s">
        <v>2558</v>
      </c>
      <c r="Q32" s="1810" t="str">
        <f t="shared" si="11"/>
        <v>商业类型</v>
      </c>
      <c r="R32" s="774" t="s">
        <v>17</v>
      </c>
      <c r="S32" s="775">
        <f t="shared" si="12"/>
        <v>100</v>
      </c>
      <c r="T32" s="774" t="s">
        <v>17</v>
      </c>
      <c r="U32" s="775">
        <f t="shared" si="13"/>
        <v>100</v>
      </c>
      <c r="V32" s="774" t="s">
        <v>17</v>
      </c>
      <c r="W32" s="775">
        <f t="shared" si="14"/>
        <v>100</v>
      </c>
      <c r="X32" s="1813"/>
      <c r="Y32" s="3304"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2"/>
      <c r="Q33" s="776" t="str">
        <f t="shared" si="11"/>
        <v>项目建筑规模</v>
      </c>
      <c r="R33" s="777" t="s">
        <v>17</v>
      </c>
      <c r="S33" s="778" t="e">
        <f t="shared" si="12"/>
        <v>#N/A</v>
      </c>
      <c r="T33" s="777" t="s">
        <v>17</v>
      </c>
      <c r="U33" s="778" t="e">
        <f t="shared" si="13"/>
        <v>#N/A</v>
      </c>
      <c r="V33" s="777" t="s">
        <v>17</v>
      </c>
      <c r="W33" s="778" t="e">
        <f t="shared" si="14"/>
        <v>#N/A</v>
      </c>
      <c r="X33" s="779"/>
      <c r="Y33" s="3304"/>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02"/>
      <c r="Q34" s="1810" t="str">
        <f t="shared" si="11"/>
        <v>建筑结构</v>
      </c>
      <c r="R34" s="774" t="s">
        <v>17</v>
      </c>
      <c r="S34" s="775">
        <f t="shared" si="12"/>
        <v>100</v>
      </c>
      <c r="T34" s="774" t="s">
        <v>17</v>
      </c>
      <c r="U34" s="775">
        <f t="shared" si="13"/>
        <v>100</v>
      </c>
      <c r="V34" s="774" t="s">
        <v>17</v>
      </c>
      <c r="W34" s="775">
        <f t="shared" si="14"/>
        <v>100</v>
      </c>
      <c r="X34" s="1813"/>
      <c r="Y34" s="3304"/>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02"/>
      <c r="Q35" s="1810" t="str">
        <f t="shared" si="11"/>
        <v>公共部分装修</v>
      </c>
      <c r="R35" s="774" t="s">
        <v>17</v>
      </c>
      <c r="S35" s="775">
        <f t="shared" si="12"/>
        <v>100</v>
      </c>
      <c r="T35" s="774" t="s">
        <v>17</v>
      </c>
      <c r="U35" s="775">
        <f t="shared" si="13"/>
        <v>100</v>
      </c>
      <c r="V35" s="774" t="s">
        <v>17</v>
      </c>
      <c r="W35" s="775">
        <f t="shared" si="14"/>
        <v>100</v>
      </c>
      <c r="X35" s="1813"/>
      <c r="Y35" s="3304"/>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2"/>
      <c r="Q36" s="1810" t="str">
        <f t="shared" si="11"/>
        <v>成新度</v>
      </c>
      <c r="R36" s="774" t="s">
        <v>17</v>
      </c>
      <c r="S36" s="775" t="e">
        <f t="shared" si="12"/>
        <v>#N/A</v>
      </c>
      <c r="T36" s="774" t="s">
        <v>17</v>
      </c>
      <c r="U36" s="775" t="e">
        <f t="shared" si="13"/>
        <v>#N/A</v>
      </c>
      <c r="V36" s="774" t="s">
        <v>17</v>
      </c>
      <c r="W36" s="775" t="e">
        <f t="shared" si="14"/>
        <v>#N/A</v>
      </c>
      <c r="X36" s="1813"/>
      <c r="Y36" s="3304"/>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02"/>
      <c r="Q37" s="1795" t="str">
        <f t="shared" si="11"/>
        <v>市政基础设施</v>
      </c>
      <c r="R37" s="770" t="s">
        <v>17</v>
      </c>
      <c r="S37" s="771">
        <f t="shared" si="12"/>
        <v>100</v>
      </c>
      <c r="T37" s="770" t="s">
        <v>17</v>
      </c>
      <c r="U37" s="771">
        <f t="shared" si="13"/>
        <v>100</v>
      </c>
      <c r="V37" s="770" t="s">
        <v>17</v>
      </c>
      <c r="W37" s="771">
        <f t="shared" si="14"/>
        <v>100</v>
      </c>
      <c r="X37" s="772"/>
      <c r="Y37" s="3304"/>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02" t="s">
        <v>2558</v>
      </c>
      <c r="Q38" s="1810" t="str">
        <f t="shared" si="11"/>
        <v>业态</v>
      </c>
      <c r="R38" s="774" t="s">
        <v>17</v>
      </c>
      <c r="S38" s="775">
        <f t="shared" si="12"/>
        <v>100</v>
      </c>
      <c r="T38" s="774" t="s">
        <v>17</v>
      </c>
      <c r="U38" s="775">
        <f t="shared" si="13"/>
        <v>100</v>
      </c>
      <c r="V38" s="774" t="s">
        <v>17</v>
      </c>
      <c r="W38" s="775">
        <f t="shared" si="14"/>
        <v>100</v>
      </c>
      <c r="X38" s="1813"/>
      <c r="Y38" s="3304"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02"/>
      <c r="Q39" s="1810" t="str">
        <f t="shared" si="11"/>
        <v>层高</v>
      </c>
      <c r="R39" s="774" t="s">
        <v>17</v>
      </c>
      <c r="S39" s="775">
        <f t="shared" si="12"/>
        <v>100</v>
      </c>
      <c r="T39" s="774" t="s">
        <v>17</v>
      </c>
      <c r="U39" s="775">
        <f t="shared" si="13"/>
        <v>100</v>
      </c>
      <c r="V39" s="774" t="s">
        <v>17</v>
      </c>
      <c r="W39" s="775">
        <f t="shared" si="14"/>
        <v>100</v>
      </c>
      <c r="X39" s="1813"/>
      <c r="Y39" s="3304"/>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2"/>
      <c r="Q40" s="1810" t="str">
        <f t="shared" si="11"/>
        <v>单套建筑面积</v>
      </c>
      <c r="R40" s="774" t="s">
        <v>17</v>
      </c>
      <c r="S40" s="775">
        <f t="shared" si="12"/>
        <v>100</v>
      </c>
      <c r="T40" s="774" t="s">
        <v>17</v>
      </c>
      <c r="U40" s="775">
        <f t="shared" si="13"/>
        <v>100</v>
      </c>
      <c r="V40" s="774" t="s">
        <v>17</v>
      </c>
      <c r="W40" s="775">
        <f t="shared" si="14"/>
        <v>100</v>
      </c>
      <c r="X40" s="1813"/>
      <c r="Y40" s="3304"/>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2"/>
      <c r="Q41" s="776" t="str">
        <f t="shared" si="11"/>
        <v>进深比</v>
      </c>
      <c r="R41" s="777" t="s">
        <v>17</v>
      </c>
      <c r="S41" s="778">
        <f t="shared" si="12"/>
        <v>100</v>
      </c>
      <c r="T41" s="777" t="s">
        <v>17</v>
      </c>
      <c r="U41" s="778">
        <f t="shared" si="13"/>
        <v>100</v>
      </c>
      <c r="V41" s="777" t="s">
        <v>17</v>
      </c>
      <c r="W41" s="778">
        <f t="shared" si="14"/>
        <v>100</v>
      </c>
      <c r="X41" s="779"/>
      <c r="Y41" s="3304"/>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02"/>
      <c r="Q42" s="1810" t="str">
        <f t="shared" si="11"/>
        <v>内部装修</v>
      </c>
      <c r="R42" s="774" t="s">
        <v>17</v>
      </c>
      <c r="S42" s="775">
        <f t="shared" si="12"/>
        <v>100</v>
      </c>
      <c r="T42" s="774" t="s">
        <v>17</v>
      </c>
      <c r="U42" s="775">
        <f t="shared" si="13"/>
        <v>100</v>
      </c>
      <c r="V42" s="774" t="s">
        <v>17</v>
      </c>
      <c r="W42" s="775">
        <f t="shared" si="14"/>
        <v>100</v>
      </c>
      <c r="X42" s="1813"/>
      <c r="Y42" s="3304"/>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02"/>
      <c r="Q43" s="1810" t="str">
        <f t="shared" si="11"/>
        <v>内部装修维护情况</v>
      </c>
      <c r="R43" s="774" t="s">
        <v>17</v>
      </c>
      <c r="S43" s="775">
        <f t="shared" si="12"/>
        <v>100</v>
      </c>
      <c r="T43" s="774" t="s">
        <v>17</v>
      </c>
      <c r="U43" s="775">
        <f t="shared" si="13"/>
        <v>100</v>
      </c>
      <c r="V43" s="774" t="s">
        <v>17</v>
      </c>
      <c r="W43" s="775">
        <f t="shared" si="14"/>
        <v>100</v>
      </c>
      <c r="X43" s="1813"/>
      <c r="Y43" s="330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2"/>
      <c r="Q44" s="1795">
        <f t="shared" si="11"/>
        <v>111</v>
      </c>
      <c r="R44" s="770" t="s">
        <v>17</v>
      </c>
      <c r="S44" s="771">
        <f t="shared" si="12"/>
        <v>100</v>
      </c>
      <c r="T44" s="770" t="s">
        <v>17</v>
      </c>
      <c r="U44" s="771">
        <f t="shared" si="13"/>
        <v>100</v>
      </c>
      <c r="V44" s="770" t="s">
        <v>17</v>
      </c>
      <c r="W44" s="771">
        <f t="shared" si="14"/>
        <v>100</v>
      </c>
      <c r="X44" s="772"/>
      <c r="Y44" s="330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2"/>
      <c r="Q45" s="1810">
        <f t="shared" si="11"/>
        <v>111</v>
      </c>
      <c r="R45" s="774" t="s">
        <v>17</v>
      </c>
      <c r="S45" s="775">
        <f t="shared" si="12"/>
        <v>100</v>
      </c>
      <c r="T45" s="774" t="s">
        <v>17</v>
      </c>
      <c r="U45" s="775">
        <f t="shared" si="13"/>
        <v>100</v>
      </c>
      <c r="V45" s="774" t="s">
        <v>17</v>
      </c>
      <c r="W45" s="775">
        <f t="shared" si="14"/>
        <v>100</v>
      </c>
      <c r="X45" s="1813"/>
      <c r="Y45" s="3304"/>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3"/>
      <c r="Q46" s="1810">
        <f t="shared" si="11"/>
        <v>111</v>
      </c>
      <c r="R46" s="774" t="s">
        <v>17</v>
      </c>
      <c r="S46" s="775">
        <f t="shared" si="12"/>
        <v>100</v>
      </c>
      <c r="T46" s="774" t="s">
        <v>17</v>
      </c>
      <c r="U46" s="775">
        <f t="shared" si="13"/>
        <v>100</v>
      </c>
      <c r="V46" s="774" t="s">
        <v>17</v>
      </c>
      <c r="W46" s="775">
        <f t="shared" si="14"/>
        <v>100</v>
      </c>
      <c r="X46" s="1813"/>
      <c r="Y46" s="3305"/>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297" t="str">
        <f>A47</f>
        <v>成交单价（元/平方米）</v>
      </c>
      <c r="Q47" s="3297"/>
      <c r="R47" s="3292">
        <f>E47</f>
        <v>0</v>
      </c>
      <c r="S47" s="3292"/>
      <c r="T47" s="3292">
        <f>G47</f>
        <v>0</v>
      </c>
      <c r="U47" s="3292"/>
      <c r="V47" s="3292">
        <f>I47</f>
        <v>0</v>
      </c>
      <c r="W47" s="3292"/>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94" t="str">
        <f>A49</f>
        <v>估价对象XX用房的比较价值（楼面单价，元/平方米）</v>
      </c>
      <c r="Q49" s="3295"/>
      <c r="R49" s="3296" t="e">
        <f>IF(F1="售价",ROUND(AVERAGE(R48:V48),0),ROUND(AVERAGE(R48:V48),1))</f>
        <v>#DIV/0!</v>
      </c>
      <c r="S49" s="3296"/>
      <c r="T49" s="3296"/>
      <c r="U49" s="3296"/>
      <c r="V49" s="3296"/>
      <c r="W49" s="329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28872.97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280" t="s">
        <v>2639</v>
      </c>
      <c r="D4" s="3281"/>
      <c r="E4" s="3282" t="s">
        <v>2640</v>
      </c>
      <c r="F4" s="3283"/>
      <c r="G4" s="3280" t="s">
        <v>2641</v>
      </c>
      <c r="H4" s="3281"/>
      <c r="I4" s="3280" t="s">
        <v>2642</v>
      </c>
      <c r="J4" s="3281"/>
      <c r="K4" s="610" t="s">
        <v>2643</v>
      </c>
      <c r="L4" s="1130"/>
      <c r="M4" s="1131"/>
      <c r="N4" s="1131"/>
      <c r="O4" s="1131"/>
      <c r="P4" s="3314" t="s">
        <v>2644</v>
      </c>
      <c r="Q4" s="3315"/>
      <c r="R4" s="3309" t="s">
        <v>2640</v>
      </c>
      <c r="S4" s="3310"/>
      <c r="T4" s="3309" t="s">
        <v>2641</v>
      </c>
      <c r="U4" s="3310"/>
      <c r="V4" s="3318" t="s">
        <v>2642</v>
      </c>
      <c r="W4" s="3318"/>
      <c r="X4" s="2669"/>
      <c r="Y4" s="3309" t="s">
        <v>2644</v>
      </c>
      <c r="Z4" s="3310"/>
      <c r="AA4" s="3308" t="s">
        <v>2640</v>
      </c>
      <c r="AB4" s="3308" t="s">
        <v>2641</v>
      </c>
      <c r="AC4" s="3311" t="s">
        <v>2642</v>
      </c>
    </row>
    <row r="5" spans="1:29" ht="15">
      <c r="A5" s="404"/>
      <c r="B5" s="405"/>
      <c r="C5" s="3273" t="s">
        <v>2535</v>
      </c>
      <c r="D5" s="3274"/>
      <c r="E5" s="3271" t="s">
        <v>2536</v>
      </c>
      <c r="F5" s="3272"/>
      <c r="G5" s="3273" t="s">
        <v>2537</v>
      </c>
      <c r="H5" s="3274"/>
      <c r="I5" s="3273" t="s">
        <v>2538</v>
      </c>
      <c r="J5" s="3274"/>
      <c r="K5" s="610"/>
      <c r="L5" s="1130"/>
      <c r="M5" s="1131"/>
      <c r="N5" s="1131"/>
      <c r="O5" s="1131"/>
      <c r="P5" s="3316"/>
      <c r="Q5" s="3287"/>
      <c r="R5" s="3269"/>
      <c r="S5" s="3270"/>
      <c r="T5" s="3269"/>
      <c r="U5" s="3270"/>
      <c r="V5" s="3292"/>
      <c r="W5" s="3292"/>
      <c r="X5" s="1813"/>
      <c r="Y5" s="3269"/>
      <c r="Z5" s="3270"/>
      <c r="AA5" s="3263"/>
      <c r="AB5" s="3263"/>
      <c r="AC5" s="3312"/>
    </row>
    <row r="6" spans="1:29" ht="15.75" thickBot="1">
      <c r="A6" s="406"/>
      <c r="B6" s="407"/>
      <c r="C6" s="3275" t="s">
        <v>2539</v>
      </c>
      <c r="D6" s="3276"/>
      <c r="E6" s="3277" t="s">
        <v>2539</v>
      </c>
      <c r="F6" s="3278"/>
      <c r="G6" s="3275" t="s">
        <v>2539</v>
      </c>
      <c r="H6" s="3276"/>
      <c r="I6" s="3275" t="s">
        <v>2539</v>
      </c>
      <c r="J6" s="3276"/>
      <c r="K6" s="610" t="s">
        <v>2540</v>
      </c>
      <c r="L6" s="1130"/>
      <c r="M6" s="1131"/>
      <c r="N6" s="1131"/>
      <c r="O6" s="1131"/>
      <c r="P6" s="3317"/>
      <c r="Q6" s="3289"/>
      <c r="R6" s="3269"/>
      <c r="S6" s="3270"/>
      <c r="T6" s="3290"/>
      <c r="U6" s="3291"/>
      <c r="V6" s="3292"/>
      <c r="W6" s="3292"/>
      <c r="X6" s="1813"/>
      <c r="Y6" s="3290"/>
      <c r="Z6" s="3291"/>
      <c r="AA6" s="3264"/>
      <c r="AB6" s="3264"/>
      <c r="AC6" s="3313"/>
    </row>
    <row r="7" spans="1:29" s="117" customFormat="1" ht="15.75" thickBot="1">
      <c r="A7" s="408" t="s">
        <v>2541</v>
      </c>
      <c r="B7" s="409"/>
      <c r="C7" s="410">
        <f>'数据-取费表'!B2</f>
        <v>43222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9" t="s">
        <v>2542</v>
      </c>
      <c r="Q7" s="3293"/>
      <c r="R7" s="770" t="s">
        <v>17</v>
      </c>
      <c r="S7" s="771">
        <f t="shared" ref="S7:S15" si="0">F7</f>
        <v>0</v>
      </c>
      <c r="T7" s="770" t="s">
        <v>17</v>
      </c>
      <c r="U7" s="771">
        <f t="shared" ref="U7:U15" si="1">H7</f>
        <v>0</v>
      </c>
      <c r="V7" s="770" t="s">
        <v>17</v>
      </c>
      <c r="W7" s="771">
        <f t="shared" ref="W7:W15" si="2">J7</f>
        <v>0</v>
      </c>
      <c r="X7" s="772"/>
      <c r="Y7" s="3265" t="s">
        <v>2542</v>
      </c>
      <c r="Z7" s="3266"/>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9" t="s">
        <v>2545</v>
      </c>
      <c r="Q8" s="3266"/>
      <c r="R8" s="770" t="s">
        <v>17</v>
      </c>
      <c r="S8" s="771">
        <f t="shared" si="0"/>
        <v>0</v>
      </c>
      <c r="T8" s="770" t="s">
        <v>17</v>
      </c>
      <c r="U8" s="771">
        <f t="shared" si="1"/>
        <v>0</v>
      </c>
      <c r="V8" s="770" t="s">
        <v>17</v>
      </c>
      <c r="W8" s="771">
        <f t="shared" si="2"/>
        <v>0</v>
      </c>
      <c r="X8" s="772"/>
      <c r="Y8" s="3265" t="s">
        <v>2545</v>
      </c>
      <c r="Z8" s="3266"/>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9" t="s">
        <v>2548</v>
      </c>
      <c r="Q9" s="1795" t="str">
        <f t="shared" ref="Q9:Q15" si="6">B9</f>
        <v>用途</v>
      </c>
      <c r="R9" s="770" t="s">
        <v>17</v>
      </c>
      <c r="S9" s="771">
        <f t="shared" si="0"/>
        <v>100</v>
      </c>
      <c r="T9" s="770" t="s">
        <v>17</v>
      </c>
      <c r="U9" s="771">
        <f t="shared" si="1"/>
        <v>100</v>
      </c>
      <c r="V9" s="770" t="s">
        <v>17</v>
      </c>
      <c r="W9" s="771">
        <f t="shared" si="2"/>
        <v>100</v>
      </c>
      <c r="X9" s="772"/>
      <c r="Y9" s="3091"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9"/>
      <c r="Q10" s="1795" t="str">
        <f t="shared" si="6"/>
        <v>土地使用年限（年）</v>
      </c>
      <c r="R10" s="770" t="s">
        <v>17</v>
      </c>
      <c r="S10" s="771">
        <f t="shared" si="0"/>
        <v>100</v>
      </c>
      <c r="T10" s="770" t="s">
        <v>17</v>
      </c>
      <c r="U10" s="771">
        <f t="shared" si="1"/>
        <v>100</v>
      </c>
      <c r="V10" s="770" t="s">
        <v>17</v>
      </c>
      <c r="W10" s="771">
        <f t="shared" si="2"/>
        <v>100</v>
      </c>
      <c r="X10" s="772"/>
      <c r="Y10" s="3091"/>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9"/>
      <c r="Q11" s="1795" t="str">
        <f t="shared" si="6"/>
        <v>容积率</v>
      </c>
      <c r="R11" s="770" t="s">
        <v>17</v>
      </c>
      <c r="S11" s="771" t="e">
        <f t="shared" si="0"/>
        <v>#N/A</v>
      </c>
      <c r="T11" s="770" t="s">
        <v>17</v>
      </c>
      <c r="U11" s="771" t="e">
        <f t="shared" si="1"/>
        <v>#N/A</v>
      </c>
      <c r="V11" s="770" t="s">
        <v>17</v>
      </c>
      <c r="W11" s="771" t="e">
        <f t="shared" si="2"/>
        <v>#N/A</v>
      </c>
      <c r="X11" s="772"/>
      <c r="Y11" s="309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79"/>
      <c r="Q12" s="1795">
        <f t="shared" si="6"/>
        <v>111</v>
      </c>
      <c r="R12" s="770" t="s">
        <v>17</v>
      </c>
      <c r="S12" s="771">
        <f t="shared" si="0"/>
        <v>100</v>
      </c>
      <c r="T12" s="770" t="s">
        <v>17</v>
      </c>
      <c r="U12" s="771">
        <f t="shared" si="1"/>
        <v>100</v>
      </c>
      <c r="V12" s="770" t="s">
        <v>17</v>
      </c>
      <c r="W12" s="771">
        <f t="shared" si="2"/>
        <v>100</v>
      </c>
      <c r="X12" s="772"/>
      <c r="Y12" s="309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79"/>
      <c r="Q13" s="1795">
        <f t="shared" si="6"/>
        <v>111</v>
      </c>
      <c r="R13" s="770" t="s">
        <v>17</v>
      </c>
      <c r="S13" s="771">
        <f t="shared" si="0"/>
        <v>100</v>
      </c>
      <c r="T13" s="770" t="s">
        <v>17</v>
      </c>
      <c r="U13" s="771">
        <f t="shared" si="1"/>
        <v>100</v>
      </c>
      <c r="V13" s="770" t="s">
        <v>17</v>
      </c>
      <c r="W13" s="771">
        <f t="shared" si="2"/>
        <v>100</v>
      </c>
      <c r="X13" s="772"/>
      <c r="Y13" s="309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79"/>
      <c r="Q14" s="1795">
        <f t="shared" si="6"/>
        <v>111</v>
      </c>
      <c r="R14" s="770" t="s">
        <v>17</v>
      </c>
      <c r="S14" s="771">
        <f t="shared" si="0"/>
        <v>100</v>
      </c>
      <c r="T14" s="770" t="s">
        <v>17</v>
      </c>
      <c r="U14" s="771">
        <f t="shared" si="1"/>
        <v>100</v>
      </c>
      <c r="V14" s="770" t="s">
        <v>17</v>
      </c>
      <c r="W14" s="771">
        <f t="shared" si="2"/>
        <v>100</v>
      </c>
      <c r="X14" s="772"/>
      <c r="Y14" s="3091"/>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6" t="s">
        <v>2553</v>
      </c>
      <c r="Q15" s="1810" t="str">
        <f t="shared" si="6"/>
        <v>办公集聚程度</v>
      </c>
      <c r="R15" s="774" t="s">
        <v>17</v>
      </c>
      <c r="S15" s="775">
        <f t="shared" si="0"/>
        <v>100</v>
      </c>
      <c r="T15" s="774" t="s">
        <v>17</v>
      </c>
      <c r="U15" s="775">
        <f t="shared" si="1"/>
        <v>100</v>
      </c>
      <c r="V15" s="774" t="s">
        <v>17</v>
      </c>
      <c r="W15" s="775">
        <f t="shared" si="2"/>
        <v>100</v>
      </c>
      <c r="X15" s="1813"/>
      <c r="Y15" s="3299"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307"/>
      <c r="Q16" s="1810"/>
      <c r="R16" s="774"/>
      <c r="S16" s="775"/>
      <c r="T16" s="774"/>
      <c r="U16" s="775"/>
      <c r="V16" s="774"/>
      <c r="W16" s="775"/>
      <c r="X16" s="1813"/>
      <c r="Y16" s="3300"/>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7"/>
      <c r="Q17" s="1810" t="str">
        <f>B17</f>
        <v>交通便捷度</v>
      </c>
      <c r="R17" s="774" t="s">
        <v>17</v>
      </c>
      <c r="S17" s="775">
        <f>F17</f>
        <v>100</v>
      </c>
      <c r="T17" s="774" t="s">
        <v>17</v>
      </c>
      <c r="U17" s="775">
        <f>H17</f>
        <v>100</v>
      </c>
      <c r="V17" s="774" t="s">
        <v>17</v>
      </c>
      <c r="W17" s="775">
        <f>J17</f>
        <v>100</v>
      </c>
      <c r="X17" s="1813"/>
      <c r="Y17" s="330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307"/>
      <c r="Q18" s="1810"/>
      <c r="R18" s="774"/>
      <c r="S18" s="775"/>
      <c r="T18" s="774"/>
      <c r="U18" s="775"/>
      <c r="V18" s="774"/>
      <c r="W18" s="775"/>
      <c r="X18" s="1813"/>
      <c r="Y18" s="3300"/>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7"/>
      <c r="Q19" s="1810" t="str">
        <f>B19</f>
        <v>公共配套设施</v>
      </c>
      <c r="R19" s="774" t="s">
        <v>17</v>
      </c>
      <c r="S19" s="775">
        <f>F19</f>
        <v>100</v>
      </c>
      <c r="T19" s="774" t="s">
        <v>17</v>
      </c>
      <c r="U19" s="775">
        <f>H19</f>
        <v>100</v>
      </c>
      <c r="V19" s="774" t="s">
        <v>17</v>
      </c>
      <c r="W19" s="775">
        <f>J19</f>
        <v>100</v>
      </c>
      <c r="X19" s="1813"/>
      <c r="Y19" s="330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307"/>
      <c r="Q20" s="1810"/>
      <c r="R20" s="774"/>
      <c r="S20" s="775"/>
      <c r="T20" s="774"/>
      <c r="U20" s="775"/>
      <c r="V20" s="774"/>
      <c r="W20" s="775"/>
      <c r="X20" s="1813"/>
      <c r="Y20" s="3300"/>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7"/>
      <c r="Q21" s="1810" t="str">
        <f>B21</f>
        <v>基础设施水平</v>
      </c>
      <c r="R21" s="774" t="s">
        <v>17</v>
      </c>
      <c r="S21" s="775">
        <f>F21</f>
        <v>100</v>
      </c>
      <c r="T21" s="774" t="s">
        <v>17</v>
      </c>
      <c r="U21" s="775">
        <f>H21</f>
        <v>100</v>
      </c>
      <c r="V21" s="774" t="s">
        <v>17</v>
      </c>
      <c r="W21" s="775">
        <f>J21</f>
        <v>100</v>
      </c>
      <c r="X21" s="1813"/>
      <c r="Y21" s="330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307"/>
      <c r="Q22" s="1810"/>
      <c r="R22" s="774"/>
      <c r="S22" s="775"/>
      <c r="T22" s="774"/>
      <c r="U22" s="775"/>
      <c r="V22" s="774"/>
      <c r="W22" s="775"/>
      <c r="X22" s="1813"/>
      <c r="Y22" s="3300"/>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7"/>
      <c r="Q23" s="1810" t="str">
        <f>B23</f>
        <v>环境质量</v>
      </c>
      <c r="R23" s="774" t="s">
        <v>17</v>
      </c>
      <c r="S23" s="775">
        <f>F23</f>
        <v>100</v>
      </c>
      <c r="T23" s="774" t="s">
        <v>17</v>
      </c>
      <c r="U23" s="775">
        <f>H23</f>
        <v>100</v>
      </c>
      <c r="V23" s="774" t="s">
        <v>17</v>
      </c>
      <c r="W23" s="775">
        <f>J23</f>
        <v>100</v>
      </c>
      <c r="X23" s="1813"/>
      <c r="Y23" s="330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307"/>
      <c r="Q24" s="1810"/>
      <c r="R24" s="774"/>
      <c r="S24" s="775"/>
      <c r="T24" s="774"/>
      <c r="U24" s="775"/>
      <c r="V24" s="774"/>
      <c r="W24" s="775"/>
      <c r="X24" s="1813"/>
      <c r="Y24" s="3300"/>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07"/>
      <c r="Q25" s="1810" t="str">
        <f>B25</f>
        <v>毗邻道路的类型与等级</v>
      </c>
      <c r="R25" s="774" t="s">
        <v>17</v>
      </c>
      <c r="S25" s="775">
        <f>F25</f>
        <v>100</v>
      </c>
      <c r="T25" s="774" t="s">
        <v>17</v>
      </c>
      <c r="U25" s="775">
        <f>H25</f>
        <v>100</v>
      </c>
      <c r="V25" s="774" t="s">
        <v>17</v>
      </c>
      <c r="W25" s="775">
        <f>J25</f>
        <v>100</v>
      </c>
      <c r="X25" s="1813"/>
      <c r="Y25" s="330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307"/>
      <c r="Q26" s="1810"/>
      <c r="R26" s="774"/>
      <c r="S26" s="775"/>
      <c r="T26" s="774"/>
      <c r="U26" s="775"/>
      <c r="V26" s="774"/>
      <c r="W26" s="775"/>
      <c r="X26" s="1813"/>
      <c r="Y26" s="3300"/>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7"/>
      <c r="Q27" s="1810" t="str">
        <f t="shared" ref="Q27:Q47" si="11">B27</f>
        <v>楼层</v>
      </c>
      <c r="R27" s="774" t="s">
        <v>17</v>
      </c>
      <c r="S27" s="775">
        <f>F27</f>
        <v>100</v>
      </c>
      <c r="T27" s="774" t="s">
        <v>17</v>
      </c>
      <c r="U27" s="775">
        <f>H27</f>
        <v>100</v>
      </c>
      <c r="V27" s="774" t="s">
        <v>17</v>
      </c>
      <c r="W27" s="775">
        <f>J27</f>
        <v>100</v>
      </c>
      <c r="X27" s="1813"/>
      <c r="Y27" s="3300"/>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307"/>
      <c r="Q28" s="1795" t="str">
        <f t="shared" si="11"/>
        <v>朝向</v>
      </c>
      <c r="R28" s="770" t="s">
        <v>17</v>
      </c>
      <c r="S28" s="771">
        <f>F28</f>
        <v>100</v>
      </c>
      <c r="T28" s="770" t="s">
        <v>17</v>
      </c>
      <c r="U28" s="771">
        <f>H28</f>
        <v>100</v>
      </c>
      <c r="V28" s="770" t="s">
        <v>17</v>
      </c>
      <c r="W28" s="771">
        <f>J28</f>
        <v>100</v>
      </c>
      <c r="X28" s="772"/>
      <c r="Y28" s="330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307"/>
      <c r="Q29" s="1810">
        <f t="shared" si="11"/>
        <v>111</v>
      </c>
      <c r="R29" s="774" t="s">
        <v>17</v>
      </c>
      <c r="S29" s="775">
        <f t="shared" ref="S29:S47" si="12">F29</f>
        <v>100</v>
      </c>
      <c r="T29" s="774" t="s">
        <v>17</v>
      </c>
      <c r="U29" s="775">
        <f t="shared" ref="U29:U47" si="13">H29</f>
        <v>100</v>
      </c>
      <c r="V29" s="774" t="s">
        <v>17</v>
      </c>
      <c r="W29" s="775">
        <f t="shared" ref="W29:W47" si="14">J29</f>
        <v>100</v>
      </c>
      <c r="X29" s="1813"/>
      <c r="Y29" s="330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307"/>
      <c r="Q30" s="1810">
        <f t="shared" si="11"/>
        <v>111</v>
      </c>
      <c r="R30" s="774" t="s">
        <v>17</v>
      </c>
      <c r="S30" s="775">
        <f t="shared" si="12"/>
        <v>100</v>
      </c>
      <c r="T30" s="774" t="s">
        <v>17</v>
      </c>
      <c r="U30" s="775">
        <f t="shared" si="13"/>
        <v>100</v>
      </c>
      <c r="V30" s="774" t="s">
        <v>17</v>
      </c>
      <c r="W30" s="775">
        <f t="shared" si="14"/>
        <v>100</v>
      </c>
      <c r="X30" s="1813"/>
      <c r="Y30" s="330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307"/>
      <c r="Q31" s="1810">
        <f t="shared" si="11"/>
        <v>111</v>
      </c>
      <c r="R31" s="774" t="s">
        <v>17</v>
      </c>
      <c r="S31" s="775">
        <f t="shared" si="12"/>
        <v>100</v>
      </c>
      <c r="T31" s="774" t="s">
        <v>17</v>
      </c>
      <c r="U31" s="775">
        <f t="shared" si="13"/>
        <v>100</v>
      </c>
      <c r="V31" s="774" t="s">
        <v>17</v>
      </c>
      <c r="W31" s="775">
        <f t="shared" si="14"/>
        <v>100</v>
      </c>
      <c r="X31" s="1813"/>
      <c r="Y31" s="3300"/>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307"/>
      <c r="Q32" s="1810">
        <f t="shared" si="11"/>
        <v>111</v>
      </c>
      <c r="R32" s="774" t="s">
        <v>17</v>
      </c>
      <c r="S32" s="775">
        <f t="shared" si="12"/>
        <v>100</v>
      </c>
      <c r="T32" s="774" t="s">
        <v>17</v>
      </c>
      <c r="U32" s="775">
        <f t="shared" si="13"/>
        <v>100</v>
      </c>
      <c r="V32" s="774" t="s">
        <v>17</v>
      </c>
      <c r="W32" s="775">
        <f t="shared" si="14"/>
        <v>100</v>
      </c>
      <c r="X32" s="1813"/>
      <c r="Y32" s="3300"/>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301" t="s">
        <v>2558</v>
      </c>
      <c r="Q33" s="1810" t="str">
        <f t="shared" si="11"/>
        <v>建筑类型</v>
      </c>
      <c r="R33" s="774" t="s">
        <v>17</v>
      </c>
      <c r="S33" s="775">
        <f t="shared" si="12"/>
        <v>100</v>
      </c>
      <c r="T33" s="774" t="s">
        <v>17</v>
      </c>
      <c r="U33" s="775">
        <f t="shared" si="13"/>
        <v>100</v>
      </c>
      <c r="V33" s="774" t="s">
        <v>17</v>
      </c>
      <c r="W33" s="775">
        <f t="shared" si="14"/>
        <v>100</v>
      </c>
      <c r="X33" s="1813"/>
      <c r="Y33" s="3304"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2"/>
      <c r="Q34" s="776" t="str">
        <f t="shared" si="11"/>
        <v>项目建筑规模</v>
      </c>
      <c r="R34" s="777" t="s">
        <v>17</v>
      </c>
      <c r="S34" s="778" t="e">
        <f t="shared" si="12"/>
        <v>#N/A</v>
      </c>
      <c r="T34" s="777" t="s">
        <v>17</v>
      </c>
      <c r="U34" s="778" t="e">
        <f t="shared" si="13"/>
        <v>#N/A</v>
      </c>
      <c r="V34" s="777" t="s">
        <v>17</v>
      </c>
      <c r="W34" s="778" t="e">
        <f t="shared" si="14"/>
        <v>#N/A</v>
      </c>
      <c r="X34" s="779"/>
      <c r="Y34" s="3304"/>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2"/>
      <c r="Q35" s="1810" t="str">
        <f t="shared" si="11"/>
        <v>建筑结构</v>
      </c>
      <c r="R35" s="774" t="s">
        <v>17</v>
      </c>
      <c r="S35" s="775">
        <f t="shared" si="12"/>
        <v>100</v>
      </c>
      <c r="T35" s="774" t="s">
        <v>17</v>
      </c>
      <c r="U35" s="775">
        <f t="shared" si="13"/>
        <v>100</v>
      </c>
      <c r="V35" s="774" t="s">
        <v>17</v>
      </c>
      <c r="W35" s="775">
        <f t="shared" si="14"/>
        <v>100</v>
      </c>
      <c r="X35" s="1813"/>
      <c r="Y35" s="3304"/>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2"/>
      <c r="Q36" s="1810" t="str">
        <f t="shared" si="11"/>
        <v>公共部分装修</v>
      </c>
      <c r="R36" s="774" t="s">
        <v>17</v>
      </c>
      <c r="S36" s="775">
        <f t="shared" si="12"/>
        <v>100</v>
      </c>
      <c r="T36" s="774" t="s">
        <v>17</v>
      </c>
      <c r="U36" s="775">
        <f t="shared" si="13"/>
        <v>100</v>
      </c>
      <c r="V36" s="774" t="s">
        <v>17</v>
      </c>
      <c r="W36" s="775">
        <f t="shared" si="14"/>
        <v>100</v>
      </c>
      <c r="X36" s="1813"/>
      <c r="Y36" s="3304"/>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2"/>
      <c r="Q37" s="1810" t="str">
        <f t="shared" si="11"/>
        <v>成新度</v>
      </c>
      <c r="R37" s="774" t="s">
        <v>17</v>
      </c>
      <c r="S37" s="775" t="e">
        <f t="shared" si="12"/>
        <v>#N/A</v>
      </c>
      <c r="T37" s="774" t="s">
        <v>17</v>
      </c>
      <c r="U37" s="775" t="e">
        <f t="shared" si="13"/>
        <v>#N/A</v>
      </c>
      <c r="V37" s="774" t="s">
        <v>17</v>
      </c>
      <c r="W37" s="775" t="e">
        <f t="shared" si="14"/>
        <v>#N/A</v>
      </c>
      <c r="X37" s="1813"/>
      <c r="Y37" s="3304"/>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2"/>
      <c r="Q38" s="1795" t="str">
        <f t="shared" si="11"/>
        <v>写字楼等级</v>
      </c>
      <c r="R38" s="770" t="s">
        <v>17</v>
      </c>
      <c r="S38" s="771">
        <f t="shared" si="12"/>
        <v>100</v>
      </c>
      <c r="T38" s="770" t="s">
        <v>17</v>
      </c>
      <c r="U38" s="771">
        <f t="shared" si="13"/>
        <v>100</v>
      </c>
      <c r="V38" s="770" t="s">
        <v>17</v>
      </c>
      <c r="W38" s="771">
        <f t="shared" si="14"/>
        <v>100</v>
      </c>
      <c r="X38" s="772"/>
      <c r="Y38" s="3304"/>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2" t="s">
        <v>2558</v>
      </c>
      <c r="Q39" s="1810" t="str">
        <f t="shared" si="11"/>
        <v>物业管理</v>
      </c>
      <c r="R39" s="774" t="s">
        <v>17</v>
      </c>
      <c r="S39" s="775">
        <f t="shared" si="12"/>
        <v>100</v>
      </c>
      <c r="T39" s="774" t="s">
        <v>17</v>
      </c>
      <c r="U39" s="775">
        <f t="shared" si="13"/>
        <v>100</v>
      </c>
      <c r="V39" s="774" t="s">
        <v>17</v>
      </c>
      <c r="W39" s="775">
        <f t="shared" si="14"/>
        <v>100</v>
      </c>
      <c r="X39" s="1813"/>
      <c r="Y39" s="3304"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2"/>
      <c r="Q40" s="1810" t="str">
        <f t="shared" si="11"/>
        <v>市政基础设施</v>
      </c>
      <c r="R40" s="774" t="s">
        <v>17</v>
      </c>
      <c r="S40" s="775">
        <f t="shared" si="12"/>
        <v>100</v>
      </c>
      <c r="T40" s="774" t="s">
        <v>17</v>
      </c>
      <c r="U40" s="775">
        <f t="shared" si="13"/>
        <v>100</v>
      </c>
      <c r="V40" s="774" t="s">
        <v>17</v>
      </c>
      <c r="W40" s="775">
        <f t="shared" si="14"/>
        <v>100</v>
      </c>
      <c r="X40" s="1813"/>
      <c r="Y40" s="3304"/>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2"/>
      <c r="Q41" s="1810" t="str">
        <f t="shared" si="11"/>
        <v>层高</v>
      </c>
      <c r="R41" s="774" t="s">
        <v>17</v>
      </c>
      <c r="S41" s="775">
        <f t="shared" si="12"/>
        <v>100</v>
      </c>
      <c r="T41" s="774" t="s">
        <v>17</v>
      </c>
      <c r="U41" s="775">
        <f t="shared" si="13"/>
        <v>100</v>
      </c>
      <c r="V41" s="774" t="s">
        <v>17</v>
      </c>
      <c r="W41" s="775">
        <f t="shared" si="14"/>
        <v>100</v>
      </c>
      <c r="X41" s="1813"/>
      <c r="Y41" s="3304"/>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2"/>
      <c r="Q42" s="776" t="str">
        <f t="shared" si="11"/>
        <v>单套建筑面积</v>
      </c>
      <c r="R42" s="777" t="s">
        <v>17</v>
      </c>
      <c r="S42" s="778">
        <f t="shared" si="12"/>
        <v>100</v>
      </c>
      <c r="T42" s="777" t="s">
        <v>17</v>
      </c>
      <c r="U42" s="778">
        <f t="shared" si="13"/>
        <v>100</v>
      </c>
      <c r="V42" s="777" t="s">
        <v>17</v>
      </c>
      <c r="W42" s="778">
        <f t="shared" si="14"/>
        <v>100</v>
      </c>
      <c r="X42" s="779"/>
      <c r="Y42" s="3304"/>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2"/>
      <c r="Q43" s="1810" t="str">
        <f t="shared" si="11"/>
        <v>内部装修</v>
      </c>
      <c r="R43" s="774" t="s">
        <v>17</v>
      </c>
      <c r="S43" s="775">
        <f t="shared" si="12"/>
        <v>100</v>
      </c>
      <c r="T43" s="774" t="s">
        <v>17</v>
      </c>
      <c r="U43" s="775">
        <f t="shared" si="13"/>
        <v>100</v>
      </c>
      <c r="V43" s="774" t="s">
        <v>17</v>
      </c>
      <c r="W43" s="775">
        <f t="shared" si="14"/>
        <v>100</v>
      </c>
      <c r="X43" s="1813"/>
      <c r="Y43" s="3304"/>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02"/>
      <c r="Q44" s="1810" t="str">
        <f t="shared" si="11"/>
        <v>内部装修维护情况</v>
      </c>
      <c r="R44" s="774" t="s">
        <v>17</v>
      </c>
      <c r="S44" s="775">
        <f t="shared" si="12"/>
        <v>100</v>
      </c>
      <c r="T44" s="774" t="s">
        <v>17</v>
      </c>
      <c r="U44" s="775">
        <f t="shared" si="13"/>
        <v>100</v>
      </c>
      <c r="V44" s="774" t="s">
        <v>17</v>
      </c>
      <c r="W44" s="775">
        <f t="shared" si="14"/>
        <v>100</v>
      </c>
      <c r="X44" s="1813"/>
      <c r="Y44" s="3304"/>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2"/>
      <c r="Q45" s="1795">
        <f t="shared" si="11"/>
        <v>111</v>
      </c>
      <c r="R45" s="770" t="s">
        <v>17</v>
      </c>
      <c r="S45" s="771">
        <f t="shared" si="12"/>
        <v>100</v>
      </c>
      <c r="T45" s="770" t="s">
        <v>17</v>
      </c>
      <c r="U45" s="771">
        <f t="shared" si="13"/>
        <v>100</v>
      </c>
      <c r="V45" s="770" t="s">
        <v>17</v>
      </c>
      <c r="W45" s="771">
        <f t="shared" si="14"/>
        <v>100</v>
      </c>
      <c r="X45" s="772"/>
      <c r="Y45" s="330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2"/>
      <c r="Q46" s="1810">
        <f t="shared" si="11"/>
        <v>111</v>
      </c>
      <c r="R46" s="774" t="s">
        <v>17</v>
      </c>
      <c r="S46" s="775">
        <f t="shared" si="12"/>
        <v>100</v>
      </c>
      <c r="T46" s="774" t="s">
        <v>17</v>
      </c>
      <c r="U46" s="775">
        <f t="shared" si="13"/>
        <v>100</v>
      </c>
      <c r="V46" s="774" t="s">
        <v>17</v>
      </c>
      <c r="W46" s="775">
        <f t="shared" si="14"/>
        <v>100</v>
      </c>
      <c r="X46" s="1813"/>
      <c r="Y46" s="330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3"/>
      <c r="Q47" s="1810">
        <f t="shared" si="11"/>
        <v>111</v>
      </c>
      <c r="R47" s="774" t="s">
        <v>17</v>
      </c>
      <c r="S47" s="775">
        <f t="shared" si="12"/>
        <v>100</v>
      </c>
      <c r="T47" s="774" t="s">
        <v>17</v>
      </c>
      <c r="U47" s="775">
        <f t="shared" si="13"/>
        <v>100</v>
      </c>
      <c r="V47" s="774" t="s">
        <v>17</v>
      </c>
      <c r="W47" s="775">
        <f t="shared" si="14"/>
        <v>100</v>
      </c>
      <c r="X47" s="1813"/>
      <c r="Y47" s="3305"/>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79" t="str">
        <f>A48</f>
        <v>成交单价（元/平方米）</v>
      </c>
      <c r="Q48" s="3297"/>
      <c r="R48" s="3298">
        <f>E48</f>
        <v>0</v>
      </c>
      <c r="S48" s="3298"/>
      <c r="T48" s="3298">
        <f>G48</f>
        <v>0</v>
      </c>
      <c r="U48" s="3298"/>
      <c r="V48" s="3298">
        <f>I48</f>
        <v>0</v>
      </c>
      <c r="W48" s="3298"/>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79"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320" t="str">
        <f>A50</f>
        <v>估价对象XX用房的比较价值（楼面单价，元/平方米）</v>
      </c>
      <c r="Q50" s="3321"/>
      <c r="R50" s="3322" t="e">
        <f>IF(F1="售价",ROUND(AVERAGE(R49:V49),0),ROUND(AVERAGE(R49:V49),1))</f>
        <v>#DIV/0!</v>
      </c>
      <c r="S50" s="3322"/>
      <c r="T50" s="3322"/>
      <c r="U50" s="3322"/>
      <c r="V50" s="3322"/>
      <c r="W50" s="3322"/>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5"/>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28872.97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80" t="s">
        <v>2639</v>
      </c>
      <c r="D4" s="3281"/>
      <c r="E4" s="3282" t="s">
        <v>2640</v>
      </c>
      <c r="F4" s="3283"/>
      <c r="G4" s="3280" t="s">
        <v>2641</v>
      </c>
      <c r="H4" s="3281"/>
      <c r="I4" s="3280" t="s">
        <v>2642</v>
      </c>
      <c r="J4" s="3281"/>
      <c r="K4" s="610" t="s">
        <v>2643</v>
      </c>
      <c r="L4" s="1130"/>
      <c r="M4" s="1131"/>
      <c r="N4" s="1131"/>
      <c r="O4" s="1131"/>
      <c r="P4" s="3284" t="s">
        <v>2644</v>
      </c>
      <c r="Q4" s="3285"/>
      <c r="R4" s="3267" t="s">
        <v>2640</v>
      </c>
      <c r="S4" s="3268"/>
      <c r="T4" s="3267" t="s">
        <v>2641</v>
      </c>
      <c r="U4" s="3268"/>
      <c r="V4" s="3292" t="s">
        <v>2642</v>
      </c>
      <c r="W4" s="3292"/>
      <c r="X4" s="1813"/>
      <c r="Y4" s="3267" t="s">
        <v>2644</v>
      </c>
      <c r="Z4" s="3268"/>
      <c r="AA4" s="3262" t="s">
        <v>2640</v>
      </c>
      <c r="AB4" s="3263" t="s">
        <v>2641</v>
      </c>
      <c r="AC4" s="3262" t="s">
        <v>2642</v>
      </c>
    </row>
    <row r="5" spans="1:29" ht="15">
      <c r="A5" s="404"/>
      <c r="B5" s="405"/>
      <c r="C5" s="3273" t="s">
        <v>2535</v>
      </c>
      <c r="D5" s="3274"/>
      <c r="E5" s="3271" t="s">
        <v>2536</v>
      </c>
      <c r="F5" s="3272"/>
      <c r="G5" s="3273" t="s">
        <v>2537</v>
      </c>
      <c r="H5" s="3274"/>
      <c r="I5" s="3273" t="s">
        <v>2538</v>
      </c>
      <c r="J5" s="3274"/>
      <c r="K5" s="610"/>
      <c r="L5" s="1130"/>
      <c r="M5" s="1131"/>
      <c r="N5" s="1131"/>
      <c r="O5" s="1131"/>
      <c r="P5" s="3286"/>
      <c r="Q5" s="3287"/>
      <c r="R5" s="3269"/>
      <c r="S5" s="3270"/>
      <c r="T5" s="3269"/>
      <c r="U5" s="3270"/>
      <c r="V5" s="3292"/>
      <c r="W5" s="3292"/>
      <c r="X5" s="1813"/>
      <c r="Y5" s="3269"/>
      <c r="Z5" s="3270"/>
      <c r="AA5" s="3263"/>
      <c r="AB5" s="3263"/>
      <c r="AC5" s="3263"/>
    </row>
    <row r="6" spans="1:29" ht="15.75" thickBot="1">
      <c r="A6" s="406"/>
      <c r="B6" s="407"/>
      <c r="C6" s="3275" t="s">
        <v>2539</v>
      </c>
      <c r="D6" s="3276"/>
      <c r="E6" s="3277" t="s">
        <v>2539</v>
      </c>
      <c r="F6" s="3278"/>
      <c r="G6" s="3275" t="s">
        <v>2539</v>
      </c>
      <c r="H6" s="3276"/>
      <c r="I6" s="3275" t="s">
        <v>2539</v>
      </c>
      <c r="J6" s="3276"/>
      <c r="K6" s="610" t="s">
        <v>2540</v>
      </c>
      <c r="L6" s="1130"/>
      <c r="M6" s="1131"/>
      <c r="N6" s="1131"/>
      <c r="O6" s="1131"/>
      <c r="P6" s="3288"/>
      <c r="Q6" s="3289"/>
      <c r="R6" s="3269"/>
      <c r="S6" s="3270"/>
      <c r="T6" s="3290"/>
      <c r="U6" s="3291"/>
      <c r="V6" s="3292"/>
      <c r="W6" s="3292"/>
      <c r="X6" s="1813"/>
      <c r="Y6" s="3290"/>
      <c r="Z6" s="3291"/>
      <c r="AA6" s="3264"/>
      <c r="AB6" s="3264"/>
      <c r="AC6" s="3264"/>
    </row>
    <row r="7" spans="1:29" s="117" customFormat="1" ht="15.75" thickBot="1">
      <c r="A7" s="408" t="s">
        <v>2541</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5" t="s">
        <v>2542</v>
      </c>
      <c r="Q7" s="3293"/>
      <c r="R7" s="770" t="s">
        <v>17</v>
      </c>
      <c r="S7" s="771">
        <f t="shared" ref="S7:S15" si="0">F7</f>
        <v>0</v>
      </c>
      <c r="T7" s="770" t="s">
        <v>17</v>
      </c>
      <c r="U7" s="771">
        <f t="shared" ref="U7:U15" si="1">H7</f>
        <v>0</v>
      </c>
      <c r="V7" s="770" t="s">
        <v>17</v>
      </c>
      <c r="W7" s="771">
        <f t="shared" ref="W7:W15" si="2">J7</f>
        <v>0</v>
      </c>
      <c r="X7" s="772"/>
      <c r="Y7" s="3265" t="s">
        <v>2542</v>
      </c>
      <c r="Z7" s="3266"/>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5" t="s">
        <v>2545</v>
      </c>
      <c r="Q8" s="3266"/>
      <c r="R8" s="770" t="s">
        <v>17</v>
      </c>
      <c r="S8" s="771">
        <f t="shared" si="0"/>
        <v>0</v>
      </c>
      <c r="T8" s="770" t="s">
        <v>17</v>
      </c>
      <c r="U8" s="771">
        <f t="shared" si="1"/>
        <v>0</v>
      </c>
      <c r="V8" s="770" t="s">
        <v>17</v>
      </c>
      <c r="W8" s="771">
        <f t="shared" si="2"/>
        <v>0</v>
      </c>
      <c r="X8" s="772"/>
      <c r="Y8" s="3265" t="s">
        <v>2545</v>
      </c>
      <c r="Z8" s="3266"/>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7" t="s">
        <v>2548</v>
      </c>
      <c r="Q9" s="1795" t="str">
        <f t="shared" ref="Q9:Q15" si="6">B9</f>
        <v>用途</v>
      </c>
      <c r="R9" s="770" t="s">
        <v>17</v>
      </c>
      <c r="S9" s="771">
        <f t="shared" si="0"/>
        <v>100</v>
      </c>
      <c r="T9" s="770" t="s">
        <v>17</v>
      </c>
      <c r="U9" s="771">
        <f t="shared" si="1"/>
        <v>100</v>
      </c>
      <c r="V9" s="770" t="s">
        <v>17</v>
      </c>
      <c r="W9" s="771">
        <f t="shared" si="2"/>
        <v>100</v>
      </c>
      <c r="X9" s="772"/>
      <c r="Y9" s="309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7"/>
      <c r="Q10" s="1795" t="str">
        <f t="shared" si="6"/>
        <v>土地使用年限（年）</v>
      </c>
      <c r="R10" s="770" t="s">
        <v>17</v>
      </c>
      <c r="S10" s="771">
        <f t="shared" si="0"/>
        <v>100</v>
      </c>
      <c r="T10" s="770" t="s">
        <v>17</v>
      </c>
      <c r="U10" s="771">
        <f t="shared" si="1"/>
        <v>100</v>
      </c>
      <c r="V10" s="770" t="s">
        <v>17</v>
      </c>
      <c r="W10" s="771">
        <f t="shared" si="2"/>
        <v>100</v>
      </c>
      <c r="X10" s="772"/>
      <c r="Y10" s="3091"/>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7"/>
      <c r="Q11" s="1795" t="str">
        <f t="shared" si="6"/>
        <v>容积率</v>
      </c>
      <c r="R11" s="770" t="s">
        <v>17</v>
      </c>
      <c r="S11" s="771" t="e">
        <f t="shared" si="0"/>
        <v>#N/A</v>
      </c>
      <c r="T11" s="770" t="s">
        <v>17</v>
      </c>
      <c r="U11" s="771" t="e">
        <f t="shared" si="1"/>
        <v>#N/A</v>
      </c>
      <c r="V11" s="770" t="s">
        <v>17</v>
      </c>
      <c r="W11" s="771" t="e">
        <f t="shared" si="2"/>
        <v>#N/A</v>
      </c>
      <c r="X11" s="772"/>
      <c r="Y11" s="309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97"/>
      <c r="Q12" s="1795">
        <f t="shared" si="6"/>
        <v>111</v>
      </c>
      <c r="R12" s="770" t="s">
        <v>17</v>
      </c>
      <c r="S12" s="771">
        <f t="shared" si="0"/>
        <v>100</v>
      </c>
      <c r="T12" s="770" t="s">
        <v>17</v>
      </c>
      <c r="U12" s="771">
        <f t="shared" si="1"/>
        <v>100</v>
      </c>
      <c r="V12" s="770" t="s">
        <v>17</v>
      </c>
      <c r="W12" s="771">
        <f t="shared" si="2"/>
        <v>100</v>
      </c>
      <c r="X12" s="772"/>
      <c r="Y12" s="309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97"/>
      <c r="Q13" s="1795">
        <f t="shared" si="6"/>
        <v>111</v>
      </c>
      <c r="R13" s="770" t="s">
        <v>17</v>
      </c>
      <c r="S13" s="771">
        <f t="shared" si="0"/>
        <v>100</v>
      </c>
      <c r="T13" s="770" t="s">
        <v>17</v>
      </c>
      <c r="U13" s="771">
        <f t="shared" si="1"/>
        <v>100</v>
      </c>
      <c r="V13" s="770" t="s">
        <v>17</v>
      </c>
      <c r="W13" s="771">
        <f t="shared" si="2"/>
        <v>100</v>
      </c>
      <c r="X13" s="772"/>
      <c r="Y13" s="309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97"/>
      <c r="Q14" s="1795">
        <f t="shared" si="6"/>
        <v>111</v>
      </c>
      <c r="R14" s="770" t="s">
        <v>17</v>
      </c>
      <c r="S14" s="771">
        <f t="shared" si="0"/>
        <v>100</v>
      </c>
      <c r="T14" s="770" t="s">
        <v>17</v>
      </c>
      <c r="U14" s="771">
        <f t="shared" si="1"/>
        <v>100</v>
      </c>
      <c r="V14" s="770" t="s">
        <v>17</v>
      </c>
      <c r="W14" s="771">
        <f t="shared" si="2"/>
        <v>100</v>
      </c>
      <c r="X14" s="772"/>
      <c r="Y14" s="3091"/>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9" t="s">
        <v>2553</v>
      </c>
      <c r="Q15" s="1810" t="str">
        <f t="shared" si="6"/>
        <v>产业集聚程度</v>
      </c>
      <c r="R15" s="774" t="s">
        <v>17</v>
      </c>
      <c r="S15" s="775">
        <f t="shared" si="0"/>
        <v>100</v>
      </c>
      <c r="T15" s="774" t="s">
        <v>17</v>
      </c>
      <c r="U15" s="775">
        <f t="shared" si="1"/>
        <v>100</v>
      </c>
      <c r="V15" s="774" t="s">
        <v>17</v>
      </c>
      <c r="W15" s="775">
        <f t="shared" si="2"/>
        <v>100</v>
      </c>
      <c r="X15" s="1813"/>
      <c r="Y15" s="3299"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00"/>
      <c r="Q16" s="1810"/>
      <c r="R16" s="774"/>
      <c r="S16" s="775"/>
      <c r="T16" s="774"/>
      <c r="U16" s="775"/>
      <c r="V16" s="774"/>
      <c r="W16" s="775"/>
      <c r="X16" s="1813"/>
      <c r="Y16" s="3300"/>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00"/>
      <c r="Q17" s="1810" t="str">
        <f>B17</f>
        <v>交通便捷度</v>
      </c>
      <c r="R17" s="774" t="s">
        <v>17</v>
      </c>
      <c r="S17" s="775">
        <f>F17</f>
        <v>100</v>
      </c>
      <c r="T17" s="774" t="s">
        <v>17</v>
      </c>
      <c r="U17" s="775">
        <f>H17</f>
        <v>100</v>
      </c>
      <c r="V17" s="774" t="s">
        <v>17</v>
      </c>
      <c r="W17" s="775">
        <f>J17</f>
        <v>100</v>
      </c>
      <c r="X17" s="1813"/>
      <c r="Y17" s="330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300"/>
      <c r="Q18" s="1810"/>
      <c r="R18" s="774"/>
      <c r="S18" s="775"/>
      <c r="T18" s="774"/>
      <c r="U18" s="775"/>
      <c r="V18" s="774"/>
      <c r="W18" s="775"/>
      <c r="X18" s="1813"/>
      <c r="Y18" s="3300"/>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00"/>
      <c r="Q19" s="1810" t="str">
        <f>B19</f>
        <v>公共配套设施</v>
      </c>
      <c r="R19" s="774" t="s">
        <v>17</v>
      </c>
      <c r="S19" s="775">
        <f>F19</f>
        <v>100</v>
      </c>
      <c r="T19" s="774" t="s">
        <v>17</v>
      </c>
      <c r="U19" s="775">
        <f>H19</f>
        <v>100</v>
      </c>
      <c r="V19" s="774" t="s">
        <v>17</v>
      </c>
      <c r="W19" s="775">
        <f>J19</f>
        <v>100</v>
      </c>
      <c r="X19" s="1813"/>
      <c r="Y19" s="330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300"/>
      <c r="Q20" s="1810"/>
      <c r="R20" s="774"/>
      <c r="S20" s="775"/>
      <c r="T20" s="774"/>
      <c r="U20" s="775"/>
      <c r="V20" s="774"/>
      <c r="W20" s="775"/>
      <c r="X20" s="1813"/>
      <c r="Y20" s="3300"/>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00"/>
      <c r="Q21" s="1810" t="str">
        <f>B21</f>
        <v>基础设施水平</v>
      </c>
      <c r="R21" s="774" t="s">
        <v>17</v>
      </c>
      <c r="S21" s="775">
        <f>F21</f>
        <v>100</v>
      </c>
      <c r="T21" s="774" t="s">
        <v>17</v>
      </c>
      <c r="U21" s="775">
        <f>H21</f>
        <v>100</v>
      </c>
      <c r="V21" s="774" t="s">
        <v>17</v>
      </c>
      <c r="W21" s="775">
        <f>J21</f>
        <v>100</v>
      </c>
      <c r="X21" s="1813"/>
      <c r="Y21" s="330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300"/>
      <c r="Q22" s="1810"/>
      <c r="R22" s="774"/>
      <c r="S22" s="775"/>
      <c r="T22" s="774"/>
      <c r="U22" s="775"/>
      <c r="V22" s="774"/>
      <c r="W22" s="775"/>
      <c r="X22" s="1813"/>
      <c r="Y22" s="3300"/>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00"/>
      <c r="Q23" s="1810" t="str">
        <f>B23</f>
        <v>环境质量</v>
      </c>
      <c r="R23" s="774" t="s">
        <v>17</v>
      </c>
      <c r="S23" s="775">
        <f>F23</f>
        <v>100</v>
      </c>
      <c r="T23" s="774" t="s">
        <v>17</v>
      </c>
      <c r="U23" s="775">
        <f>H23</f>
        <v>100</v>
      </c>
      <c r="V23" s="774" t="s">
        <v>17</v>
      </c>
      <c r="W23" s="775">
        <f>J23</f>
        <v>100</v>
      </c>
      <c r="X23" s="1813"/>
      <c r="Y23" s="3300"/>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300"/>
      <c r="Q24" s="1810"/>
      <c r="R24" s="774"/>
      <c r="S24" s="775"/>
      <c r="T24" s="774"/>
      <c r="U24" s="775"/>
      <c r="V24" s="774"/>
      <c r="W24" s="775"/>
      <c r="X24" s="1813"/>
      <c r="Y24" s="330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00"/>
      <c r="Q25" s="1810">
        <f>B25</f>
        <v>111</v>
      </c>
      <c r="R25" s="774" t="s">
        <v>17</v>
      </c>
      <c r="S25" s="775">
        <f>F25</f>
        <v>100</v>
      </c>
      <c r="T25" s="774" t="s">
        <v>17</v>
      </c>
      <c r="U25" s="775">
        <f>H25</f>
        <v>100</v>
      </c>
      <c r="V25" s="774" t="s">
        <v>17</v>
      </c>
      <c r="W25" s="775">
        <f>J25</f>
        <v>100</v>
      </c>
      <c r="X25" s="1813"/>
      <c r="Y25" s="330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00"/>
      <c r="Q26" s="1810">
        <f t="shared" ref="Q26:Q40" si="11">B26</f>
        <v>111</v>
      </c>
      <c r="R26" s="774" t="s">
        <v>17</v>
      </c>
      <c r="S26" s="775">
        <f>F26</f>
        <v>100</v>
      </c>
      <c r="T26" s="774" t="s">
        <v>17</v>
      </c>
      <c r="U26" s="775">
        <f>H26</f>
        <v>100</v>
      </c>
      <c r="V26" s="774" t="s">
        <v>17</v>
      </c>
      <c r="W26" s="775">
        <f>J26</f>
        <v>100</v>
      </c>
      <c r="X26" s="1813"/>
      <c r="Y26" s="330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00"/>
      <c r="Q27" s="1795">
        <f t="shared" si="11"/>
        <v>111</v>
      </c>
      <c r="R27" s="770" t="s">
        <v>17</v>
      </c>
      <c r="S27" s="771">
        <f>F27</f>
        <v>100</v>
      </c>
      <c r="T27" s="770" t="s">
        <v>17</v>
      </c>
      <c r="U27" s="771">
        <f>H27</f>
        <v>100</v>
      </c>
      <c r="V27" s="770" t="s">
        <v>17</v>
      </c>
      <c r="W27" s="771">
        <f>J27</f>
        <v>100</v>
      </c>
      <c r="X27" s="772"/>
      <c r="Y27" s="330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00"/>
      <c r="Q28" s="1810">
        <f t="shared" si="11"/>
        <v>111</v>
      </c>
      <c r="R28" s="774" t="s">
        <v>17</v>
      </c>
      <c r="S28" s="775">
        <f t="shared" ref="S28:S40" si="12">F28</f>
        <v>100</v>
      </c>
      <c r="T28" s="774" t="s">
        <v>17</v>
      </c>
      <c r="U28" s="775">
        <f t="shared" ref="U28:U40" si="13">H28</f>
        <v>100</v>
      </c>
      <c r="V28" s="774" t="s">
        <v>17</v>
      </c>
      <c r="W28" s="775">
        <f t="shared" ref="W28:W40" si="14">J28</f>
        <v>100</v>
      </c>
      <c r="X28" s="1813"/>
      <c r="Y28" s="3300"/>
      <c r="Z28" s="1814">
        <f t="shared" ref="Z28:Z40" si="15">Q28</f>
        <v>111</v>
      </c>
      <c r="AA28" s="1811">
        <f t="shared" si="3"/>
        <v>1</v>
      </c>
      <c r="AB28" s="1811">
        <f t="shared" si="4"/>
        <v>1</v>
      </c>
      <c r="AC28" s="1811">
        <f t="shared" si="5"/>
        <v>1</v>
      </c>
    </row>
    <row r="29" spans="1:29" ht="1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323" t="s">
        <v>2558</v>
      </c>
      <c r="Q29" s="1810" t="str">
        <f t="shared" si="11"/>
        <v>建筑类型</v>
      </c>
      <c r="R29" s="774" t="s">
        <v>17</v>
      </c>
      <c r="S29" s="775">
        <f t="shared" si="12"/>
        <v>100</v>
      </c>
      <c r="T29" s="774" t="s">
        <v>17</v>
      </c>
      <c r="U29" s="775">
        <f t="shared" si="13"/>
        <v>100</v>
      </c>
      <c r="V29" s="774" t="s">
        <v>17</v>
      </c>
      <c r="W29" s="775">
        <f t="shared" si="14"/>
        <v>100</v>
      </c>
      <c r="X29" s="1813"/>
      <c r="Y29" s="3304"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4"/>
      <c r="Q30" s="776" t="str">
        <f t="shared" si="11"/>
        <v>项目建筑规模</v>
      </c>
      <c r="R30" s="777" t="s">
        <v>17</v>
      </c>
      <c r="S30" s="778" t="e">
        <f t="shared" si="12"/>
        <v>#N/A</v>
      </c>
      <c r="T30" s="777" t="s">
        <v>17</v>
      </c>
      <c r="U30" s="778" t="e">
        <f t="shared" si="13"/>
        <v>#N/A</v>
      </c>
      <c r="V30" s="777" t="s">
        <v>17</v>
      </c>
      <c r="W30" s="778" t="e">
        <f t="shared" si="14"/>
        <v>#N/A</v>
      </c>
      <c r="X30" s="779"/>
      <c r="Y30" s="3304"/>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4"/>
      <c r="Q31" s="1810" t="str">
        <f t="shared" si="11"/>
        <v>建筑结构</v>
      </c>
      <c r="R31" s="774" t="s">
        <v>17</v>
      </c>
      <c r="S31" s="775">
        <f t="shared" si="12"/>
        <v>100</v>
      </c>
      <c r="T31" s="774" t="s">
        <v>17</v>
      </c>
      <c r="U31" s="775">
        <f t="shared" si="13"/>
        <v>100</v>
      </c>
      <c r="V31" s="774" t="s">
        <v>17</v>
      </c>
      <c r="W31" s="775">
        <f t="shared" si="14"/>
        <v>100</v>
      </c>
      <c r="X31" s="1813"/>
      <c r="Y31" s="3304"/>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4"/>
      <c r="Q32" s="1810" t="str">
        <f t="shared" si="11"/>
        <v>公共部分装修</v>
      </c>
      <c r="R32" s="774" t="s">
        <v>17</v>
      </c>
      <c r="S32" s="775">
        <f t="shared" si="12"/>
        <v>100</v>
      </c>
      <c r="T32" s="774" t="s">
        <v>17</v>
      </c>
      <c r="U32" s="775">
        <f t="shared" si="13"/>
        <v>100</v>
      </c>
      <c r="V32" s="774" t="s">
        <v>17</v>
      </c>
      <c r="W32" s="775">
        <f t="shared" si="14"/>
        <v>100</v>
      </c>
      <c r="X32" s="1813"/>
      <c r="Y32" s="3304"/>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4"/>
      <c r="Q33" s="1810" t="str">
        <f t="shared" si="11"/>
        <v>成新度</v>
      </c>
      <c r="R33" s="774" t="s">
        <v>17</v>
      </c>
      <c r="S33" s="775" t="e">
        <f t="shared" si="12"/>
        <v>#N/A</v>
      </c>
      <c r="T33" s="774" t="s">
        <v>17</v>
      </c>
      <c r="U33" s="775" t="e">
        <f t="shared" si="13"/>
        <v>#N/A</v>
      </c>
      <c r="V33" s="774" t="s">
        <v>17</v>
      </c>
      <c r="W33" s="775" t="e">
        <f t="shared" si="14"/>
        <v>#N/A</v>
      </c>
      <c r="X33" s="1813"/>
      <c r="Y33" s="3304"/>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4"/>
      <c r="Q34" s="1795" t="str">
        <f t="shared" si="11"/>
        <v>物业管理</v>
      </c>
      <c r="R34" s="770" t="s">
        <v>17</v>
      </c>
      <c r="S34" s="771">
        <f t="shared" si="12"/>
        <v>100</v>
      </c>
      <c r="T34" s="770" t="s">
        <v>17</v>
      </c>
      <c r="U34" s="771">
        <f t="shared" si="13"/>
        <v>100</v>
      </c>
      <c r="V34" s="770" t="s">
        <v>17</v>
      </c>
      <c r="W34" s="771">
        <f t="shared" si="14"/>
        <v>100</v>
      </c>
      <c r="X34" s="772"/>
      <c r="Y34" s="3304"/>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4" t="s">
        <v>2558</v>
      </c>
      <c r="Q35" s="1810" t="str">
        <f t="shared" si="11"/>
        <v>市政基础设施</v>
      </c>
      <c r="R35" s="774" t="s">
        <v>17</v>
      </c>
      <c r="S35" s="775">
        <f t="shared" si="12"/>
        <v>100</v>
      </c>
      <c r="T35" s="774" t="s">
        <v>17</v>
      </c>
      <c r="U35" s="775">
        <f t="shared" si="13"/>
        <v>100</v>
      </c>
      <c r="V35" s="774" t="s">
        <v>17</v>
      </c>
      <c r="W35" s="775">
        <f t="shared" si="14"/>
        <v>100</v>
      </c>
      <c r="X35" s="1813"/>
      <c r="Y35" s="3304"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4"/>
      <c r="Q36" s="1810" t="str">
        <f t="shared" si="11"/>
        <v>内部装修</v>
      </c>
      <c r="R36" s="774" t="s">
        <v>17</v>
      </c>
      <c r="S36" s="775">
        <f t="shared" si="12"/>
        <v>100</v>
      </c>
      <c r="T36" s="774" t="s">
        <v>17</v>
      </c>
      <c r="U36" s="775">
        <f t="shared" si="13"/>
        <v>100</v>
      </c>
      <c r="V36" s="774" t="s">
        <v>17</v>
      </c>
      <c r="W36" s="775">
        <f t="shared" si="14"/>
        <v>100</v>
      </c>
      <c r="X36" s="1813"/>
      <c r="Y36" s="3304"/>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4"/>
      <c r="Q37" s="1810" t="str">
        <f t="shared" si="11"/>
        <v>内部装修状况</v>
      </c>
      <c r="R37" s="774" t="s">
        <v>17</v>
      </c>
      <c r="S37" s="775">
        <f t="shared" si="12"/>
        <v>100</v>
      </c>
      <c r="T37" s="774" t="s">
        <v>17</v>
      </c>
      <c r="U37" s="775">
        <f t="shared" si="13"/>
        <v>100</v>
      </c>
      <c r="V37" s="774" t="s">
        <v>17</v>
      </c>
      <c r="W37" s="775">
        <f t="shared" si="14"/>
        <v>100</v>
      </c>
      <c r="X37" s="1813"/>
      <c r="Y37" s="330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4"/>
      <c r="Q38" s="776">
        <f t="shared" si="11"/>
        <v>111</v>
      </c>
      <c r="R38" s="777" t="s">
        <v>17</v>
      </c>
      <c r="S38" s="778">
        <f t="shared" si="12"/>
        <v>100</v>
      </c>
      <c r="T38" s="777" t="s">
        <v>17</v>
      </c>
      <c r="U38" s="778">
        <f t="shared" si="13"/>
        <v>100</v>
      </c>
      <c r="V38" s="777" t="s">
        <v>17</v>
      </c>
      <c r="W38" s="778">
        <f t="shared" si="14"/>
        <v>100</v>
      </c>
      <c r="X38" s="779"/>
      <c r="Y38" s="330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4"/>
      <c r="Q39" s="1810">
        <f t="shared" si="11"/>
        <v>111</v>
      </c>
      <c r="R39" s="774" t="s">
        <v>17</v>
      </c>
      <c r="S39" s="775">
        <f t="shared" si="12"/>
        <v>100</v>
      </c>
      <c r="T39" s="774" t="s">
        <v>17</v>
      </c>
      <c r="U39" s="775">
        <f t="shared" si="13"/>
        <v>100</v>
      </c>
      <c r="V39" s="774" t="s">
        <v>17</v>
      </c>
      <c r="W39" s="775">
        <f t="shared" si="14"/>
        <v>100</v>
      </c>
      <c r="X39" s="1813"/>
      <c r="Y39" s="330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5"/>
      <c r="Q40" s="1810">
        <f t="shared" si="11"/>
        <v>111</v>
      </c>
      <c r="R40" s="774" t="s">
        <v>17</v>
      </c>
      <c r="S40" s="775">
        <f t="shared" si="12"/>
        <v>100</v>
      </c>
      <c r="T40" s="774" t="s">
        <v>17</v>
      </c>
      <c r="U40" s="775">
        <f t="shared" si="13"/>
        <v>100</v>
      </c>
      <c r="V40" s="774" t="s">
        <v>17</v>
      </c>
      <c r="W40" s="775">
        <f t="shared" si="14"/>
        <v>100</v>
      </c>
      <c r="X40" s="1813"/>
      <c r="Y40" s="3305"/>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297" t="str">
        <f>A41</f>
        <v>成交单价（元/平方米）</v>
      </c>
      <c r="Q41" s="3297"/>
      <c r="R41" s="3298">
        <f>E41</f>
        <v>0</v>
      </c>
      <c r="S41" s="3298"/>
      <c r="T41" s="3298">
        <f>G41</f>
        <v>0</v>
      </c>
      <c r="U41" s="3298"/>
      <c r="V41" s="3298">
        <f>I41</f>
        <v>0</v>
      </c>
      <c r="W41" s="3298"/>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94" t="str">
        <f>A43</f>
        <v>估价对象XX用房的比较价值（楼面单价，元/平方米）</v>
      </c>
      <c r="Q43" s="3295"/>
      <c r="R43" s="3296" t="e">
        <f>IF(F1="售价",ROUND(AVERAGE(R42:V42),0),ROUND(AVERAGE(R42:V42),1))</f>
        <v>#DIV/0!</v>
      </c>
      <c r="S43" s="3296"/>
      <c r="T43" s="3296"/>
      <c r="U43" s="3296"/>
      <c r="V43" s="3296"/>
      <c r="W43" s="329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280" t="s">
        <v>2639</v>
      </c>
      <c r="D4" s="3281"/>
      <c r="E4" s="3282" t="s">
        <v>2640</v>
      </c>
      <c r="F4" s="3283"/>
      <c r="G4" s="3280" t="s">
        <v>2641</v>
      </c>
      <c r="H4" s="3281"/>
      <c r="I4" s="3280" t="s">
        <v>2642</v>
      </c>
      <c r="J4" s="3281"/>
      <c r="K4" s="610" t="s">
        <v>2643</v>
      </c>
      <c r="L4" s="1130"/>
      <c r="M4" s="1131"/>
      <c r="N4" s="1131"/>
      <c r="O4" s="1131"/>
      <c r="P4" s="3284" t="s">
        <v>2644</v>
      </c>
      <c r="Q4" s="3285"/>
      <c r="R4" s="3267" t="s">
        <v>2640</v>
      </c>
      <c r="S4" s="3268"/>
      <c r="T4" s="3267" t="s">
        <v>2641</v>
      </c>
      <c r="U4" s="3268"/>
      <c r="V4" s="3292" t="s">
        <v>2642</v>
      </c>
      <c r="W4" s="3292"/>
      <c r="X4" s="1813"/>
      <c r="Y4" s="3267" t="s">
        <v>2644</v>
      </c>
      <c r="Z4" s="3268"/>
      <c r="AA4" s="3262" t="s">
        <v>2640</v>
      </c>
      <c r="AB4" s="3263" t="s">
        <v>2641</v>
      </c>
      <c r="AC4" s="3262" t="s">
        <v>2642</v>
      </c>
    </row>
    <row r="5" spans="1:29" ht="15">
      <c r="A5" s="404"/>
      <c r="B5" s="405"/>
      <c r="C5" s="3273" t="s">
        <v>2535</v>
      </c>
      <c r="D5" s="3274"/>
      <c r="E5" s="3271" t="s">
        <v>2536</v>
      </c>
      <c r="F5" s="3272"/>
      <c r="G5" s="3273" t="s">
        <v>2537</v>
      </c>
      <c r="H5" s="3274"/>
      <c r="I5" s="3273" t="s">
        <v>2538</v>
      </c>
      <c r="J5" s="3274"/>
      <c r="K5" s="610"/>
      <c r="L5" s="1130"/>
      <c r="M5" s="1131"/>
      <c r="N5" s="1131"/>
      <c r="O5" s="1131"/>
      <c r="P5" s="3286"/>
      <c r="Q5" s="3287"/>
      <c r="R5" s="3269"/>
      <c r="S5" s="3270"/>
      <c r="T5" s="3269"/>
      <c r="U5" s="3270"/>
      <c r="V5" s="3292"/>
      <c r="W5" s="3292"/>
      <c r="X5" s="1813"/>
      <c r="Y5" s="3269"/>
      <c r="Z5" s="3270"/>
      <c r="AA5" s="3263"/>
      <c r="AB5" s="3263"/>
      <c r="AC5" s="3263"/>
    </row>
    <row r="6" spans="1:29" ht="15.75" thickBot="1">
      <c r="A6" s="406"/>
      <c r="B6" s="407"/>
      <c r="C6" s="3275" t="s">
        <v>2539</v>
      </c>
      <c r="D6" s="3276"/>
      <c r="E6" s="3277" t="s">
        <v>2539</v>
      </c>
      <c r="F6" s="3278"/>
      <c r="G6" s="3275" t="s">
        <v>2539</v>
      </c>
      <c r="H6" s="3276"/>
      <c r="I6" s="3275" t="s">
        <v>2539</v>
      </c>
      <c r="J6" s="3276"/>
      <c r="K6" s="610" t="s">
        <v>2540</v>
      </c>
      <c r="L6" s="1130"/>
      <c r="M6" s="1131"/>
      <c r="N6" s="1131"/>
      <c r="O6" s="1131"/>
      <c r="P6" s="3288"/>
      <c r="Q6" s="3289"/>
      <c r="R6" s="3269"/>
      <c r="S6" s="3270"/>
      <c r="T6" s="3290"/>
      <c r="U6" s="3291"/>
      <c r="V6" s="3292"/>
      <c r="W6" s="3292"/>
      <c r="X6" s="1813"/>
      <c r="Y6" s="3290"/>
      <c r="Z6" s="3291"/>
      <c r="AA6" s="3264"/>
      <c r="AB6" s="3264"/>
      <c r="AC6" s="3264"/>
    </row>
    <row r="7" spans="1:29" s="117" customFormat="1" ht="15.75" thickBot="1">
      <c r="A7" s="408" t="s">
        <v>2541</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5" t="s">
        <v>2542</v>
      </c>
      <c r="Q7" s="3293"/>
      <c r="R7" s="770" t="s">
        <v>17</v>
      </c>
      <c r="S7" s="771">
        <f t="shared" ref="S7:S14" si="0">F7</f>
        <v>0</v>
      </c>
      <c r="T7" s="770" t="s">
        <v>17</v>
      </c>
      <c r="U7" s="771">
        <f t="shared" ref="U7:U14" si="1">H7</f>
        <v>0</v>
      </c>
      <c r="V7" s="770" t="s">
        <v>17</v>
      </c>
      <c r="W7" s="771">
        <f t="shared" ref="W7:W14" si="2">J7</f>
        <v>0</v>
      </c>
      <c r="X7" s="772"/>
      <c r="Y7" s="3265" t="s">
        <v>2542</v>
      </c>
      <c r="Z7" s="3266"/>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5" t="s">
        <v>2545</v>
      </c>
      <c r="Q8" s="3266"/>
      <c r="R8" s="770" t="s">
        <v>17</v>
      </c>
      <c r="S8" s="771">
        <f t="shared" si="0"/>
        <v>0</v>
      </c>
      <c r="T8" s="770" t="s">
        <v>17</v>
      </c>
      <c r="U8" s="771">
        <f t="shared" si="1"/>
        <v>0</v>
      </c>
      <c r="V8" s="770" t="s">
        <v>17</v>
      </c>
      <c r="W8" s="771">
        <f t="shared" si="2"/>
        <v>0</v>
      </c>
      <c r="X8" s="772"/>
      <c r="Y8" s="3265" t="s">
        <v>2545</v>
      </c>
      <c r="Z8" s="3266"/>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7" t="s">
        <v>2548</v>
      </c>
      <c r="Q9" s="1795" t="str">
        <f t="shared" ref="Q9:Q14" si="6">B9</f>
        <v>用途</v>
      </c>
      <c r="R9" s="770" t="s">
        <v>17</v>
      </c>
      <c r="S9" s="771">
        <f t="shared" si="0"/>
        <v>100</v>
      </c>
      <c r="T9" s="770" t="s">
        <v>17</v>
      </c>
      <c r="U9" s="771">
        <f t="shared" si="1"/>
        <v>100</v>
      </c>
      <c r="V9" s="770" t="s">
        <v>17</v>
      </c>
      <c r="W9" s="771">
        <f t="shared" si="2"/>
        <v>100</v>
      </c>
      <c r="X9" s="772"/>
      <c r="Y9" s="3091"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7"/>
      <c r="Q10" s="1795" t="str">
        <f t="shared" si="6"/>
        <v>土地使用年限（年）</v>
      </c>
      <c r="R10" s="770" t="s">
        <v>17</v>
      </c>
      <c r="S10" s="771">
        <f t="shared" si="0"/>
        <v>100</v>
      </c>
      <c r="T10" s="770" t="s">
        <v>17</v>
      </c>
      <c r="U10" s="771">
        <f t="shared" si="1"/>
        <v>100</v>
      </c>
      <c r="V10" s="770" t="s">
        <v>17</v>
      </c>
      <c r="W10" s="771">
        <f t="shared" si="2"/>
        <v>100</v>
      </c>
      <c r="X10" s="772"/>
      <c r="Y10" s="309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7"/>
      <c r="Q11" s="1795">
        <f t="shared" si="6"/>
        <v>111</v>
      </c>
      <c r="R11" s="770" t="s">
        <v>17</v>
      </c>
      <c r="S11" s="771">
        <f t="shared" si="0"/>
        <v>100</v>
      </c>
      <c r="T11" s="770" t="s">
        <v>17</v>
      </c>
      <c r="U11" s="771">
        <f t="shared" si="1"/>
        <v>100</v>
      </c>
      <c r="V11" s="770" t="s">
        <v>17</v>
      </c>
      <c r="W11" s="771">
        <f t="shared" si="2"/>
        <v>100</v>
      </c>
      <c r="X11" s="772"/>
      <c r="Y11" s="309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7"/>
      <c r="Q12" s="1795">
        <f t="shared" si="6"/>
        <v>111</v>
      </c>
      <c r="R12" s="770" t="s">
        <v>17</v>
      </c>
      <c r="S12" s="771">
        <f t="shared" si="0"/>
        <v>100</v>
      </c>
      <c r="T12" s="770" t="s">
        <v>17</v>
      </c>
      <c r="U12" s="771">
        <f t="shared" si="1"/>
        <v>100</v>
      </c>
      <c r="V12" s="770" t="s">
        <v>17</v>
      </c>
      <c r="W12" s="771">
        <f t="shared" si="2"/>
        <v>100</v>
      </c>
      <c r="X12" s="772"/>
      <c r="Y12" s="309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7"/>
      <c r="Q13" s="1795">
        <f t="shared" si="6"/>
        <v>111</v>
      </c>
      <c r="R13" s="770" t="s">
        <v>17</v>
      </c>
      <c r="S13" s="771">
        <f t="shared" si="0"/>
        <v>100</v>
      </c>
      <c r="T13" s="770" t="s">
        <v>17</v>
      </c>
      <c r="U13" s="771">
        <f t="shared" si="1"/>
        <v>100</v>
      </c>
      <c r="V13" s="770" t="s">
        <v>17</v>
      </c>
      <c r="W13" s="771">
        <f t="shared" si="2"/>
        <v>100</v>
      </c>
      <c r="X13" s="772"/>
      <c r="Y13" s="3091"/>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9" t="s">
        <v>2553</v>
      </c>
      <c r="Q14" s="1810" t="str">
        <f t="shared" si="6"/>
        <v>交通便捷度</v>
      </c>
      <c r="R14" s="774" t="s">
        <v>17</v>
      </c>
      <c r="S14" s="775">
        <f t="shared" si="0"/>
        <v>100</v>
      </c>
      <c r="T14" s="774" t="s">
        <v>17</v>
      </c>
      <c r="U14" s="775">
        <f t="shared" si="1"/>
        <v>100</v>
      </c>
      <c r="V14" s="774" t="s">
        <v>17</v>
      </c>
      <c r="W14" s="775">
        <f t="shared" si="2"/>
        <v>100</v>
      </c>
      <c r="X14" s="1813"/>
      <c r="Y14" s="3299"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00"/>
      <c r="Q15" s="1810"/>
      <c r="R15" s="774"/>
      <c r="S15" s="775"/>
      <c r="T15" s="774"/>
      <c r="U15" s="775"/>
      <c r="V15" s="774"/>
      <c r="W15" s="775"/>
      <c r="X15" s="1813"/>
      <c r="Y15" s="3300"/>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00"/>
      <c r="Q16" s="1810" t="str">
        <f>B16</f>
        <v>公共配套设施</v>
      </c>
      <c r="R16" s="774" t="s">
        <v>17</v>
      </c>
      <c r="S16" s="775">
        <f>F16</f>
        <v>100</v>
      </c>
      <c r="T16" s="774" t="s">
        <v>17</v>
      </c>
      <c r="U16" s="775">
        <f>H16</f>
        <v>100</v>
      </c>
      <c r="V16" s="774" t="s">
        <v>17</v>
      </c>
      <c r="W16" s="775">
        <f>J16</f>
        <v>100</v>
      </c>
      <c r="X16" s="1813"/>
      <c r="Y16" s="330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300"/>
      <c r="Q17" s="1810"/>
      <c r="R17" s="774"/>
      <c r="S17" s="775"/>
      <c r="T17" s="774"/>
      <c r="U17" s="775"/>
      <c r="V17" s="774"/>
      <c r="W17" s="775"/>
      <c r="X17" s="1813"/>
      <c r="Y17" s="3300"/>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00"/>
      <c r="Q18" s="1810" t="str">
        <f>B18</f>
        <v>基础设施水平</v>
      </c>
      <c r="R18" s="774" t="s">
        <v>17</v>
      </c>
      <c r="S18" s="775">
        <f>F18</f>
        <v>100</v>
      </c>
      <c r="T18" s="774" t="s">
        <v>17</v>
      </c>
      <c r="U18" s="775">
        <f>H18</f>
        <v>100</v>
      </c>
      <c r="V18" s="774" t="s">
        <v>17</v>
      </c>
      <c r="W18" s="775">
        <f>J18</f>
        <v>100</v>
      </c>
      <c r="X18" s="1813"/>
      <c r="Y18" s="330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300"/>
      <c r="Q19" s="1810"/>
      <c r="R19" s="774"/>
      <c r="S19" s="775"/>
      <c r="T19" s="774"/>
      <c r="U19" s="775"/>
      <c r="V19" s="774"/>
      <c r="W19" s="775"/>
      <c r="X19" s="1813"/>
      <c r="Y19" s="3300"/>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00"/>
      <c r="Q20" s="1810" t="str">
        <f>B20</f>
        <v>自然及人文环境</v>
      </c>
      <c r="R20" s="774" t="s">
        <v>17</v>
      </c>
      <c r="S20" s="775">
        <f>F20</f>
        <v>100</v>
      </c>
      <c r="T20" s="774" t="s">
        <v>17</v>
      </c>
      <c r="U20" s="775">
        <f>H20</f>
        <v>100</v>
      </c>
      <c r="V20" s="774" t="s">
        <v>17</v>
      </c>
      <c r="W20" s="775">
        <f>J20</f>
        <v>100</v>
      </c>
      <c r="X20" s="1813"/>
      <c r="Y20" s="330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00"/>
      <c r="Q21" s="1810"/>
      <c r="R21" s="774"/>
      <c r="S21" s="775"/>
      <c r="T21" s="774"/>
      <c r="U21" s="775"/>
      <c r="V21" s="774"/>
      <c r="W21" s="775"/>
      <c r="X21" s="1813"/>
      <c r="Y21" s="3300"/>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00"/>
      <c r="Q22" s="1810" t="str">
        <f>B22</f>
        <v>楼层</v>
      </c>
      <c r="R22" s="774" t="s">
        <v>17</v>
      </c>
      <c r="S22" s="775">
        <f>F22</f>
        <v>100</v>
      </c>
      <c r="T22" s="774" t="s">
        <v>17</v>
      </c>
      <c r="U22" s="775">
        <f>H22</f>
        <v>100</v>
      </c>
      <c r="V22" s="774" t="s">
        <v>17</v>
      </c>
      <c r="W22" s="775">
        <f>J22</f>
        <v>100</v>
      </c>
      <c r="X22" s="1813"/>
      <c r="Y22" s="330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00"/>
      <c r="Q23" s="1810">
        <f>B23</f>
        <v>111</v>
      </c>
      <c r="R23" s="774" t="s">
        <v>17</v>
      </c>
      <c r="S23" s="775">
        <f>F23</f>
        <v>100</v>
      </c>
      <c r="T23" s="774" t="s">
        <v>17</v>
      </c>
      <c r="U23" s="775">
        <f>H23</f>
        <v>100</v>
      </c>
      <c r="V23" s="774" t="s">
        <v>17</v>
      </c>
      <c r="W23" s="775">
        <f>J23</f>
        <v>100</v>
      </c>
      <c r="X23" s="1813"/>
      <c r="Y23" s="330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00"/>
      <c r="Q24" s="1810">
        <f t="shared" ref="Q24:Q36" si="11">B24</f>
        <v>111</v>
      </c>
      <c r="R24" s="774" t="s">
        <v>17</v>
      </c>
      <c r="S24" s="775">
        <f>F24</f>
        <v>100</v>
      </c>
      <c r="T24" s="774" t="s">
        <v>17</v>
      </c>
      <c r="U24" s="775">
        <f>H24</f>
        <v>100</v>
      </c>
      <c r="V24" s="774" t="s">
        <v>17</v>
      </c>
      <c r="W24" s="775">
        <f>J24</f>
        <v>100</v>
      </c>
      <c r="X24" s="1813"/>
      <c r="Y24" s="330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00"/>
      <c r="Q25" s="1795">
        <f t="shared" si="11"/>
        <v>111</v>
      </c>
      <c r="R25" s="770" t="s">
        <v>17</v>
      </c>
      <c r="S25" s="771">
        <f>F25</f>
        <v>100</v>
      </c>
      <c r="T25" s="770" t="s">
        <v>17</v>
      </c>
      <c r="U25" s="771">
        <f>H25</f>
        <v>100</v>
      </c>
      <c r="V25" s="770" t="s">
        <v>17</v>
      </c>
      <c r="W25" s="771">
        <f>J25</f>
        <v>100</v>
      </c>
      <c r="X25" s="772"/>
      <c r="Y25" s="3300"/>
      <c r="Z25" s="55">
        <f>Q25</f>
        <v>111</v>
      </c>
      <c r="AA25" s="1811">
        <f>D25/F25</f>
        <v>1</v>
      </c>
      <c r="AB25" s="1811">
        <f>D25/H25</f>
        <v>1</v>
      </c>
      <c r="AC25" s="1811">
        <f>D25/J25</f>
        <v>1</v>
      </c>
    </row>
    <row r="26" spans="1:29" ht="1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3"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04"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4"/>
      <c r="Q27" s="776" t="str">
        <f t="shared" si="11"/>
        <v>项目停车位配比</v>
      </c>
      <c r="R27" s="777" t="s">
        <v>17</v>
      </c>
      <c r="S27" s="778">
        <f t="shared" si="12"/>
        <v>100</v>
      </c>
      <c r="T27" s="777" t="s">
        <v>17</v>
      </c>
      <c r="U27" s="778">
        <f t="shared" si="13"/>
        <v>100</v>
      </c>
      <c r="V27" s="777" t="s">
        <v>17</v>
      </c>
      <c r="W27" s="778">
        <f t="shared" si="14"/>
        <v>100</v>
      </c>
      <c r="X27" s="779"/>
      <c r="Y27" s="3304"/>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4"/>
      <c r="Q28" s="1810" t="str">
        <f t="shared" si="11"/>
        <v>公共部分装修</v>
      </c>
      <c r="R28" s="774" t="s">
        <v>17</v>
      </c>
      <c r="S28" s="775">
        <f t="shared" si="12"/>
        <v>100</v>
      </c>
      <c r="T28" s="774" t="s">
        <v>17</v>
      </c>
      <c r="U28" s="775">
        <f t="shared" si="13"/>
        <v>100</v>
      </c>
      <c r="V28" s="774" t="s">
        <v>17</v>
      </c>
      <c r="W28" s="775">
        <f t="shared" si="14"/>
        <v>100</v>
      </c>
      <c r="X28" s="1813"/>
      <c r="Y28" s="3304"/>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4"/>
      <c r="Q29" s="1810" t="str">
        <f t="shared" si="11"/>
        <v>成新率</v>
      </c>
      <c r="R29" s="774" t="s">
        <v>17</v>
      </c>
      <c r="S29" s="775" t="e">
        <f t="shared" si="12"/>
        <v>#N/A</v>
      </c>
      <c r="T29" s="774" t="s">
        <v>17</v>
      </c>
      <c r="U29" s="775" t="e">
        <f t="shared" si="13"/>
        <v>#N/A</v>
      </c>
      <c r="V29" s="774" t="s">
        <v>17</v>
      </c>
      <c r="W29" s="775" t="e">
        <f t="shared" si="14"/>
        <v>#N/A</v>
      </c>
      <c r="X29" s="1813"/>
      <c r="Y29" s="3304"/>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4"/>
      <c r="Q30" s="1810" t="str">
        <f t="shared" si="11"/>
        <v>物业等级</v>
      </c>
      <c r="R30" s="774" t="s">
        <v>17</v>
      </c>
      <c r="S30" s="775">
        <f t="shared" si="12"/>
        <v>100</v>
      </c>
      <c r="T30" s="774" t="s">
        <v>17</v>
      </c>
      <c r="U30" s="775">
        <f t="shared" si="13"/>
        <v>100</v>
      </c>
      <c r="V30" s="774" t="s">
        <v>17</v>
      </c>
      <c r="W30" s="775">
        <f t="shared" si="14"/>
        <v>100</v>
      </c>
      <c r="X30" s="1813"/>
      <c r="Y30" s="3304"/>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4"/>
      <c r="Q31" s="1795" t="str">
        <f t="shared" si="11"/>
        <v>停车位面积</v>
      </c>
      <c r="R31" s="770" t="s">
        <v>17</v>
      </c>
      <c r="S31" s="771" t="e">
        <f t="shared" si="12"/>
        <v>#N/A</v>
      </c>
      <c r="T31" s="770" t="s">
        <v>17</v>
      </c>
      <c r="U31" s="771" t="e">
        <f t="shared" si="13"/>
        <v>#N/A</v>
      </c>
      <c r="V31" s="770" t="s">
        <v>17</v>
      </c>
      <c r="W31" s="771" t="e">
        <f t="shared" si="14"/>
        <v>#N/A</v>
      </c>
      <c r="X31" s="772"/>
      <c r="Y31" s="3304"/>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4" t="s">
        <v>2558</v>
      </c>
      <c r="Q32" s="1810" t="str">
        <f t="shared" si="11"/>
        <v>车位类型</v>
      </c>
      <c r="R32" s="774" t="s">
        <v>17</v>
      </c>
      <c r="S32" s="775">
        <f t="shared" si="12"/>
        <v>100</v>
      </c>
      <c r="T32" s="774" t="s">
        <v>17</v>
      </c>
      <c r="U32" s="775">
        <f t="shared" si="13"/>
        <v>100</v>
      </c>
      <c r="V32" s="774" t="s">
        <v>17</v>
      </c>
      <c r="W32" s="775">
        <f t="shared" si="14"/>
        <v>100</v>
      </c>
      <c r="X32" s="1813"/>
      <c r="Y32" s="3304"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4"/>
      <c r="Q33" s="1810" t="str">
        <f t="shared" si="11"/>
        <v>是否直接入户</v>
      </c>
      <c r="R33" s="774" t="s">
        <v>17</v>
      </c>
      <c r="S33" s="775">
        <f t="shared" si="12"/>
        <v>100</v>
      </c>
      <c r="T33" s="774" t="s">
        <v>17</v>
      </c>
      <c r="U33" s="775">
        <f t="shared" si="13"/>
        <v>100</v>
      </c>
      <c r="V33" s="774" t="s">
        <v>17</v>
      </c>
      <c r="W33" s="775">
        <f t="shared" si="14"/>
        <v>100</v>
      </c>
      <c r="X33" s="1813"/>
      <c r="Y33" s="330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4"/>
      <c r="Q34" s="1810">
        <f t="shared" si="11"/>
        <v>111</v>
      </c>
      <c r="R34" s="774" t="s">
        <v>17</v>
      </c>
      <c r="S34" s="775">
        <f t="shared" si="12"/>
        <v>100</v>
      </c>
      <c r="T34" s="774" t="s">
        <v>17</v>
      </c>
      <c r="U34" s="775">
        <f t="shared" si="13"/>
        <v>100</v>
      </c>
      <c r="V34" s="774" t="s">
        <v>17</v>
      </c>
      <c r="W34" s="775">
        <f t="shared" si="14"/>
        <v>100</v>
      </c>
      <c r="X34" s="1813"/>
      <c r="Y34" s="330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4"/>
      <c r="Q35" s="776">
        <f t="shared" si="11"/>
        <v>111</v>
      </c>
      <c r="R35" s="777" t="s">
        <v>17</v>
      </c>
      <c r="S35" s="778">
        <f t="shared" si="12"/>
        <v>100</v>
      </c>
      <c r="T35" s="777" t="s">
        <v>17</v>
      </c>
      <c r="U35" s="778">
        <f t="shared" si="13"/>
        <v>100</v>
      </c>
      <c r="V35" s="777" t="s">
        <v>17</v>
      </c>
      <c r="W35" s="778">
        <f t="shared" si="14"/>
        <v>100</v>
      </c>
      <c r="X35" s="779"/>
      <c r="Y35" s="330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4"/>
      <c r="Q36" s="1810">
        <f t="shared" si="11"/>
        <v>111</v>
      </c>
      <c r="R36" s="774" t="s">
        <v>17</v>
      </c>
      <c r="S36" s="775">
        <f t="shared" si="12"/>
        <v>100</v>
      </c>
      <c r="T36" s="774" t="s">
        <v>17</v>
      </c>
      <c r="U36" s="775">
        <f t="shared" si="13"/>
        <v>100</v>
      </c>
      <c r="V36" s="774" t="s">
        <v>17</v>
      </c>
      <c r="W36" s="775">
        <f t="shared" si="14"/>
        <v>100</v>
      </c>
      <c r="X36" s="1813"/>
      <c r="Y36" s="3304"/>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297" t="str">
        <f>A37</f>
        <v>成交单价</v>
      </c>
      <c r="Q37" s="3297"/>
      <c r="R37" s="3298">
        <f>E37</f>
        <v>0</v>
      </c>
      <c r="S37" s="3298"/>
      <c r="T37" s="3298">
        <f>G37</f>
        <v>0</v>
      </c>
      <c r="U37" s="3298"/>
      <c r="V37" s="3298">
        <f>I37</f>
        <v>0</v>
      </c>
      <c r="W37" s="3298"/>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94" t="str">
        <f>A39</f>
        <v>估价对象XX用房的比较价值（楼面单价，元/平方米）</v>
      </c>
      <c r="Q39" s="3295"/>
      <c r="R39" s="3296" t="e">
        <f>IF(F1="售价",ROUND(AVERAGE(R38:V38),0),ROUND(AVERAGE(R38:V38),1))</f>
        <v>#DIV/0!</v>
      </c>
      <c r="S39" s="3296"/>
      <c r="T39" s="3296"/>
      <c r="U39" s="3296"/>
      <c r="V39" s="3296"/>
      <c r="W39" s="329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80" t="s">
        <v>2639</v>
      </c>
      <c r="D4" s="3281"/>
      <c r="E4" s="3282" t="s">
        <v>2640</v>
      </c>
      <c r="F4" s="3283"/>
      <c r="G4" s="3280" t="s">
        <v>2641</v>
      </c>
      <c r="H4" s="3281"/>
      <c r="I4" s="3280" t="s">
        <v>2642</v>
      </c>
      <c r="J4" s="3281"/>
      <c r="K4" s="610" t="s">
        <v>2643</v>
      </c>
      <c r="L4" s="1130"/>
      <c r="M4" s="1131"/>
      <c r="N4" s="1131"/>
      <c r="O4" s="1131"/>
      <c r="P4" s="3284" t="s">
        <v>2644</v>
      </c>
      <c r="Q4" s="3285"/>
      <c r="R4" s="3267" t="s">
        <v>2640</v>
      </c>
      <c r="S4" s="3268"/>
      <c r="T4" s="3267" t="s">
        <v>2641</v>
      </c>
      <c r="U4" s="3268"/>
      <c r="V4" s="3292" t="s">
        <v>2642</v>
      </c>
      <c r="W4" s="3292"/>
      <c r="X4" s="1813"/>
      <c r="Y4" s="3267" t="s">
        <v>2644</v>
      </c>
      <c r="Z4" s="3268"/>
      <c r="AA4" s="3262" t="s">
        <v>2640</v>
      </c>
      <c r="AB4" s="3263" t="s">
        <v>2641</v>
      </c>
      <c r="AC4" s="3262" t="s">
        <v>2642</v>
      </c>
    </row>
    <row r="5" spans="1:29" ht="15">
      <c r="A5" s="404"/>
      <c r="B5" s="405"/>
      <c r="C5" s="3273" t="s">
        <v>2535</v>
      </c>
      <c r="D5" s="3274"/>
      <c r="E5" s="3271" t="s">
        <v>2536</v>
      </c>
      <c r="F5" s="3272"/>
      <c r="G5" s="3273" t="s">
        <v>2537</v>
      </c>
      <c r="H5" s="3274"/>
      <c r="I5" s="3273" t="s">
        <v>2538</v>
      </c>
      <c r="J5" s="3274"/>
      <c r="K5" s="610"/>
      <c r="L5" s="1130"/>
      <c r="M5" s="1131"/>
      <c r="N5" s="1131"/>
      <c r="O5" s="1131"/>
      <c r="P5" s="3286"/>
      <c r="Q5" s="3287"/>
      <c r="R5" s="3269"/>
      <c r="S5" s="3270"/>
      <c r="T5" s="3269"/>
      <c r="U5" s="3270"/>
      <c r="V5" s="3292"/>
      <c r="W5" s="3292"/>
      <c r="X5" s="1813"/>
      <c r="Y5" s="3269"/>
      <c r="Z5" s="3270"/>
      <c r="AA5" s="3263"/>
      <c r="AB5" s="3263"/>
      <c r="AC5" s="3263"/>
    </row>
    <row r="6" spans="1:29" ht="15.75" thickBot="1">
      <c r="A6" s="406"/>
      <c r="B6" s="407"/>
      <c r="C6" s="3275" t="s">
        <v>2539</v>
      </c>
      <c r="D6" s="3276"/>
      <c r="E6" s="3277" t="s">
        <v>2539</v>
      </c>
      <c r="F6" s="3278"/>
      <c r="G6" s="3275" t="s">
        <v>2539</v>
      </c>
      <c r="H6" s="3276"/>
      <c r="I6" s="3275" t="s">
        <v>2539</v>
      </c>
      <c r="J6" s="3276"/>
      <c r="K6" s="610" t="s">
        <v>2540</v>
      </c>
      <c r="L6" s="1130"/>
      <c r="M6" s="1131"/>
      <c r="N6" s="1131"/>
      <c r="O6" s="1131"/>
      <c r="P6" s="3288"/>
      <c r="Q6" s="3289"/>
      <c r="R6" s="3269"/>
      <c r="S6" s="3270"/>
      <c r="T6" s="3290"/>
      <c r="U6" s="3291"/>
      <c r="V6" s="3292"/>
      <c r="W6" s="3292"/>
      <c r="X6" s="1813"/>
      <c r="Y6" s="3290"/>
      <c r="Z6" s="3291"/>
      <c r="AA6" s="3264"/>
      <c r="AB6" s="3264"/>
      <c r="AC6" s="3264"/>
    </row>
    <row r="7" spans="1:29" s="117" customFormat="1" ht="15.75" thickBot="1">
      <c r="A7" s="408" t="s">
        <v>2541</v>
      </c>
      <c r="B7" s="409"/>
      <c r="C7" s="410">
        <f>'数据-取费表'!B2</f>
        <v>43222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65" t="s">
        <v>2542</v>
      </c>
      <c r="Q7" s="3293"/>
      <c r="R7" s="770" t="s">
        <v>17</v>
      </c>
      <c r="S7" s="771">
        <f t="shared" ref="S7:S14" si="0">F7</f>
        <v>0</v>
      </c>
      <c r="T7" s="770" t="s">
        <v>17</v>
      </c>
      <c r="U7" s="771">
        <f t="shared" ref="U7:U14" si="1">H7</f>
        <v>0</v>
      </c>
      <c r="V7" s="770" t="s">
        <v>17</v>
      </c>
      <c r="W7" s="771">
        <f t="shared" ref="W7:W14" si="2">J7</f>
        <v>0</v>
      </c>
      <c r="X7" s="772"/>
      <c r="Y7" s="3265" t="s">
        <v>2542</v>
      </c>
      <c r="Z7" s="3266"/>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5" t="s">
        <v>2545</v>
      </c>
      <c r="Q8" s="3266"/>
      <c r="R8" s="770" t="s">
        <v>17</v>
      </c>
      <c r="S8" s="771">
        <f t="shared" si="0"/>
        <v>0</v>
      </c>
      <c r="T8" s="770" t="s">
        <v>17</v>
      </c>
      <c r="U8" s="771">
        <f t="shared" si="1"/>
        <v>0</v>
      </c>
      <c r="V8" s="770" t="s">
        <v>17</v>
      </c>
      <c r="W8" s="771">
        <f t="shared" si="2"/>
        <v>0</v>
      </c>
      <c r="X8" s="772"/>
      <c r="Y8" s="3265" t="s">
        <v>2545</v>
      </c>
      <c r="Z8" s="3266"/>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7" t="s">
        <v>2548</v>
      </c>
      <c r="Q9" s="1795" t="str">
        <f t="shared" ref="Q9:Q14" si="6">B9</f>
        <v>用途</v>
      </c>
      <c r="R9" s="770" t="s">
        <v>17</v>
      </c>
      <c r="S9" s="771">
        <f t="shared" si="0"/>
        <v>100</v>
      </c>
      <c r="T9" s="770" t="s">
        <v>17</v>
      </c>
      <c r="U9" s="771">
        <f t="shared" si="1"/>
        <v>100</v>
      </c>
      <c r="V9" s="770" t="s">
        <v>17</v>
      </c>
      <c r="W9" s="771">
        <f t="shared" si="2"/>
        <v>100</v>
      </c>
      <c r="X9" s="772"/>
      <c r="Y9" s="309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7"/>
      <c r="Q10" s="1795" t="str">
        <f t="shared" si="6"/>
        <v>土地使用年限（年）</v>
      </c>
      <c r="R10" s="770" t="s">
        <v>17</v>
      </c>
      <c r="S10" s="771">
        <f t="shared" si="0"/>
        <v>100</v>
      </c>
      <c r="T10" s="770" t="s">
        <v>17</v>
      </c>
      <c r="U10" s="771">
        <f t="shared" si="1"/>
        <v>100</v>
      </c>
      <c r="V10" s="770" t="s">
        <v>17</v>
      </c>
      <c r="W10" s="771">
        <f t="shared" si="2"/>
        <v>100</v>
      </c>
      <c r="X10" s="772"/>
      <c r="Y10" s="309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7"/>
      <c r="Q11" s="1795">
        <f t="shared" si="6"/>
        <v>111</v>
      </c>
      <c r="R11" s="770" t="s">
        <v>17</v>
      </c>
      <c r="S11" s="771">
        <f t="shared" si="0"/>
        <v>100</v>
      </c>
      <c r="T11" s="770" t="s">
        <v>17</v>
      </c>
      <c r="U11" s="771">
        <f t="shared" si="1"/>
        <v>100</v>
      </c>
      <c r="V11" s="770" t="s">
        <v>17</v>
      </c>
      <c r="W11" s="771">
        <f t="shared" si="2"/>
        <v>100</v>
      </c>
      <c r="X11" s="772"/>
      <c r="Y11" s="309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7"/>
      <c r="Q12" s="1795">
        <f t="shared" si="6"/>
        <v>111</v>
      </c>
      <c r="R12" s="770" t="s">
        <v>17</v>
      </c>
      <c r="S12" s="771">
        <f t="shared" si="0"/>
        <v>100</v>
      </c>
      <c r="T12" s="770" t="s">
        <v>17</v>
      </c>
      <c r="U12" s="771">
        <f t="shared" si="1"/>
        <v>100</v>
      </c>
      <c r="V12" s="770" t="s">
        <v>17</v>
      </c>
      <c r="W12" s="771">
        <f t="shared" si="2"/>
        <v>100</v>
      </c>
      <c r="X12" s="772"/>
      <c r="Y12" s="309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97"/>
      <c r="Q13" s="1795">
        <f t="shared" si="6"/>
        <v>111</v>
      </c>
      <c r="R13" s="770" t="s">
        <v>17</v>
      </c>
      <c r="S13" s="771">
        <f t="shared" si="0"/>
        <v>100</v>
      </c>
      <c r="T13" s="770" t="s">
        <v>17</v>
      </c>
      <c r="U13" s="771">
        <f t="shared" si="1"/>
        <v>100</v>
      </c>
      <c r="V13" s="770" t="s">
        <v>17</v>
      </c>
      <c r="W13" s="771">
        <f t="shared" si="2"/>
        <v>100</v>
      </c>
      <c r="X13" s="772"/>
      <c r="Y13" s="3091"/>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9" t="s">
        <v>2553</v>
      </c>
      <c r="Q14" s="1810" t="str">
        <f t="shared" si="6"/>
        <v>交通便捷度</v>
      </c>
      <c r="R14" s="774" t="s">
        <v>17</v>
      </c>
      <c r="S14" s="775">
        <f t="shared" si="0"/>
        <v>100</v>
      </c>
      <c r="T14" s="774" t="s">
        <v>17</v>
      </c>
      <c r="U14" s="775">
        <f t="shared" si="1"/>
        <v>100</v>
      </c>
      <c r="V14" s="774" t="s">
        <v>17</v>
      </c>
      <c r="W14" s="775">
        <f t="shared" si="2"/>
        <v>100</v>
      </c>
      <c r="X14" s="1813"/>
      <c r="Y14" s="3299"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00"/>
      <c r="Q15" s="1810"/>
      <c r="R15" s="774"/>
      <c r="S15" s="775"/>
      <c r="T15" s="774"/>
      <c r="U15" s="775"/>
      <c r="V15" s="774"/>
      <c r="W15" s="775"/>
      <c r="X15" s="1813"/>
      <c r="Y15" s="3300"/>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00"/>
      <c r="Q16" s="1810" t="str">
        <f>B16</f>
        <v>公共配套设施</v>
      </c>
      <c r="R16" s="774" t="s">
        <v>17</v>
      </c>
      <c r="S16" s="775">
        <f>F16</f>
        <v>100</v>
      </c>
      <c r="T16" s="774" t="s">
        <v>17</v>
      </c>
      <c r="U16" s="775">
        <f>H16</f>
        <v>100</v>
      </c>
      <c r="V16" s="774" t="s">
        <v>17</v>
      </c>
      <c r="W16" s="775">
        <f>J16</f>
        <v>100</v>
      </c>
      <c r="X16" s="1813"/>
      <c r="Y16" s="330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300"/>
      <c r="Q17" s="1810"/>
      <c r="R17" s="774"/>
      <c r="S17" s="775"/>
      <c r="T17" s="774"/>
      <c r="U17" s="775"/>
      <c r="V17" s="774"/>
      <c r="W17" s="775"/>
      <c r="X17" s="1813"/>
      <c r="Y17" s="3300"/>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00"/>
      <c r="Q18" s="1810" t="str">
        <f>B18</f>
        <v>基础设施水平</v>
      </c>
      <c r="R18" s="774" t="s">
        <v>17</v>
      </c>
      <c r="S18" s="775">
        <f>F18</f>
        <v>100</v>
      </c>
      <c r="T18" s="774" t="s">
        <v>17</v>
      </c>
      <c r="U18" s="775">
        <f>H18</f>
        <v>100</v>
      </c>
      <c r="V18" s="774" t="s">
        <v>17</v>
      </c>
      <c r="W18" s="775">
        <f>J18</f>
        <v>100</v>
      </c>
      <c r="X18" s="1813"/>
      <c r="Y18" s="3300"/>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300"/>
      <c r="Q19" s="1810"/>
      <c r="R19" s="774"/>
      <c r="S19" s="775"/>
      <c r="T19" s="774"/>
      <c r="U19" s="775"/>
      <c r="V19" s="774"/>
      <c r="W19" s="775"/>
      <c r="X19" s="1813"/>
      <c r="Y19" s="3300"/>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00"/>
      <c r="Q20" s="1810" t="str">
        <f>B20</f>
        <v>自然及人文环境</v>
      </c>
      <c r="R20" s="774" t="s">
        <v>17</v>
      </c>
      <c r="S20" s="775">
        <f>F20</f>
        <v>100</v>
      </c>
      <c r="T20" s="774" t="s">
        <v>17</v>
      </c>
      <c r="U20" s="775">
        <f>H20</f>
        <v>100</v>
      </c>
      <c r="V20" s="774" t="s">
        <v>17</v>
      </c>
      <c r="W20" s="775">
        <f>J20</f>
        <v>100</v>
      </c>
      <c r="X20" s="1813"/>
      <c r="Y20" s="33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00"/>
      <c r="Q21" s="1810"/>
      <c r="R21" s="774"/>
      <c r="S21" s="775"/>
      <c r="T21" s="774"/>
      <c r="U21" s="775"/>
      <c r="V21" s="774"/>
      <c r="W21" s="775"/>
      <c r="X21" s="1813"/>
      <c r="Y21" s="3300"/>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00"/>
      <c r="Q22" s="1810" t="str">
        <f>B22</f>
        <v>楼层</v>
      </c>
      <c r="R22" s="774" t="s">
        <v>17</v>
      </c>
      <c r="S22" s="775">
        <f>F22</f>
        <v>100</v>
      </c>
      <c r="T22" s="774" t="s">
        <v>17</v>
      </c>
      <c r="U22" s="775">
        <f>H22</f>
        <v>100</v>
      </c>
      <c r="V22" s="774" t="s">
        <v>17</v>
      </c>
      <c r="W22" s="775">
        <f>J22</f>
        <v>100</v>
      </c>
      <c r="X22" s="1813"/>
      <c r="Y22" s="330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00"/>
      <c r="Q23" s="1810">
        <f>B23</f>
        <v>111</v>
      </c>
      <c r="R23" s="774" t="s">
        <v>17</v>
      </c>
      <c r="S23" s="775">
        <f>F23</f>
        <v>100</v>
      </c>
      <c r="T23" s="774" t="s">
        <v>17</v>
      </c>
      <c r="U23" s="775">
        <f>H23</f>
        <v>100</v>
      </c>
      <c r="V23" s="774" t="s">
        <v>17</v>
      </c>
      <c r="W23" s="775">
        <f>J23</f>
        <v>100</v>
      </c>
      <c r="X23" s="1813"/>
      <c r="Y23" s="330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00"/>
      <c r="Q24" s="1810">
        <f t="shared" ref="Q24:Q34" si="11">B24</f>
        <v>111</v>
      </c>
      <c r="R24" s="774" t="s">
        <v>17</v>
      </c>
      <c r="S24" s="775">
        <f>F24</f>
        <v>100</v>
      </c>
      <c r="T24" s="774" t="s">
        <v>17</v>
      </c>
      <c r="U24" s="775">
        <f>H24</f>
        <v>100</v>
      </c>
      <c r="V24" s="774" t="s">
        <v>17</v>
      </c>
      <c r="W24" s="775">
        <f>J24</f>
        <v>100</v>
      </c>
      <c r="X24" s="1813"/>
      <c r="Y24" s="3300"/>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300"/>
      <c r="Q25" s="1795">
        <f t="shared" si="11"/>
        <v>111</v>
      </c>
      <c r="R25" s="770" t="s">
        <v>17</v>
      </c>
      <c r="S25" s="771">
        <f>F25</f>
        <v>100</v>
      </c>
      <c r="T25" s="770" t="s">
        <v>17</v>
      </c>
      <c r="U25" s="771">
        <f>H25</f>
        <v>100</v>
      </c>
      <c r="V25" s="770" t="s">
        <v>17</v>
      </c>
      <c r="W25" s="771">
        <f>J25</f>
        <v>100</v>
      </c>
      <c r="X25" s="772"/>
      <c r="Y25" s="3300"/>
      <c r="Z25" s="55">
        <f>Q25</f>
        <v>111</v>
      </c>
      <c r="AA25" s="1811">
        <f>D25/F25</f>
        <v>1</v>
      </c>
      <c r="AB25" s="1811">
        <f>D25/H25</f>
        <v>1</v>
      </c>
      <c r="AC25" s="1811">
        <f>D25/J25</f>
        <v>1</v>
      </c>
    </row>
    <row r="26" spans="1:29" ht="1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323"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04"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4"/>
      <c r="Q27" s="776" t="str">
        <f t="shared" si="11"/>
        <v>成新率</v>
      </c>
      <c r="R27" s="777" t="s">
        <v>17</v>
      </c>
      <c r="S27" s="778" t="e">
        <f t="shared" si="12"/>
        <v>#N/A</v>
      </c>
      <c r="T27" s="777" t="s">
        <v>17</v>
      </c>
      <c r="U27" s="778" t="e">
        <f t="shared" si="13"/>
        <v>#N/A</v>
      </c>
      <c r="V27" s="777" t="s">
        <v>17</v>
      </c>
      <c r="W27" s="778" t="e">
        <f t="shared" si="14"/>
        <v>#N/A</v>
      </c>
      <c r="X27" s="779"/>
      <c r="Y27" s="3304"/>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4"/>
      <c r="Q28" s="1810" t="str">
        <f t="shared" si="11"/>
        <v>物业等级</v>
      </c>
      <c r="R28" s="774" t="s">
        <v>17</v>
      </c>
      <c r="S28" s="775">
        <f t="shared" si="12"/>
        <v>100</v>
      </c>
      <c r="T28" s="774" t="s">
        <v>17</v>
      </c>
      <c r="U28" s="775">
        <f t="shared" si="13"/>
        <v>100</v>
      </c>
      <c r="V28" s="774" t="s">
        <v>17</v>
      </c>
      <c r="W28" s="775">
        <f t="shared" si="14"/>
        <v>100</v>
      </c>
      <c r="X28" s="1813"/>
      <c r="Y28" s="3304"/>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4"/>
      <c r="Q29" s="1810" t="str">
        <f t="shared" si="11"/>
        <v>有无电梯</v>
      </c>
      <c r="R29" s="774" t="s">
        <v>17</v>
      </c>
      <c r="S29" s="775">
        <f t="shared" si="12"/>
        <v>100</v>
      </c>
      <c r="T29" s="774" t="s">
        <v>17</v>
      </c>
      <c r="U29" s="775">
        <f t="shared" si="13"/>
        <v>100</v>
      </c>
      <c r="V29" s="774" t="s">
        <v>17</v>
      </c>
      <c r="W29" s="775">
        <f t="shared" si="14"/>
        <v>100</v>
      </c>
      <c r="X29" s="1813"/>
      <c r="Y29" s="3304"/>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4"/>
      <c r="Q30" s="1810" t="str">
        <f t="shared" si="11"/>
        <v>建筑面积</v>
      </c>
      <c r="R30" s="774" t="s">
        <v>17</v>
      </c>
      <c r="S30" s="775" t="e">
        <f t="shared" si="12"/>
        <v>#N/A</v>
      </c>
      <c r="T30" s="774" t="s">
        <v>17</v>
      </c>
      <c r="U30" s="775" t="e">
        <f t="shared" si="13"/>
        <v>#N/A</v>
      </c>
      <c r="V30" s="774" t="s">
        <v>17</v>
      </c>
      <c r="W30" s="775" t="e">
        <f t="shared" si="14"/>
        <v>#N/A</v>
      </c>
      <c r="X30" s="1813"/>
      <c r="Y30" s="3304"/>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4"/>
      <c r="Q31" s="1795" t="str">
        <f t="shared" si="11"/>
        <v>是否封闭</v>
      </c>
      <c r="R31" s="770" t="s">
        <v>17</v>
      </c>
      <c r="S31" s="771">
        <f t="shared" si="12"/>
        <v>100</v>
      </c>
      <c r="T31" s="770" t="s">
        <v>17</v>
      </c>
      <c r="U31" s="771">
        <f t="shared" si="13"/>
        <v>100</v>
      </c>
      <c r="V31" s="770" t="s">
        <v>17</v>
      </c>
      <c r="W31" s="771">
        <f t="shared" si="14"/>
        <v>100</v>
      </c>
      <c r="X31" s="772"/>
      <c r="Y31" s="330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4" t="s">
        <v>2558</v>
      </c>
      <c r="Q32" s="1810">
        <f t="shared" si="11"/>
        <v>111</v>
      </c>
      <c r="R32" s="774" t="s">
        <v>17</v>
      </c>
      <c r="S32" s="775">
        <f t="shared" si="12"/>
        <v>100</v>
      </c>
      <c r="T32" s="774" t="s">
        <v>17</v>
      </c>
      <c r="U32" s="775">
        <f t="shared" si="13"/>
        <v>100</v>
      </c>
      <c r="V32" s="774" t="s">
        <v>17</v>
      </c>
      <c r="W32" s="775">
        <f t="shared" si="14"/>
        <v>100</v>
      </c>
      <c r="X32" s="1813"/>
      <c r="Y32" s="3304"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4"/>
      <c r="Q33" s="1810">
        <f t="shared" si="11"/>
        <v>111</v>
      </c>
      <c r="R33" s="774" t="s">
        <v>17</v>
      </c>
      <c r="S33" s="775">
        <f t="shared" si="12"/>
        <v>100</v>
      </c>
      <c r="T33" s="774" t="s">
        <v>17</v>
      </c>
      <c r="U33" s="775">
        <f t="shared" si="13"/>
        <v>100</v>
      </c>
      <c r="V33" s="774" t="s">
        <v>17</v>
      </c>
      <c r="W33" s="775">
        <f t="shared" si="14"/>
        <v>100</v>
      </c>
      <c r="X33" s="1813"/>
      <c r="Y33" s="330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304"/>
      <c r="Q34" s="1810">
        <f t="shared" si="11"/>
        <v>111</v>
      </c>
      <c r="R34" s="774" t="s">
        <v>17</v>
      </c>
      <c r="S34" s="775">
        <f t="shared" si="12"/>
        <v>100</v>
      </c>
      <c r="T34" s="774" t="s">
        <v>17</v>
      </c>
      <c r="U34" s="775">
        <f t="shared" si="13"/>
        <v>100</v>
      </c>
      <c r="V34" s="774" t="s">
        <v>17</v>
      </c>
      <c r="W34" s="775">
        <f t="shared" si="14"/>
        <v>100</v>
      </c>
      <c r="X34" s="1813"/>
      <c r="Y34" s="3304"/>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297" t="str">
        <f>A35</f>
        <v>成交单价（元/平方米）</v>
      </c>
      <c r="Q35" s="3297"/>
      <c r="R35" s="3298">
        <f>E35</f>
        <v>0</v>
      </c>
      <c r="S35" s="3298"/>
      <c r="T35" s="3298">
        <f>G35</f>
        <v>0</v>
      </c>
      <c r="U35" s="3298"/>
      <c r="V35" s="3298">
        <f>I35</f>
        <v>0</v>
      </c>
      <c r="W35" s="3298"/>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94" t="str">
        <f>A37</f>
        <v>估价对象XX用房的比较价值（楼面单价，元/平方米）</v>
      </c>
      <c r="Q37" s="3295"/>
      <c r="R37" s="3296" t="e">
        <f>IF(F1="售价",ROUND(AVERAGE(R36:V36),0),ROUND(AVERAGE(R36:V36),1))</f>
        <v>#DIV/0!</v>
      </c>
      <c r="S37" s="3296"/>
      <c r="T37" s="3296"/>
      <c r="U37" s="3296"/>
      <c r="V37" s="3296"/>
      <c r="W37" s="329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280" t="s">
        <v>2639</v>
      </c>
      <c r="D4" s="3281"/>
      <c r="E4" s="3282" t="s">
        <v>2640</v>
      </c>
      <c r="F4" s="3283"/>
      <c r="G4" s="3280" t="s">
        <v>2641</v>
      </c>
      <c r="H4" s="3281"/>
      <c r="I4" s="3280" t="s">
        <v>2642</v>
      </c>
      <c r="J4" s="3281"/>
      <c r="K4" s="610" t="s">
        <v>2643</v>
      </c>
      <c r="L4" s="1130"/>
      <c r="M4" s="1131"/>
      <c r="N4" s="1131"/>
      <c r="O4" s="1131"/>
      <c r="P4" s="3284" t="s">
        <v>2644</v>
      </c>
      <c r="Q4" s="3285"/>
      <c r="R4" s="3267" t="s">
        <v>2640</v>
      </c>
      <c r="S4" s="3268"/>
      <c r="T4" s="3267" t="s">
        <v>2641</v>
      </c>
      <c r="U4" s="3268"/>
      <c r="V4" s="3292" t="s">
        <v>2642</v>
      </c>
      <c r="W4" s="3292"/>
      <c r="X4" s="1813"/>
      <c r="Y4" s="3267" t="s">
        <v>2644</v>
      </c>
      <c r="Z4" s="3268"/>
      <c r="AA4" s="3262" t="s">
        <v>2640</v>
      </c>
      <c r="AB4" s="3263" t="s">
        <v>2641</v>
      </c>
      <c r="AC4" s="3262" t="s">
        <v>2642</v>
      </c>
    </row>
    <row r="5" spans="1:30" ht="15">
      <c r="A5" s="404"/>
      <c r="B5" s="405"/>
      <c r="C5" s="3273" t="s">
        <v>2535</v>
      </c>
      <c r="D5" s="3274"/>
      <c r="E5" s="3271" t="s">
        <v>2536</v>
      </c>
      <c r="F5" s="3272"/>
      <c r="G5" s="3273" t="s">
        <v>2537</v>
      </c>
      <c r="H5" s="3274"/>
      <c r="I5" s="3273" t="s">
        <v>2538</v>
      </c>
      <c r="J5" s="3274"/>
      <c r="K5" s="610"/>
      <c r="L5" s="1130"/>
      <c r="M5" s="1131"/>
      <c r="N5" s="1131"/>
      <c r="O5" s="1131"/>
      <c r="P5" s="3286"/>
      <c r="Q5" s="3287"/>
      <c r="R5" s="3269"/>
      <c r="S5" s="3270"/>
      <c r="T5" s="3269"/>
      <c r="U5" s="3270"/>
      <c r="V5" s="3292"/>
      <c r="W5" s="3292"/>
      <c r="X5" s="1813"/>
      <c r="Y5" s="3269"/>
      <c r="Z5" s="3270"/>
      <c r="AA5" s="3263"/>
      <c r="AB5" s="3263"/>
      <c r="AC5" s="3263"/>
    </row>
    <row r="6" spans="1:30" ht="15.75" thickBot="1">
      <c r="A6" s="406"/>
      <c r="B6" s="407"/>
      <c r="C6" s="3275" t="s">
        <v>2539</v>
      </c>
      <c r="D6" s="3276"/>
      <c r="E6" s="3277" t="s">
        <v>2539</v>
      </c>
      <c r="F6" s="3278"/>
      <c r="G6" s="3275" t="s">
        <v>2539</v>
      </c>
      <c r="H6" s="3276"/>
      <c r="I6" s="3275" t="s">
        <v>2539</v>
      </c>
      <c r="J6" s="3276"/>
      <c r="K6" s="610" t="s">
        <v>2540</v>
      </c>
      <c r="L6" s="1130"/>
      <c r="M6" s="1131"/>
      <c r="N6" s="1131"/>
      <c r="O6" s="1131"/>
      <c r="P6" s="3288"/>
      <c r="Q6" s="3289"/>
      <c r="R6" s="3269"/>
      <c r="S6" s="3270"/>
      <c r="T6" s="3290"/>
      <c r="U6" s="3291"/>
      <c r="V6" s="3292"/>
      <c r="W6" s="3292"/>
      <c r="X6" s="1813"/>
      <c r="Y6" s="3290"/>
      <c r="Z6" s="3291"/>
      <c r="AA6" s="3264"/>
      <c r="AB6" s="3264"/>
      <c r="AC6" s="3264"/>
    </row>
    <row r="7" spans="1:30" s="117" customFormat="1" ht="15.75" thickBot="1">
      <c r="A7" s="408" t="s">
        <v>2541</v>
      </c>
      <c r="B7" s="409"/>
      <c r="C7" s="410">
        <f>'数据-取费表'!B2</f>
        <v>43222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65" t="s">
        <v>2542</v>
      </c>
      <c r="Q7" s="3293"/>
      <c r="R7" s="770" t="s">
        <v>17</v>
      </c>
      <c r="S7" s="771">
        <f t="shared" ref="S7:S15" si="0">F7</f>
        <v>0</v>
      </c>
      <c r="T7" s="770" t="s">
        <v>17</v>
      </c>
      <c r="U7" s="771">
        <f t="shared" ref="U7:U15" si="1">H7</f>
        <v>0</v>
      </c>
      <c r="V7" s="770" t="s">
        <v>17</v>
      </c>
      <c r="W7" s="771">
        <f t="shared" ref="W7:W15" si="2">J7</f>
        <v>0</v>
      </c>
      <c r="X7" s="772"/>
      <c r="Y7" s="3265" t="s">
        <v>2542</v>
      </c>
      <c r="Z7" s="3266"/>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5" t="s">
        <v>2545</v>
      </c>
      <c r="Q8" s="3266"/>
      <c r="R8" s="770" t="s">
        <v>17</v>
      </c>
      <c r="S8" s="771">
        <f t="shared" si="0"/>
        <v>0</v>
      </c>
      <c r="T8" s="770" t="s">
        <v>17</v>
      </c>
      <c r="U8" s="771">
        <f t="shared" si="1"/>
        <v>0</v>
      </c>
      <c r="V8" s="770" t="s">
        <v>17</v>
      </c>
      <c r="W8" s="771">
        <f t="shared" si="2"/>
        <v>0</v>
      </c>
      <c r="X8" s="772"/>
      <c r="Y8" s="3265" t="s">
        <v>2545</v>
      </c>
      <c r="Z8" s="3266"/>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97" t="s">
        <v>2548</v>
      </c>
      <c r="Q9" s="1795" t="str">
        <f t="shared" ref="Q9:Q15" si="6">B9</f>
        <v>用途</v>
      </c>
      <c r="R9" s="770" t="s">
        <v>17</v>
      </c>
      <c r="S9" s="771">
        <f t="shared" si="0"/>
        <v>100</v>
      </c>
      <c r="T9" s="770" t="s">
        <v>17</v>
      </c>
      <c r="U9" s="771">
        <f t="shared" si="1"/>
        <v>100</v>
      </c>
      <c r="V9" s="770" t="s">
        <v>17</v>
      </c>
      <c r="W9" s="771">
        <f t="shared" si="2"/>
        <v>100</v>
      </c>
      <c r="X9" s="772"/>
      <c r="Y9" s="3091"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97"/>
      <c r="Q10" s="1795" t="str">
        <f t="shared" si="6"/>
        <v>土地使用年限（年）</v>
      </c>
      <c r="R10" s="770" t="s">
        <v>17</v>
      </c>
      <c r="S10" s="771">
        <f t="shared" si="0"/>
        <v>113</v>
      </c>
      <c r="T10" s="770" t="s">
        <v>17</v>
      </c>
      <c r="U10" s="771">
        <f t="shared" si="1"/>
        <v>113</v>
      </c>
      <c r="V10" s="770" t="s">
        <v>17</v>
      </c>
      <c r="W10" s="771">
        <f t="shared" si="2"/>
        <v>113</v>
      </c>
      <c r="X10" s="772"/>
      <c r="Y10" s="3091"/>
      <c r="Z10" s="55" t="str">
        <f t="shared" si="7"/>
        <v>土地使用年限（年）</v>
      </c>
      <c r="AA10" s="773">
        <f t="shared" si="3"/>
        <v>0.88495575221238942</v>
      </c>
      <c r="AB10" s="773">
        <f t="shared" si="4"/>
        <v>0.88495575221238942</v>
      </c>
      <c r="AC10" s="773">
        <f t="shared" si="5"/>
        <v>0.88495575221238942</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7"/>
      <c r="Q11" s="1795" t="str">
        <f t="shared" si="6"/>
        <v>容积率</v>
      </c>
      <c r="R11" s="770" t="s">
        <v>17</v>
      </c>
      <c r="S11" s="771" t="e">
        <f t="shared" si="0"/>
        <v>#N/A</v>
      </c>
      <c r="T11" s="770" t="s">
        <v>17</v>
      </c>
      <c r="U11" s="771" t="e">
        <f t="shared" si="1"/>
        <v>#N/A</v>
      </c>
      <c r="V11" s="770" t="s">
        <v>17</v>
      </c>
      <c r="W11" s="771" t="e">
        <f t="shared" si="2"/>
        <v>#N/A</v>
      </c>
      <c r="X11" s="772"/>
      <c r="Y11" s="3091"/>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7"/>
      <c r="Q12" s="1795" t="str">
        <f t="shared" si="6"/>
        <v>配建</v>
      </c>
      <c r="R12" s="770" t="s">
        <v>17</v>
      </c>
      <c r="S12" s="771">
        <f t="shared" si="0"/>
        <v>100</v>
      </c>
      <c r="T12" s="770" t="s">
        <v>17</v>
      </c>
      <c r="U12" s="771">
        <f t="shared" si="1"/>
        <v>100</v>
      </c>
      <c r="V12" s="770" t="s">
        <v>17</v>
      </c>
      <c r="W12" s="771">
        <f t="shared" si="2"/>
        <v>100</v>
      </c>
      <c r="X12" s="772"/>
      <c r="Y12" s="309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7"/>
      <c r="Q13" s="1795">
        <f t="shared" si="6"/>
        <v>111</v>
      </c>
      <c r="R13" s="770" t="s">
        <v>17</v>
      </c>
      <c r="S13" s="771">
        <f t="shared" si="0"/>
        <v>100</v>
      </c>
      <c r="T13" s="770" t="s">
        <v>17</v>
      </c>
      <c r="U13" s="771">
        <f t="shared" si="1"/>
        <v>100</v>
      </c>
      <c r="V13" s="770" t="s">
        <v>17</v>
      </c>
      <c r="W13" s="771">
        <f t="shared" si="2"/>
        <v>100</v>
      </c>
      <c r="X13" s="772"/>
      <c r="Y13" s="309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7"/>
      <c r="Q14" s="1795">
        <f t="shared" si="6"/>
        <v>111</v>
      </c>
      <c r="R14" s="770" t="s">
        <v>17</v>
      </c>
      <c r="S14" s="771">
        <f t="shared" si="0"/>
        <v>100</v>
      </c>
      <c r="T14" s="770" t="s">
        <v>17</v>
      </c>
      <c r="U14" s="771">
        <f t="shared" si="1"/>
        <v>100</v>
      </c>
      <c r="V14" s="770" t="s">
        <v>17</v>
      </c>
      <c r="W14" s="771">
        <f t="shared" si="2"/>
        <v>100</v>
      </c>
      <c r="X14" s="772"/>
      <c r="Y14" s="3091"/>
      <c r="Z14" s="55">
        <f t="shared" si="7"/>
        <v>111</v>
      </c>
      <c r="AA14" s="773">
        <f>D14/F14</f>
        <v>1</v>
      </c>
      <c r="AB14" s="773">
        <f>D14/H14</f>
        <v>1</v>
      </c>
      <c r="AC14" s="773">
        <f>D14/J14</f>
        <v>1</v>
      </c>
    </row>
    <row r="15" spans="1:30" ht="99.75">
      <c r="A15" s="440" t="s">
        <v>2552</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9" t="s">
        <v>2553</v>
      </c>
      <c r="Q15" s="1810" t="str">
        <f t="shared" si="6"/>
        <v>居住社区成熟度</v>
      </c>
      <c r="R15" s="774" t="s">
        <v>17</v>
      </c>
      <c r="S15" s="775">
        <f t="shared" si="0"/>
        <v>100</v>
      </c>
      <c r="T15" s="774" t="s">
        <v>17</v>
      </c>
      <c r="U15" s="775">
        <f t="shared" si="1"/>
        <v>100</v>
      </c>
      <c r="V15" s="774" t="s">
        <v>17</v>
      </c>
      <c r="W15" s="775">
        <f t="shared" si="2"/>
        <v>100</v>
      </c>
      <c r="X15" s="1813"/>
      <c r="Y15" s="3299"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300"/>
      <c r="Q16" s="1810"/>
      <c r="R16" s="774"/>
      <c r="S16" s="775"/>
      <c r="T16" s="774"/>
      <c r="U16" s="775"/>
      <c r="V16" s="774"/>
      <c r="W16" s="775"/>
      <c r="X16" s="1813"/>
      <c r="Y16" s="3300"/>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00"/>
      <c r="Q17" s="1810" t="str">
        <f>B17</f>
        <v>商业繁华度</v>
      </c>
      <c r="R17" s="774" t="s">
        <v>17</v>
      </c>
      <c r="S17" s="775">
        <f>F17</f>
        <v>100</v>
      </c>
      <c r="T17" s="774" t="s">
        <v>17</v>
      </c>
      <c r="U17" s="775">
        <f>H17</f>
        <v>100</v>
      </c>
      <c r="V17" s="774" t="s">
        <v>17</v>
      </c>
      <c r="W17" s="775">
        <f>J17</f>
        <v>100</v>
      </c>
      <c r="X17" s="1813"/>
      <c r="Y17" s="3300"/>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300"/>
      <c r="Q18" s="1810"/>
      <c r="R18" s="774"/>
      <c r="S18" s="775"/>
      <c r="T18" s="774"/>
      <c r="U18" s="775"/>
      <c r="V18" s="774"/>
      <c r="W18" s="775"/>
      <c r="X18" s="1813"/>
      <c r="Y18" s="3300"/>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00"/>
      <c r="Q19" s="1810" t="str">
        <f>B19</f>
        <v>办公集聚程度</v>
      </c>
      <c r="R19" s="774" t="s">
        <v>17</v>
      </c>
      <c r="S19" s="775">
        <f>F19</f>
        <v>100</v>
      </c>
      <c r="T19" s="774" t="s">
        <v>17</v>
      </c>
      <c r="U19" s="775">
        <f>H19</f>
        <v>100</v>
      </c>
      <c r="V19" s="774" t="s">
        <v>17</v>
      </c>
      <c r="W19" s="775">
        <f>J19</f>
        <v>100</v>
      </c>
      <c r="X19" s="1813"/>
      <c r="Y19" s="3300"/>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300"/>
      <c r="Q20" s="1810"/>
      <c r="R20" s="774"/>
      <c r="S20" s="775"/>
      <c r="T20" s="774"/>
      <c r="U20" s="775"/>
      <c r="V20" s="774"/>
      <c r="W20" s="775"/>
      <c r="X20" s="1813"/>
      <c r="Y20" s="3300"/>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00"/>
      <c r="Q21" s="1810" t="str">
        <f>B21</f>
        <v>交通便捷度</v>
      </c>
      <c r="R21" s="774" t="s">
        <v>17</v>
      </c>
      <c r="S21" s="775">
        <f>F21</f>
        <v>100</v>
      </c>
      <c r="T21" s="774" t="s">
        <v>17</v>
      </c>
      <c r="U21" s="775">
        <f>H21</f>
        <v>100</v>
      </c>
      <c r="V21" s="774" t="s">
        <v>17</v>
      </c>
      <c r="W21" s="775">
        <f>J21</f>
        <v>100</v>
      </c>
      <c r="X21" s="1813"/>
      <c r="Y21" s="3300"/>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300"/>
      <c r="Q22" s="1810"/>
      <c r="R22" s="774"/>
      <c r="S22" s="775"/>
      <c r="T22" s="774"/>
      <c r="U22" s="775"/>
      <c r="V22" s="774"/>
      <c r="W22" s="775"/>
      <c r="X22" s="1813"/>
      <c r="Y22" s="3300"/>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00"/>
      <c r="Q23" s="1810" t="str">
        <f t="shared" ref="Q23:Q37" si="8">B23</f>
        <v>区域土地利用方向</v>
      </c>
      <c r="R23" s="774" t="s">
        <v>17</v>
      </c>
      <c r="S23" s="775">
        <f>F23</f>
        <v>100</v>
      </c>
      <c r="T23" s="774" t="s">
        <v>17</v>
      </c>
      <c r="U23" s="775">
        <f>H23</f>
        <v>100</v>
      </c>
      <c r="V23" s="774" t="s">
        <v>17</v>
      </c>
      <c r="W23" s="775">
        <f>J23</f>
        <v>100</v>
      </c>
      <c r="X23" s="1813"/>
      <c r="Y23" s="3300"/>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300"/>
      <c r="Q24" s="1810"/>
      <c r="R24" s="774"/>
      <c r="S24" s="775"/>
      <c r="T24" s="774"/>
      <c r="U24" s="775"/>
      <c r="V24" s="774"/>
      <c r="W24" s="775"/>
      <c r="X24" s="1813"/>
      <c r="Y24" s="3300"/>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00"/>
      <c r="Q25" s="1810" t="str">
        <f t="shared" si="8"/>
        <v>自然及人文环境状况</v>
      </c>
      <c r="R25" s="774" t="s">
        <v>17</v>
      </c>
      <c r="S25" s="775">
        <f>F25</f>
        <v>100</v>
      </c>
      <c r="T25" s="774" t="s">
        <v>17</v>
      </c>
      <c r="U25" s="775">
        <f>H25</f>
        <v>100</v>
      </c>
      <c r="V25" s="774" t="s">
        <v>17</v>
      </c>
      <c r="W25" s="775">
        <f>J25</f>
        <v>100</v>
      </c>
      <c r="X25" s="1813"/>
      <c r="Y25" s="3300"/>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300"/>
      <c r="Q26" s="1810"/>
      <c r="R26" s="774"/>
      <c r="S26" s="775"/>
      <c r="T26" s="774"/>
      <c r="U26" s="775"/>
      <c r="V26" s="774"/>
      <c r="W26" s="775"/>
      <c r="X26" s="1813"/>
      <c r="Y26" s="3300"/>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00"/>
      <c r="Q27" s="1795" t="str">
        <f t="shared" si="8"/>
        <v>公共配套设施</v>
      </c>
      <c r="R27" s="770" t="s">
        <v>17</v>
      </c>
      <c r="S27" s="771">
        <f>F27</f>
        <v>100</v>
      </c>
      <c r="T27" s="770" t="s">
        <v>17</v>
      </c>
      <c r="U27" s="771">
        <f>H27</f>
        <v>100</v>
      </c>
      <c r="V27" s="770" t="s">
        <v>17</v>
      </c>
      <c r="W27" s="771">
        <f>J27</f>
        <v>100</v>
      </c>
      <c r="X27" s="772"/>
      <c r="Y27" s="3300"/>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300"/>
      <c r="Q28" s="1795"/>
      <c r="R28" s="770"/>
      <c r="S28" s="771"/>
      <c r="T28" s="770"/>
      <c r="U28" s="771"/>
      <c r="V28" s="770"/>
      <c r="W28" s="771"/>
      <c r="X28" s="772"/>
      <c r="Y28" s="3300"/>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00"/>
      <c r="Q29" s="1795" t="str">
        <f t="shared" ref="Q29" si="9">B29</f>
        <v>基础设施水平</v>
      </c>
      <c r="R29" s="770" t="s">
        <v>17</v>
      </c>
      <c r="S29" s="771">
        <f>F29</f>
        <v>100</v>
      </c>
      <c r="T29" s="770" t="s">
        <v>17</v>
      </c>
      <c r="U29" s="771">
        <f>H29</f>
        <v>100</v>
      </c>
      <c r="V29" s="770" t="s">
        <v>17</v>
      </c>
      <c r="W29" s="771">
        <f>J29</f>
        <v>100</v>
      </c>
      <c r="X29" s="772"/>
      <c r="Y29" s="3300"/>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300"/>
      <c r="Q30" s="1795"/>
      <c r="R30" s="770"/>
      <c r="S30" s="771"/>
      <c r="T30" s="770"/>
      <c r="U30" s="771"/>
      <c r="V30" s="770"/>
      <c r="W30" s="771"/>
      <c r="X30" s="772"/>
      <c r="Y30" s="3300"/>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0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00"/>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00"/>
      <c r="Q32" s="1810" t="str">
        <f t="shared" si="8"/>
        <v>毗邻道路的类型与等级</v>
      </c>
      <c r="R32" s="774" t="s">
        <v>17</v>
      </c>
      <c r="S32" s="775">
        <f t="shared" si="10"/>
        <v>100</v>
      </c>
      <c r="T32" s="774" t="s">
        <v>17</v>
      </c>
      <c r="U32" s="775">
        <f t="shared" si="11"/>
        <v>100</v>
      </c>
      <c r="V32" s="774" t="s">
        <v>17</v>
      </c>
      <c r="W32" s="775">
        <f t="shared" si="12"/>
        <v>100</v>
      </c>
      <c r="X32" s="1813"/>
      <c r="Y32" s="3300"/>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300"/>
      <c r="Q33" s="1810"/>
      <c r="R33" s="774"/>
      <c r="S33" s="775"/>
      <c r="T33" s="774"/>
      <c r="U33" s="775"/>
      <c r="V33" s="774"/>
      <c r="W33" s="775"/>
      <c r="X33" s="1813"/>
      <c r="Y33" s="3300"/>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00"/>
      <c r="Q34" s="1810" t="str">
        <f t="shared" si="8"/>
        <v>土地级别</v>
      </c>
      <c r="R34" s="774" t="s">
        <v>17</v>
      </c>
      <c r="S34" s="775">
        <f t="shared" si="10"/>
        <v>100</v>
      </c>
      <c r="T34" s="774" t="s">
        <v>17</v>
      </c>
      <c r="U34" s="775">
        <f t="shared" si="11"/>
        <v>100</v>
      </c>
      <c r="V34" s="774" t="s">
        <v>17</v>
      </c>
      <c r="W34" s="775">
        <f t="shared" si="12"/>
        <v>100</v>
      </c>
      <c r="X34" s="1813"/>
      <c r="Y34" s="330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00"/>
      <c r="Q35" s="1810">
        <f t="shared" si="8"/>
        <v>111</v>
      </c>
      <c r="R35" s="774" t="s">
        <v>17</v>
      </c>
      <c r="S35" s="775">
        <f t="shared" si="10"/>
        <v>100</v>
      </c>
      <c r="T35" s="774" t="s">
        <v>17</v>
      </c>
      <c r="U35" s="775">
        <f t="shared" si="11"/>
        <v>100</v>
      </c>
      <c r="V35" s="774" t="s">
        <v>17</v>
      </c>
      <c r="W35" s="775">
        <f t="shared" si="12"/>
        <v>100</v>
      </c>
      <c r="X35" s="1813"/>
      <c r="Y35" s="330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3" t="s">
        <v>2558</v>
      </c>
      <c r="Q36" s="1810">
        <f t="shared" si="8"/>
        <v>111</v>
      </c>
      <c r="R36" s="774" t="s">
        <v>17</v>
      </c>
      <c r="S36" s="775">
        <f t="shared" si="10"/>
        <v>100</v>
      </c>
      <c r="T36" s="774" t="s">
        <v>17</v>
      </c>
      <c r="U36" s="775">
        <f t="shared" si="11"/>
        <v>100</v>
      </c>
      <c r="V36" s="774" t="s">
        <v>17</v>
      </c>
      <c r="W36" s="775">
        <f t="shared" si="12"/>
        <v>100</v>
      </c>
      <c r="X36" s="1813"/>
      <c r="Y36" s="3304"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4"/>
      <c r="Q37" s="1810">
        <f t="shared" si="8"/>
        <v>111</v>
      </c>
      <c r="R37" s="777" t="s">
        <v>17</v>
      </c>
      <c r="S37" s="778">
        <f t="shared" si="10"/>
        <v>100</v>
      </c>
      <c r="T37" s="777" t="s">
        <v>17</v>
      </c>
      <c r="U37" s="778">
        <f t="shared" si="11"/>
        <v>100</v>
      </c>
      <c r="V37" s="777" t="s">
        <v>17</v>
      </c>
      <c r="W37" s="778">
        <f t="shared" si="12"/>
        <v>100</v>
      </c>
      <c r="X37" s="779"/>
      <c r="Y37" s="3304"/>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4"/>
      <c r="Q38" s="1810" t="str">
        <f>B38</f>
        <v>宗地面积</v>
      </c>
      <c r="R38" s="774" t="s">
        <v>17</v>
      </c>
      <c r="S38" s="775" t="e">
        <f t="shared" si="10"/>
        <v>#N/A</v>
      </c>
      <c r="T38" s="774" t="s">
        <v>17</v>
      </c>
      <c r="U38" s="775" t="e">
        <f t="shared" si="11"/>
        <v>#N/A</v>
      </c>
      <c r="V38" s="774" t="s">
        <v>17</v>
      </c>
      <c r="W38" s="775" t="e">
        <f t="shared" si="12"/>
        <v>#N/A</v>
      </c>
      <c r="X38" s="1813"/>
      <c r="Y38" s="3304"/>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304"/>
      <c r="Q39" s="1810" t="str">
        <f t="shared" ref="Q39:Q45" si="14">B39</f>
        <v>宗地形状</v>
      </c>
      <c r="R39" s="774" t="s">
        <v>17</v>
      </c>
      <c r="S39" s="775">
        <f t="shared" si="10"/>
        <v>100</v>
      </c>
      <c r="T39" s="774" t="s">
        <v>17</v>
      </c>
      <c r="U39" s="775">
        <f t="shared" si="11"/>
        <v>100</v>
      </c>
      <c r="V39" s="774" t="s">
        <v>17</v>
      </c>
      <c r="W39" s="775">
        <f t="shared" si="12"/>
        <v>100</v>
      </c>
      <c r="X39" s="1813"/>
      <c r="Y39" s="3304"/>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304"/>
      <c r="Q40" s="1810" t="str">
        <f t="shared" si="14"/>
        <v>临街宽度及深度</v>
      </c>
      <c r="R40" s="774" t="s">
        <v>17</v>
      </c>
      <c r="S40" s="775">
        <f t="shared" si="10"/>
        <v>100</v>
      </c>
      <c r="T40" s="774" t="s">
        <v>17</v>
      </c>
      <c r="U40" s="775">
        <f t="shared" si="11"/>
        <v>100</v>
      </c>
      <c r="V40" s="774" t="s">
        <v>17</v>
      </c>
      <c r="W40" s="775">
        <f t="shared" si="12"/>
        <v>100</v>
      </c>
      <c r="X40" s="1813"/>
      <c r="Y40" s="3304"/>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304"/>
      <c r="Q41" s="1810" t="str">
        <f t="shared" si="14"/>
        <v>宗地开发程度</v>
      </c>
      <c r="R41" s="770" t="s">
        <v>17</v>
      </c>
      <c r="S41" s="771">
        <f t="shared" si="10"/>
        <v>100</v>
      </c>
      <c r="T41" s="770" t="s">
        <v>17</v>
      </c>
      <c r="U41" s="771">
        <f t="shared" si="11"/>
        <v>100</v>
      </c>
      <c r="V41" s="770" t="s">
        <v>17</v>
      </c>
      <c r="W41" s="771">
        <f t="shared" si="12"/>
        <v>100</v>
      </c>
      <c r="X41" s="772"/>
      <c r="Y41" s="3304"/>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304" t="s">
        <v>2558</v>
      </c>
      <c r="Q42" s="1810" t="str">
        <f t="shared" si="14"/>
        <v>工程地质条件</v>
      </c>
      <c r="R42" s="774" t="s">
        <v>17</v>
      </c>
      <c r="S42" s="775">
        <f t="shared" si="10"/>
        <v>100</v>
      </c>
      <c r="T42" s="774" t="s">
        <v>17</v>
      </c>
      <c r="U42" s="775">
        <f t="shared" si="11"/>
        <v>100</v>
      </c>
      <c r="V42" s="774" t="s">
        <v>17</v>
      </c>
      <c r="W42" s="775">
        <f t="shared" si="12"/>
        <v>100</v>
      </c>
      <c r="X42" s="1813"/>
      <c r="Y42" s="3304"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4"/>
      <c r="Q43" s="1810">
        <f t="shared" si="14"/>
        <v>111</v>
      </c>
      <c r="R43" s="774" t="s">
        <v>17</v>
      </c>
      <c r="S43" s="775">
        <f t="shared" si="10"/>
        <v>100</v>
      </c>
      <c r="T43" s="774" t="s">
        <v>17</v>
      </c>
      <c r="U43" s="775">
        <f t="shared" si="11"/>
        <v>100</v>
      </c>
      <c r="V43" s="774" t="s">
        <v>17</v>
      </c>
      <c r="W43" s="775">
        <f t="shared" si="12"/>
        <v>100</v>
      </c>
      <c r="X43" s="1813"/>
      <c r="Y43" s="330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4"/>
      <c r="Q44" s="1810">
        <f t="shared" si="14"/>
        <v>111</v>
      </c>
      <c r="R44" s="774" t="s">
        <v>17</v>
      </c>
      <c r="S44" s="775">
        <f t="shared" si="10"/>
        <v>100</v>
      </c>
      <c r="T44" s="774" t="s">
        <v>17</v>
      </c>
      <c r="U44" s="775">
        <f t="shared" si="11"/>
        <v>100</v>
      </c>
      <c r="V44" s="774" t="s">
        <v>17</v>
      </c>
      <c r="W44" s="775">
        <f t="shared" si="12"/>
        <v>100</v>
      </c>
      <c r="X44" s="1813"/>
      <c r="Y44" s="3304"/>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4"/>
      <c r="Q45" s="1810">
        <f t="shared" si="14"/>
        <v>111</v>
      </c>
      <c r="R45" s="777" t="s">
        <v>17</v>
      </c>
      <c r="S45" s="778">
        <f t="shared" si="10"/>
        <v>100</v>
      </c>
      <c r="T45" s="777" t="s">
        <v>17</v>
      </c>
      <c r="U45" s="778">
        <f t="shared" si="11"/>
        <v>100</v>
      </c>
      <c r="V45" s="777" t="s">
        <v>17</v>
      </c>
      <c r="W45" s="778">
        <f t="shared" si="12"/>
        <v>100</v>
      </c>
      <c r="X45" s="779"/>
      <c r="Y45" s="3304"/>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297" t="str">
        <f>A46</f>
        <v>成交单价</v>
      </c>
      <c r="Q46" s="3297"/>
      <c r="R46" s="3292">
        <f>E46</f>
        <v>0</v>
      </c>
      <c r="S46" s="3292"/>
      <c r="T46" s="3292">
        <f>G46</f>
        <v>0</v>
      </c>
      <c r="U46" s="3292"/>
      <c r="V46" s="3292">
        <f>I46</f>
        <v>0</v>
      </c>
      <c r="W46" s="3292"/>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297" t="str">
        <f>A47</f>
        <v>比较价值（元/平方米）</v>
      </c>
      <c r="Q47" s="3297"/>
      <c r="R47" s="3324" t="e">
        <f>ROUND(PRODUCT(R46,AA7:AA45),0)</f>
        <v>#DIV/0!</v>
      </c>
      <c r="S47" s="3324"/>
      <c r="T47" s="3324" t="e">
        <f>ROUND(PRODUCT(T46,AB7:AB45),0)</f>
        <v>#DIV/0!</v>
      </c>
      <c r="U47" s="3324"/>
      <c r="V47" s="3324" t="e">
        <f>ROUND(PRODUCT(V46,AC7:AC45),0)</f>
        <v>#DIV/0!</v>
      </c>
      <c r="W47" s="3324"/>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294" t="str">
        <f>A48</f>
        <v>估价对象XX用房的比较价值（楼面单价，元/平方米）</v>
      </c>
      <c r="Q48" s="3295"/>
      <c r="R48" s="3325" t="e">
        <f>ROUND(AVERAGE(R47:V47),0)</f>
        <v>#DIV/0!</v>
      </c>
      <c r="S48" s="3325"/>
      <c r="T48" s="3325"/>
      <c r="U48" s="3325"/>
      <c r="V48" s="3325"/>
      <c r="W48" s="332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280" t="s">
        <v>2757</v>
      </c>
      <c r="H55" s="3326"/>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21566.61</v>
      </c>
      <c r="F56" s="1103" t="e">
        <f t="shared" ref="F56:F65" si="15">ROUND(B56*E56/10000,0)</f>
        <v>#DIV/0!</v>
      </c>
      <c r="G56" s="3279"/>
      <c r="H56" s="3297"/>
      <c r="I56" s="1108">
        <v>1</v>
      </c>
      <c r="J56" s="1111">
        <v>1</v>
      </c>
      <c r="K56" s="1145"/>
      <c r="L56" s="941"/>
      <c r="M56" s="941"/>
      <c r="N56" s="941"/>
      <c r="O56" s="941"/>
    </row>
    <row r="57" spans="1:15" s="692" customFormat="1">
      <c r="A57" s="693" t="s">
        <v>2761</v>
      </c>
      <c r="B57" s="262" t="e">
        <f>ROUND($C$48*C57*D57,0)</f>
        <v>#DIV/0!</v>
      </c>
      <c r="C57" s="200">
        <f t="shared" ref="C57:C65" si="16">IF($C$55="北京市系数",I57,J57)</f>
        <v>0.7</v>
      </c>
      <c r="D57" s="1164">
        <v>0.25</v>
      </c>
      <c r="E57" s="694"/>
      <c r="F57" s="1103" t="e">
        <f t="shared" si="15"/>
        <v>#DIV/0!</v>
      </c>
      <c r="G57" s="3327" t="s">
        <v>2762</v>
      </c>
      <c r="H57" s="1104" t="str">
        <f>项目基本情况!B37</f>
        <v>六级</v>
      </c>
      <c r="I57" s="1108">
        <f>SUMIF(修正!A45:A56,H57,修正!B45:B56)</f>
        <v>0.7</v>
      </c>
      <c r="J57" s="1112"/>
      <c r="K57" s="1144"/>
      <c r="L57" s="941"/>
      <c r="M57" s="941"/>
      <c r="N57" s="941"/>
      <c r="O57" s="941"/>
    </row>
    <row r="58" spans="1:15" s="692" customFormat="1">
      <c r="A58" s="693" t="s">
        <v>2763</v>
      </c>
      <c r="B58" s="262" t="e">
        <f t="shared" ref="B58:B65" si="17">ROUND($C$48*C58*D58,0)</f>
        <v>#DIV/0!</v>
      </c>
      <c r="C58" s="200">
        <f t="shared" si="16"/>
        <v>0.4</v>
      </c>
      <c r="D58" s="1164">
        <v>0.25</v>
      </c>
      <c r="E58" s="694"/>
      <c r="F58" s="1103" t="e">
        <f t="shared" si="15"/>
        <v>#DIV/0!</v>
      </c>
      <c r="G58" s="3327"/>
      <c r="H58" s="1104" t="str">
        <f>项目基本情况!B37</f>
        <v>六级</v>
      </c>
      <c r="I58" s="1108">
        <f>SUMIF(修正!A45:A56,H58,修正!C45:C56)</f>
        <v>0.4</v>
      </c>
      <c r="J58" s="1112"/>
      <c r="K58" s="1145"/>
      <c r="L58" s="941"/>
      <c r="M58" s="941"/>
      <c r="N58" s="941"/>
      <c r="O58" s="941"/>
    </row>
    <row r="59" spans="1:15" s="692" customFormat="1">
      <c r="A59" s="693" t="s">
        <v>2764</v>
      </c>
      <c r="B59" s="262" t="e">
        <f t="shared" si="17"/>
        <v>#DIV/0!</v>
      </c>
      <c r="C59" s="200">
        <f t="shared" si="16"/>
        <v>0.28000000000000003</v>
      </c>
      <c r="D59" s="1164">
        <v>0.25</v>
      </c>
      <c r="E59" s="694"/>
      <c r="F59" s="1103" t="e">
        <f t="shared" si="15"/>
        <v>#DIV/0!</v>
      </c>
      <c r="G59" s="3327"/>
      <c r="H59" s="1104" t="str">
        <f>项目基本情况!B37</f>
        <v>六级</v>
      </c>
      <c r="I59" s="1108">
        <f>SUMIF(修正!A45:A56,H59,修正!D45:D56)</f>
        <v>0.28000000000000003</v>
      </c>
      <c r="J59" s="1112"/>
      <c r="K59" s="1144"/>
      <c r="L59" s="941"/>
      <c r="M59" s="941"/>
      <c r="N59" s="941"/>
      <c r="O59" s="941"/>
    </row>
    <row r="60" spans="1:15" s="692" customFormat="1">
      <c r="A60" s="693" t="s">
        <v>2765</v>
      </c>
      <c r="B60" s="262" t="e">
        <f t="shared" si="17"/>
        <v>#DIV/0!</v>
      </c>
      <c r="C60" s="200">
        <f t="shared" si="16"/>
        <v>0.25</v>
      </c>
      <c r="D60" s="1164">
        <v>0.25</v>
      </c>
      <c r="E60" s="694"/>
      <c r="F60" s="1103" t="e">
        <f t="shared" si="15"/>
        <v>#DIV/0!</v>
      </c>
      <c r="G60" s="3327"/>
      <c r="H60" s="1104" t="str">
        <f>项目基本情况!B37</f>
        <v>六级</v>
      </c>
      <c r="I60" s="1108">
        <f>SUMIF(修正!A45:A56,H60,修正!E45:E56)</f>
        <v>0.25</v>
      </c>
      <c r="J60" s="1112"/>
      <c r="K60" s="1145"/>
      <c r="L60" s="941"/>
      <c r="M60" s="941"/>
      <c r="N60" s="941"/>
      <c r="O60" s="941"/>
    </row>
    <row r="61" spans="1:15" s="692" customFormat="1">
      <c r="A61" s="693" t="s">
        <v>2766</v>
      </c>
      <c r="B61" s="262" t="e">
        <f t="shared" si="17"/>
        <v>#DIV/0!</v>
      </c>
      <c r="C61" s="200">
        <f t="shared" si="16"/>
        <v>0.25</v>
      </c>
      <c r="D61" s="1164">
        <v>0.25</v>
      </c>
      <c r="E61" s="261">
        <f>'数据-汇总表'!E11</f>
        <v>0</v>
      </c>
      <c r="F61" s="1103" t="e">
        <f t="shared" si="15"/>
        <v>#DIV/0!</v>
      </c>
      <c r="G61" s="2708" t="s">
        <v>2767</v>
      </c>
      <c r="H61" s="1104" t="str">
        <f>项目基本情况!C37</f>
        <v>六级</v>
      </c>
      <c r="I61" s="1108">
        <f>SUMIF(修正!A45:A56,H61,修正!F45:F56)</f>
        <v>0.25</v>
      </c>
      <c r="J61" s="1112"/>
      <c r="K61" s="1144"/>
      <c r="L61" s="941"/>
      <c r="M61" s="941"/>
      <c r="N61" s="941"/>
      <c r="O61" s="941"/>
    </row>
    <row r="62" spans="1:15" s="692" customFormat="1">
      <c r="A62" s="693" t="s">
        <v>2768</v>
      </c>
      <c r="B62" s="262" t="e">
        <f t="shared" si="17"/>
        <v>#DIV/0!</v>
      </c>
      <c r="C62" s="200">
        <f t="shared" si="16"/>
        <v>0.25</v>
      </c>
      <c r="D62" s="1164">
        <v>0.25</v>
      </c>
      <c r="E62" s="261">
        <f>'数据-汇总表'!E12</f>
        <v>0</v>
      </c>
      <c r="F62" s="1103" t="e">
        <f t="shared" si="15"/>
        <v>#DIV/0!</v>
      </c>
      <c r="G62" s="1109" t="s">
        <v>2769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0.2</v>
      </c>
      <c r="D64" s="1164">
        <v>0.25</v>
      </c>
      <c r="E64" s="261">
        <f>'数据-汇总表'!E14</f>
        <v>0</v>
      </c>
      <c r="F64" s="1103" t="e">
        <f t="shared" si="15"/>
        <v>#DIV/0!</v>
      </c>
      <c r="G64" s="2708" t="s">
        <v>2762</v>
      </c>
      <c r="H64" s="1104" t="str">
        <f>项目基本情况!B37</f>
        <v>六级</v>
      </c>
      <c r="I64" s="1108">
        <f>SUMIF(修正!A45:A56,H64,修正!H45:H56)</f>
        <v>0.2</v>
      </c>
      <c r="J64" s="1112"/>
      <c r="K64" s="1145"/>
      <c r="L64" s="941"/>
      <c r="M64" s="941"/>
      <c r="N64" s="941"/>
      <c r="O64" s="941"/>
    </row>
    <row r="65" spans="1:17" s="692" customFormat="1" ht="15" thickBot="1">
      <c r="A65" s="693" t="s">
        <v>2773</v>
      </c>
      <c r="B65" s="262" t="e">
        <f t="shared" si="17"/>
        <v>#DIV/0!</v>
      </c>
      <c r="C65" s="200">
        <f t="shared" si="16"/>
        <v>0.2</v>
      </c>
      <c r="D65" s="1164">
        <v>0.25</v>
      </c>
      <c r="E65" s="261">
        <f>'数据-汇总表'!E15</f>
        <v>4788.67</v>
      </c>
      <c r="F65" s="1103" t="e">
        <f t="shared" si="15"/>
        <v>#DIV/0!</v>
      </c>
      <c r="G65" s="2709" t="s">
        <v>2767</v>
      </c>
      <c r="H65" s="1114" t="str">
        <f>项目基本情况!C37</f>
        <v>六级</v>
      </c>
      <c r="I65" s="1110">
        <f>SUMIF(修正!A45:A56,H65,修正!H45:H56)</f>
        <v>0.2</v>
      </c>
      <c r="J65" s="1113"/>
      <c r="K65" s="1144"/>
      <c r="L65" s="941"/>
      <c r="M65" s="941"/>
      <c r="N65" s="941"/>
      <c r="O65" s="941"/>
    </row>
    <row r="66" spans="1:17" s="692" customFormat="1" ht="13.5" thickBot="1">
      <c r="A66" s="695" t="s">
        <v>2774</v>
      </c>
      <c r="B66" s="696" t="s">
        <v>28</v>
      </c>
      <c r="C66" s="696" t="s">
        <v>29</v>
      </c>
      <c r="D66" s="696" t="s">
        <v>1029</v>
      </c>
      <c r="E66" s="696">
        <f>IF(B46="楼面地价",SUM(E56:E65),'数据-汇总表'!D3)</f>
        <v>26355.279999999999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1" t="s">
        <v>2776</v>
      </c>
      <c r="B71" s="332" t="str">
        <f>"北京市平均增长率"&amp;TEXT(SUMIF('基准地价修正-办公'!N21:N25,A71,'基准地价修正-办公'!P21:P25),"0.00%")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61"/>
      <c r="B4" s="3029" t="s">
        <v>1629</v>
      </c>
      <c r="C4" s="3029"/>
      <c r="D4" s="3029"/>
      <c r="E4" s="1961"/>
    </row>
    <row r="5" spans="1:5" ht="16.5" thickTop="1">
      <c r="A5" s="1959"/>
      <c r="B5" s="3027" t="s">
        <v>1621</v>
      </c>
      <c r="C5" s="1962" t="s">
        <v>1622</v>
      </c>
      <c r="D5" s="1040">
        <f ca="1">结果表!H101</f>
        <v>79569</v>
      </c>
      <c r="E5" s="1959"/>
    </row>
    <row r="6" spans="1:5" ht="15.75">
      <c r="A6" s="1959"/>
      <c r="B6" s="3027"/>
      <c r="C6" s="1962" t="s">
        <v>1623</v>
      </c>
      <c r="D6" s="1040" t="str">
        <f ca="1">NUMBERSTRING(INT(D5*10000),2)&amp;"元整"</f>
        <v>柒亿玖仟伍佰陆拾玖万元整</v>
      </c>
      <c r="E6" s="1959"/>
    </row>
    <row r="7" spans="1:5" ht="15.75">
      <c r="A7" s="1959"/>
      <c r="B7" s="3032"/>
      <c r="C7" s="1963" t="s">
        <v>1624</v>
      </c>
      <c r="D7" s="1041">
        <f ca="1">结果表!H102</f>
        <v>27558</v>
      </c>
      <c r="E7" s="1959"/>
    </row>
    <row r="8" spans="1:5" ht="15.75">
      <c r="A8" s="1959"/>
      <c r="B8" s="3033" t="str">
        <f>结果表!E103</f>
        <v>2.估价师知悉的除抵押担保权以外的法定优先受偿款</v>
      </c>
      <c r="C8" s="1964" t="s">
        <v>1625</v>
      </c>
      <c r="D8" s="1041">
        <f>结果表!H103</f>
        <v>0</v>
      </c>
      <c r="E8" s="1959"/>
    </row>
    <row r="9" spans="1:5" ht="15.75">
      <c r="A9" s="1959"/>
      <c r="B9" s="3035"/>
      <c r="C9" s="1962" t="s">
        <v>1623</v>
      </c>
      <c r="D9" s="1040" t="str">
        <f>NUMBERSTRING(INT(D8*10000),2)&amp;"元整"</f>
        <v>零元整</v>
      </c>
      <c r="E9" s="1959"/>
    </row>
    <row r="10" spans="1:5" ht="15">
      <c r="A10" s="1959"/>
      <c r="B10" s="1965" t="s">
        <v>1628</v>
      </c>
      <c r="C10" s="1966" t="s">
        <v>1626</v>
      </c>
      <c r="D10" s="1042" t="str">
        <f>结果表!H104</f>
        <v>200000（未扣减，详见特别提示）</v>
      </c>
      <c r="E10" s="1959"/>
    </row>
    <row r="11" spans="1:5" ht="15">
      <c r="A11" s="1959"/>
      <c r="B11" s="1965" t="s">
        <v>1630</v>
      </c>
      <c r="C11" s="1966" t="s">
        <v>1631</v>
      </c>
      <c r="D11" s="1042">
        <f>结果表!H105</f>
        <v>0</v>
      </c>
      <c r="E11" s="1959"/>
    </row>
    <row r="12" spans="1:5" ht="15">
      <c r="A12" s="1959"/>
      <c r="B12" s="1965" t="s">
        <v>1632</v>
      </c>
      <c r="C12" s="1966" t="s">
        <v>1631</v>
      </c>
      <c r="D12" s="1042">
        <f>结果表!H106</f>
        <v>0</v>
      </c>
      <c r="E12" s="1959"/>
    </row>
    <row r="13" spans="1:5" ht="15.75">
      <c r="A13" s="1959"/>
      <c r="B13" s="3026" t="str">
        <f>结果表!E107</f>
        <v>3.房地产抵押价值</v>
      </c>
      <c r="C13" s="1967" t="s">
        <v>1622</v>
      </c>
      <c r="D13" s="1043">
        <f ca="1">结果表!H107</f>
        <v>79569</v>
      </c>
      <c r="E13" s="1959"/>
    </row>
    <row r="14" spans="1:5" ht="15.75">
      <c r="A14" s="1959"/>
      <c r="B14" s="3027"/>
      <c r="C14" s="1962" t="s">
        <v>1623</v>
      </c>
      <c r="D14" s="1040" t="str">
        <f ca="1">NUMBERSTRING(INT(D13*10000),2)&amp;"元整"</f>
        <v>柒亿玖仟伍佰陆拾玖万元整</v>
      </c>
      <c r="E14" s="1959"/>
    </row>
    <row r="15" spans="1:5" ht="15">
      <c r="A15" s="1959"/>
      <c r="B15" s="3032"/>
      <c r="C15" s="1963" t="s">
        <v>1633</v>
      </c>
      <c r="D15" s="1052">
        <f ca="1">结果表!H108</f>
        <v>27558</v>
      </c>
      <c r="E15" s="1959"/>
    </row>
    <row r="16" spans="1:5" ht="15">
      <c r="A16" s="1959"/>
      <c r="B16" s="3033" t="str">
        <f>结果表!E109</f>
        <v>——</v>
      </c>
      <c r="C16" s="1967" t="s">
        <v>1634</v>
      </c>
      <c r="D16" s="1968" t="str">
        <f>结果表!H109</f>
        <v>——</v>
      </c>
      <c r="E16" s="1959"/>
    </row>
    <row r="17" spans="1:5" ht="15.75">
      <c r="A17" s="1959"/>
      <c r="B17" s="3034"/>
      <c r="C17" s="1962" t="s">
        <v>1635</v>
      </c>
      <c r="D17" s="1040" t="e">
        <f>NUMBERSTRING(INT(D16*10000),2)&amp;"元整"</f>
        <v>#VALUE!</v>
      </c>
      <c r="E17" s="1959"/>
    </row>
    <row r="18" spans="1:5" ht="15">
      <c r="A18" s="1959"/>
      <c r="B18" s="3035"/>
      <c r="C18" s="1963" t="s">
        <v>1624</v>
      </c>
      <c r="D18" s="1052" t="str">
        <f>结果表!H110</f>
        <v>——</v>
      </c>
      <c r="E18" s="1959"/>
    </row>
    <row r="19" spans="1:5" ht="15.75">
      <c r="A19" s="1959"/>
      <c r="B19" s="3026" t="str">
        <f>结果表!E111</f>
        <v>——</v>
      </c>
      <c r="C19" s="1967" t="s">
        <v>1622</v>
      </c>
      <c r="D19" s="1041" t="str">
        <f>结果表!H111</f>
        <v>——</v>
      </c>
      <c r="E19" s="1959"/>
    </row>
    <row r="20" spans="1:5" ht="15.75">
      <c r="A20" s="1959"/>
      <c r="B20" s="3027"/>
      <c r="C20" s="1962" t="s">
        <v>1635</v>
      </c>
      <c r="D20" s="1040" t="e">
        <f>NUMBERSTRING(INT(D19*10000),2)&amp;"元整"</f>
        <v>#VALUE!</v>
      </c>
      <c r="E20" s="1959"/>
    </row>
    <row r="21" spans="1:5" ht="15.75" thickBot="1">
      <c r="A21" s="1959"/>
      <c r="B21" s="3028"/>
      <c r="C21" s="1969" t="s">
        <v>1633</v>
      </c>
      <c r="D21" s="1053"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80" t="s">
        <v>2639</v>
      </c>
      <c r="D4" s="3281"/>
      <c r="E4" s="3282" t="s">
        <v>2640</v>
      </c>
      <c r="F4" s="3283"/>
      <c r="G4" s="3280" t="s">
        <v>2641</v>
      </c>
      <c r="H4" s="3281"/>
      <c r="I4" s="3280" t="s">
        <v>2642</v>
      </c>
      <c r="J4" s="3281"/>
      <c r="K4" s="610" t="s">
        <v>2643</v>
      </c>
      <c r="L4" s="1130"/>
      <c r="M4" s="1131"/>
      <c r="N4" s="1131"/>
      <c r="O4" s="1131"/>
      <c r="P4" s="3284" t="s">
        <v>2644</v>
      </c>
      <c r="Q4" s="3285"/>
      <c r="R4" s="3267" t="s">
        <v>2640</v>
      </c>
      <c r="S4" s="3268"/>
      <c r="T4" s="3267" t="s">
        <v>2641</v>
      </c>
      <c r="U4" s="3268"/>
      <c r="V4" s="3292" t="s">
        <v>2642</v>
      </c>
      <c r="W4" s="3292"/>
      <c r="X4" s="1813"/>
      <c r="Y4" s="3267" t="s">
        <v>2644</v>
      </c>
      <c r="Z4" s="3268"/>
      <c r="AA4" s="3262" t="s">
        <v>2640</v>
      </c>
      <c r="AB4" s="3263" t="s">
        <v>2641</v>
      </c>
      <c r="AC4" s="3262" t="s">
        <v>2642</v>
      </c>
    </row>
    <row r="5" spans="1:29" ht="15">
      <c r="A5" s="404"/>
      <c r="B5" s="405"/>
      <c r="C5" s="3273" t="s">
        <v>2535</v>
      </c>
      <c r="D5" s="3274"/>
      <c r="E5" s="3271" t="s">
        <v>2536</v>
      </c>
      <c r="F5" s="3272"/>
      <c r="G5" s="3273" t="s">
        <v>2537</v>
      </c>
      <c r="H5" s="3274"/>
      <c r="I5" s="3273" t="s">
        <v>2538</v>
      </c>
      <c r="J5" s="3274"/>
      <c r="K5" s="610"/>
      <c r="L5" s="1130"/>
      <c r="M5" s="1131"/>
      <c r="N5" s="1131"/>
      <c r="O5" s="1131"/>
      <c r="P5" s="3286"/>
      <c r="Q5" s="3287"/>
      <c r="R5" s="3269"/>
      <c r="S5" s="3270"/>
      <c r="T5" s="3269"/>
      <c r="U5" s="3270"/>
      <c r="V5" s="3292"/>
      <c r="W5" s="3292"/>
      <c r="X5" s="1813"/>
      <c r="Y5" s="3269"/>
      <c r="Z5" s="3270"/>
      <c r="AA5" s="3263"/>
      <c r="AB5" s="3263"/>
      <c r="AC5" s="3263"/>
    </row>
    <row r="6" spans="1:29" ht="15.75" thickBot="1">
      <c r="A6" s="406"/>
      <c r="B6" s="407"/>
      <c r="C6" s="3328" t="s">
        <v>2790</v>
      </c>
      <c r="D6" s="3329"/>
      <c r="E6" s="3330" t="s">
        <v>2790</v>
      </c>
      <c r="F6" s="3331"/>
      <c r="G6" s="3328" t="s">
        <v>2790</v>
      </c>
      <c r="H6" s="3329"/>
      <c r="I6" s="3328" t="s">
        <v>2790</v>
      </c>
      <c r="J6" s="3329"/>
      <c r="K6" s="610" t="s">
        <v>2540</v>
      </c>
      <c r="L6" s="1130"/>
      <c r="M6" s="1131"/>
      <c r="N6" s="1131"/>
      <c r="O6" s="1131"/>
      <c r="P6" s="3288"/>
      <c r="Q6" s="3289"/>
      <c r="R6" s="3269"/>
      <c r="S6" s="3270"/>
      <c r="T6" s="3290"/>
      <c r="U6" s="3291"/>
      <c r="V6" s="3292"/>
      <c r="W6" s="3292"/>
      <c r="X6" s="1813"/>
      <c r="Y6" s="3290"/>
      <c r="Z6" s="3291"/>
      <c r="AA6" s="3264"/>
      <c r="AB6" s="3264"/>
      <c r="AC6" s="3264"/>
    </row>
    <row r="7" spans="1:29" s="117" customFormat="1" ht="15.75" thickBot="1">
      <c r="A7" s="408" t="s">
        <v>2541</v>
      </c>
      <c r="B7" s="409"/>
      <c r="C7" s="410">
        <f>'数据-取费表'!B2</f>
        <v>43222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65" t="s">
        <v>2542</v>
      </c>
      <c r="Q7" s="3293"/>
      <c r="R7" s="770" t="s">
        <v>17</v>
      </c>
      <c r="S7" s="771">
        <f t="shared" ref="S7:S15" si="0">F7</f>
        <v>0</v>
      </c>
      <c r="T7" s="770" t="s">
        <v>17</v>
      </c>
      <c r="U7" s="771">
        <f t="shared" ref="U7:U15" si="1">H7</f>
        <v>0</v>
      </c>
      <c r="V7" s="770" t="s">
        <v>17</v>
      </c>
      <c r="W7" s="771">
        <f t="shared" ref="W7:W15" si="2">J7</f>
        <v>0</v>
      </c>
      <c r="X7" s="772"/>
      <c r="Y7" s="3265" t="s">
        <v>2542</v>
      </c>
      <c r="Z7" s="3266"/>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5" t="s">
        <v>2545</v>
      </c>
      <c r="Q8" s="3266"/>
      <c r="R8" s="770" t="s">
        <v>17</v>
      </c>
      <c r="S8" s="771">
        <f t="shared" si="0"/>
        <v>0</v>
      </c>
      <c r="T8" s="770" t="s">
        <v>17</v>
      </c>
      <c r="U8" s="771">
        <f t="shared" si="1"/>
        <v>0</v>
      </c>
      <c r="V8" s="770" t="s">
        <v>17</v>
      </c>
      <c r="W8" s="771">
        <f t="shared" si="2"/>
        <v>0</v>
      </c>
      <c r="X8" s="772"/>
      <c r="Y8" s="3265" t="s">
        <v>2545</v>
      </c>
      <c r="Z8" s="3266"/>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97" t="s">
        <v>2548</v>
      </c>
      <c r="Q9" s="1795" t="str">
        <f t="shared" ref="Q9:Q15" si="6">B9</f>
        <v>用途</v>
      </c>
      <c r="R9" s="770" t="s">
        <v>17</v>
      </c>
      <c r="S9" s="771">
        <f t="shared" si="0"/>
        <v>100</v>
      </c>
      <c r="T9" s="770" t="s">
        <v>17</v>
      </c>
      <c r="U9" s="771">
        <f t="shared" si="1"/>
        <v>100</v>
      </c>
      <c r="V9" s="770" t="s">
        <v>17</v>
      </c>
      <c r="W9" s="771">
        <f t="shared" si="2"/>
        <v>100</v>
      </c>
      <c r="X9" s="772"/>
      <c r="Y9" s="309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97"/>
      <c r="Q10" s="1795" t="str">
        <f t="shared" si="6"/>
        <v>土地使用年限（年）</v>
      </c>
      <c r="R10" s="770" t="s">
        <v>17</v>
      </c>
      <c r="S10" s="771">
        <f t="shared" si="0"/>
        <v>113</v>
      </c>
      <c r="T10" s="770" t="s">
        <v>17</v>
      </c>
      <c r="U10" s="771">
        <f t="shared" si="1"/>
        <v>113</v>
      </c>
      <c r="V10" s="770" t="s">
        <v>17</v>
      </c>
      <c r="W10" s="771">
        <f t="shared" si="2"/>
        <v>113</v>
      </c>
      <c r="X10" s="772"/>
      <c r="Y10" s="3091"/>
      <c r="Z10" s="55" t="str">
        <f t="shared" si="7"/>
        <v>土地使用年限（年）</v>
      </c>
      <c r="AA10" s="773">
        <f t="shared" si="3"/>
        <v>0.88495575221238942</v>
      </c>
      <c r="AB10" s="773">
        <f t="shared" si="4"/>
        <v>0.88495575221238942</v>
      </c>
      <c r="AC10" s="773">
        <f t="shared" si="5"/>
        <v>0.88495575221238942</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7"/>
      <c r="Q11" s="1795" t="str">
        <f t="shared" si="6"/>
        <v>容积率</v>
      </c>
      <c r="R11" s="770" t="s">
        <v>17</v>
      </c>
      <c r="S11" s="771" t="e">
        <f t="shared" si="0"/>
        <v>#N/A</v>
      </c>
      <c r="T11" s="770" t="s">
        <v>17</v>
      </c>
      <c r="U11" s="771" t="e">
        <f t="shared" si="1"/>
        <v>#N/A</v>
      </c>
      <c r="V11" s="770" t="s">
        <v>17</v>
      </c>
      <c r="W11" s="771" t="e">
        <f t="shared" si="2"/>
        <v>#N/A</v>
      </c>
      <c r="X11" s="772"/>
      <c r="Y11" s="309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7"/>
      <c r="Q12" s="1795">
        <f t="shared" si="6"/>
        <v>111</v>
      </c>
      <c r="R12" s="770" t="s">
        <v>17</v>
      </c>
      <c r="S12" s="771">
        <f t="shared" si="0"/>
        <v>100</v>
      </c>
      <c r="T12" s="770" t="s">
        <v>17</v>
      </c>
      <c r="U12" s="771">
        <f t="shared" si="1"/>
        <v>100</v>
      </c>
      <c r="V12" s="770" t="s">
        <v>17</v>
      </c>
      <c r="W12" s="771">
        <f t="shared" si="2"/>
        <v>100</v>
      </c>
      <c r="X12" s="772"/>
      <c r="Y12" s="309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7"/>
      <c r="Q13" s="1795">
        <f t="shared" si="6"/>
        <v>111</v>
      </c>
      <c r="R13" s="770" t="s">
        <v>17</v>
      </c>
      <c r="S13" s="771">
        <f t="shared" si="0"/>
        <v>100</v>
      </c>
      <c r="T13" s="770" t="s">
        <v>17</v>
      </c>
      <c r="U13" s="771">
        <f t="shared" si="1"/>
        <v>100</v>
      </c>
      <c r="V13" s="770" t="s">
        <v>17</v>
      </c>
      <c r="W13" s="771">
        <f t="shared" si="2"/>
        <v>100</v>
      </c>
      <c r="X13" s="772"/>
      <c r="Y13" s="309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7"/>
      <c r="Q14" s="1795">
        <f t="shared" si="6"/>
        <v>111</v>
      </c>
      <c r="R14" s="770" t="s">
        <v>17</v>
      </c>
      <c r="S14" s="771">
        <f t="shared" si="0"/>
        <v>100</v>
      </c>
      <c r="T14" s="770" t="s">
        <v>17</v>
      </c>
      <c r="U14" s="771">
        <f t="shared" si="1"/>
        <v>100</v>
      </c>
      <c r="V14" s="770" t="s">
        <v>17</v>
      </c>
      <c r="W14" s="771">
        <f t="shared" si="2"/>
        <v>100</v>
      </c>
      <c r="X14" s="772"/>
      <c r="Y14" s="3091"/>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9" t="s">
        <v>2553</v>
      </c>
      <c r="Q15" s="1810" t="str">
        <f t="shared" si="6"/>
        <v>产业集聚程度</v>
      </c>
      <c r="R15" s="774" t="s">
        <v>17</v>
      </c>
      <c r="S15" s="775">
        <f t="shared" si="0"/>
        <v>100</v>
      </c>
      <c r="T15" s="774" t="s">
        <v>17</v>
      </c>
      <c r="U15" s="775">
        <f t="shared" si="1"/>
        <v>100</v>
      </c>
      <c r="V15" s="774" t="s">
        <v>17</v>
      </c>
      <c r="W15" s="775">
        <f t="shared" si="2"/>
        <v>100</v>
      </c>
      <c r="X15" s="1813"/>
      <c r="Y15" s="3299"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300"/>
      <c r="Q16" s="1810"/>
      <c r="R16" s="774"/>
      <c r="S16" s="775"/>
      <c r="T16" s="774"/>
      <c r="U16" s="775"/>
      <c r="V16" s="774"/>
      <c r="W16" s="775"/>
      <c r="X16" s="1813"/>
      <c r="Y16" s="3300"/>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00"/>
      <c r="Q17" s="1810" t="str">
        <f>B17</f>
        <v>交通便捷度</v>
      </c>
      <c r="R17" s="774" t="s">
        <v>17</v>
      </c>
      <c r="S17" s="775">
        <f>F17</f>
        <v>100</v>
      </c>
      <c r="T17" s="774" t="s">
        <v>17</v>
      </c>
      <c r="U17" s="775">
        <f>H17</f>
        <v>100</v>
      </c>
      <c r="V17" s="774" t="s">
        <v>17</v>
      </c>
      <c r="W17" s="775">
        <f>J17</f>
        <v>100</v>
      </c>
      <c r="X17" s="1813"/>
      <c r="Y17" s="330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300"/>
      <c r="Q18" s="1810"/>
      <c r="R18" s="774"/>
      <c r="S18" s="775"/>
      <c r="T18" s="774"/>
      <c r="U18" s="775"/>
      <c r="V18" s="774"/>
      <c r="W18" s="775"/>
      <c r="X18" s="1813"/>
      <c r="Y18" s="3300"/>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00"/>
      <c r="Q19" s="1810" t="str">
        <f t="shared" ref="Q19:Q33" si="8">B19</f>
        <v>区域土地利用方向</v>
      </c>
      <c r="R19" s="774" t="s">
        <v>17</v>
      </c>
      <c r="S19" s="775">
        <f>F19</f>
        <v>100</v>
      </c>
      <c r="T19" s="774" t="s">
        <v>17</v>
      </c>
      <c r="U19" s="775">
        <f>H19</f>
        <v>100</v>
      </c>
      <c r="V19" s="774" t="s">
        <v>17</v>
      </c>
      <c r="W19" s="775">
        <f>J19</f>
        <v>100</v>
      </c>
      <c r="X19" s="1813"/>
      <c r="Y19" s="330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9"/>
      <c r="L20" s="1140"/>
      <c r="M20" s="1131"/>
      <c r="N20" s="1131"/>
      <c r="O20" s="1139"/>
      <c r="P20" s="3300"/>
      <c r="Q20" s="1810"/>
      <c r="R20" s="774"/>
      <c r="S20" s="775"/>
      <c r="T20" s="774"/>
      <c r="U20" s="775"/>
      <c r="V20" s="774"/>
      <c r="W20" s="775"/>
      <c r="X20" s="1813"/>
      <c r="Y20" s="3300"/>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00"/>
      <c r="Q21" s="1810" t="str">
        <f t="shared" si="8"/>
        <v>环境状况</v>
      </c>
      <c r="R21" s="774" t="s">
        <v>17</v>
      </c>
      <c r="S21" s="775">
        <f>F21</f>
        <v>100</v>
      </c>
      <c r="T21" s="774" t="s">
        <v>17</v>
      </c>
      <c r="U21" s="775">
        <f>H21</f>
        <v>100</v>
      </c>
      <c r="V21" s="774" t="s">
        <v>17</v>
      </c>
      <c r="W21" s="775">
        <f>J21</f>
        <v>100</v>
      </c>
      <c r="X21" s="1813"/>
      <c r="Y21" s="330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300"/>
      <c r="Q22" s="1810"/>
      <c r="R22" s="774"/>
      <c r="S22" s="775"/>
      <c r="T22" s="774"/>
      <c r="U22" s="775"/>
      <c r="V22" s="774"/>
      <c r="W22" s="775"/>
      <c r="X22" s="1813"/>
      <c r="Y22" s="3300"/>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00"/>
      <c r="Q23" s="1795" t="str">
        <f t="shared" si="8"/>
        <v>公共配套设施</v>
      </c>
      <c r="R23" s="770" t="s">
        <v>17</v>
      </c>
      <c r="S23" s="771">
        <f>F23</f>
        <v>100</v>
      </c>
      <c r="T23" s="770" t="s">
        <v>17</v>
      </c>
      <c r="U23" s="771">
        <f>H23</f>
        <v>100</v>
      </c>
      <c r="V23" s="770" t="s">
        <v>17</v>
      </c>
      <c r="W23" s="771">
        <f>J23</f>
        <v>100</v>
      </c>
      <c r="X23" s="772"/>
      <c r="Y23" s="330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300"/>
      <c r="Q24" s="1795"/>
      <c r="R24" s="770"/>
      <c r="S24" s="771"/>
      <c r="T24" s="770"/>
      <c r="U24" s="771"/>
      <c r="V24" s="770"/>
      <c r="W24" s="771"/>
      <c r="X24" s="772"/>
      <c r="Y24" s="3300"/>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00"/>
      <c r="Q25" s="1795" t="str">
        <f t="shared" ref="Q25" si="9">B25</f>
        <v>基础设施水平</v>
      </c>
      <c r="R25" s="770" t="s">
        <v>17</v>
      </c>
      <c r="S25" s="771">
        <f>F25</f>
        <v>100</v>
      </c>
      <c r="T25" s="770" t="s">
        <v>17</v>
      </c>
      <c r="U25" s="771">
        <f>H25</f>
        <v>100</v>
      </c>
      <c r="V25" s="770" t="s">
        <v>17</v>
      </c>
      <c r="W25" s="771">
        <f>J25</f>
        <v>100</v>
      </c>
      <c r="X25" s="772"/>
      <c r="Y25" s="330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300"/>
      <c r="Q26" s="1795"/>
      <c r="R26" s="770"/>
      <c r="S26" s="771"/>
      <c r="T26" s="770"/>
      <c r="U26" s="771"/>
      <c r="V26" s="770"/>
      <c r="W26" s="771"/>
      <c r="X26" s="772"/>
      <c r="Y26" s="3300"/>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0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00"/>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00"/>
      <c r="Q28" s="1810" t="str">
        <f t="shared" si="8"/>
        <v>毗邻道路的类型与等级</v>
      </c>
      <c r="R28" s="774" t="s">
        <v>17</v>
      </c>
      <c r="S28" s="775">
        <f t="shared" si="10"/>
        <v>100</v>
      </c>
      <c r="T28" s="774" t="s">
        <v>17</v>
      </c>
      <c r="U28" s="775">
        <f t="shared" si="11"/>
        <v>100</v>
      </c>
      <c r="V28" s="774" t="s">
        <v>17</v>
      </c>
      <c r="W28" s="775">
        <f t="shared" si="12"/>
        <v>100</v>
      </c>
      <c r="X28" s="1813"/>
      <c r="Y28" s="330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300"/>
      <c r="Q29" s="1810"/>
      <c r="R29" s="774"/>
      <c r="S29" s="775"/>
      <c r="T29" s="774"/>
      <c r="U29" s="775"/>
      <c r="V29" s="774"/>
      <c r="W29" s="775"/>
      <c r="X29" s="1813"/>
      <c r="Y29" s="3300"/>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00"/>
      <c r="Q30" s="1810" t="str">
        <f t="shared" si="8"/>
        <v>土地级别</v>
      </c>
      <c r="R30" s="774" t="s">
        <v>17</v>
      </c>
      <c r="S30" s="775">
        <f t="shared" si="10"/>
        <v>100</v>
      </c>
      <c r="T30" s="774" t="s">
        <v>17</v>
      </c>
      <c r="U30" s="775">
        <f t="shared" si="11"/>
        <v>100</v>
      </c>
      <c r="V30" s="774" t="s">
        <v>17</v>
      </c>
      <c r="W30" s="775">
        <f t="shared" si="12"/>
        <v>100</v>
      </c>
      <c r="X30" s="1813"/>
      <c r="Y30" s="330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00"/>
      <c r="Q31" s="1810">
        <f t="shared" si="8"/>
        <v>111</v>
      </c>
      <c r="R31" s="774" t="s">
        <v>17</v>
      </c>
      <c r="S31" s="775">
        <f t="shared" si="10"/>
        <v>100</v>
      </c>
      <c r="T31" s="774" t="s">
        <v>17</v>
      </c>
      <c r="U31" s="775">
        <f t="shared" si="11"/>
        <v>100</v>
      </c>
      <c r="V31" s="774" t="s">
        <v>17</v>
      </c>
      <c r="W31" s="775">
        <f t="shared" si="12"/>
        <v>100</v>
      </c>
      <c r="X31" s="1813"/>
      <c r="Y31" s="330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3" t="s">
        <v>2558</v>
      </c>
      <c r="Q32" s="1810">
        <f t="shared" si="8"/>
        <v>111</v>
      </c>
      <c r="R32" s="774" t="s">
        <v>17</v>
      </c>
      <c r="S32" s="775">
        <f t="shared" si="10"/>
        <v>100</v>
      </c>
      <c r="T32" s="774" t="s">
        <v>17</v>
      </c>
      <c r="U32" s="775">
        <f t="shared" si="11"/>
        <v>100</v>
      </c>
      <c r="V32" s="774" t="s">
        <v>17</v>
      </c>
      <c r="W32" s="775">
        <f t="shared" si="12"/>
        <v>100</v>
      </c>
      <c r="X32" s="1813"/>
      <c r="Y32" s="3304" t="s">
        <v>2558</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4"/>
      <c r="Q33" s="1810">
        <f t="shared" si="8"/>
        <v>111</v>
      </c>
      <c r="R33" s="777" t="s">
        <v>17</v>
      </c>
      <c r="S33" s="778">
        <f t="shared" si="10"/>
        <v>100</v>
      </c>
      <c r="T33" s="777" t="s">
        <v>17</v>
      </c>
      <c r="U33" s="778">
        <f t="shared" si="11"/>
        <v>100</v>
      </c>
      <c r="V33" s="777" t="s">
        <v>17</v>
      </c>
      <c r="W33" s="778">
        <f t="shared" si="12"/>
        <v>100</v>
      </c>
      <c r="X33" s="779"/>
      <c r="Y33" s="3304"/>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4"/>
      <c r="Q34" s="1810" t="str">
        <f>B34</f>
        <v>宗地面积</v>
      </c>
      <c r="R34" s="774" t="s">
        <v>17</v>
      </c>
      <c r="S34" s="775" t="e">
        <f t="shared" si="10"/>
        <v>#N/A</v>
      </c>
      <c r="T34" s="774" t="s">
        <v>17</v>
      </c>
      <c r="U34" s="775" t="e">
        <f t="shared" si="11"/>
        <v>#N/A</v>
      </c>
      <c r="V34" s="774" t="s">
        <v>17</v>
      </c>
      <c r="W34" s="775" t="e">
        <f t="shared" si="12"/>
        <v>#N/A</v>
      </c>
      <c r="X34" s="1813"/>
      <c r="Y34" s="3304"/>
      <c r="Z34" s="1814" t="str">
        <f t="shared" si="13"/>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304"/>
      <c r="Q35" s="1810" t="str">
        <f t="shared" ref="Q35:Q40" si="14">B35</f>
        <v>宗地形状</v>
      </c>
      <c r="R35" s="774" t="s">
        <v>17</v>
      </c>
      <c r="S35" s="775">
        <f t="shared" si="10"/>
        <v>100</v>
      </c>
      <c r="T35" s="774" t="s">
        <v>17</v>
      </c>
      <c r="U35" s="775">
        <f t="shared" si="11"/>
        <v>100</v>
      </c>
      <c r="V35" s="774" t="s">
        <v>17</v>
      </c>
      <c r="W35" s="775">
        <f t="shared" si="12"/>
        <v>100</v>
      </c>
      <c r="X35" s="1813"/>
      <c r="Y35" s="3304"/>
      <c r="Z35" s="1814" t="str">
        <f t="shared" si="13"/>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304"/>
      <c r="Q36" s="1810" t="str">
        <f t="shared" si="14"/>
        <v>宗地开发程度</v>
      </c>
      <c r="R36" s="770" t="s">
        <v>17</v>
      </c>
      <c r="S36" s="771">
        <f t="shared" si="10"/>
        <v>100</v>
      </c>
      <c r="T36" s="770" t="s">
        <v>17</v>
      </c>
      <c r="U36" s="771">
        <f t="shared" si="11"/>
        <v>100</v>
      </c>
      <c r="V36" s="770" t="s">
        <v>17</v>
      </c>
      <c r="W36" s="771">
        <f t="shared" si="12"/>
        <v>100</v>
      </c>
      <c r="X36" s="772"/>
      <c r="Y36" s="3304"/>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304" t="s">
        <v>2558</v>
      </c>
      <c r="Q37" s="1810" t="str">
        <f t="shared" si="14"/>
        <v>工程地质条件</v>
      </c>
      <c r="R37" s="774" t="s">
        <v>17</v>
      </c>
      <c r="S37" s="775">
        <f t="shared" si="10"/>
        <v>100</v>
      </c>
      <c r="T37" s="774" t="s">
        <v>17</v>
      </c>
      <c r="U37" s="775">
        <f t="shared" si="11"/>
        <v>100</v>
      </c>
      <c r="V37" s="774" t="s">
        <v>17</v>
      </c>
      <c r="W37" s="775">
        <f t="shared" si="12"/>
        <v>100</v>
      </c>
      <c r="X37" s="1813"/>
      <c r="Y37" s="3304"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4"/>
      <c r="Q38" s="1810">
        <f t="shared" si="14"/>
        <v>111</v>
      </c>
      <c r="R38" s="774" t="s">
        <v>17</v>
      </c>
      <c r="S38" s="775">
        <f t="shared" si="10"/>
        <v>100</v>
      </c>
      <c r="T38" s="774" t="s">
        <v>17</v>
      </c>
      <c r="U38" s="775">
        <f t="shared" si="11"/>
        <v>100</v>
      </c>
      <c r="V38" s="774" t="s">
        <v>17</v>
      </c>
      <c r="W38" s="775">
        <f t="shared" si="12"/>
        <v>100</v>
      </c>
      <c r="X38" s="1813"/>
      <c r="Y38" s="330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4"/>
      <c r="Q39" s="1810">
        <f t="shared" si="14"/>
        <v>111</v>
      </c>
      <c r="R39" s="774" t="s">
        <v>17</v>
      </c>
      <c r="S39" s="775">
        <f t="shared" si="10"/>
        <v>100</v>
      </c>
      <c r="T39" s="774" t="s">
        <v>17</v>
      </c>
      <c r="U39" s="775">
        <f t="shared" si="11"/>
        <v>100</v>
      </c>
      <c r="V39" s="774" t="s">
        <v>17</v>
      </c>
      <c r="W39" s="775">
        <f t="shared" si="12"/>
        <v>100</v>
      </c>
      <c r="X39" s="1813"/>
      <c r="Y39" s="3304"/>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4"/>
      <c r="Q40" s="1810">
        <f t="shared" si="14"/>
        <v>111</v>
      </c>
      <c r="R40" s="777" t="s">
        <v>17</v>
      </c>
      <c r="S40" s="778">
        <f t="shared" si="10"/>
        <v>100</v>
      </c>
      <c r="T40" s="777" t="s">
        <v>17</v>
      </c>
      <c r="U40" s="778">
        <f t="shared" si="11"/>
        <v>100</v>
      </c>
      <c r="V40" s="777" t="s">
        <v>17</v>
      </c>
      <c r="W40" s="778">
        <f t="shared" si="12"/>
        <v>100</v>
      </c>
      <c r="X40" s="779"/>
      <c r="Y40" s="3304"/>
      <c r="Z40" s="780">
        <f t="shared" si="13"/>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297" t="str">
        <f>A41</f>
        <v>成交单价</v>
      </c>
      <c r="Q41" s="3297"/>
      <c r="R41" s="3292">
        <f>E41</f>
        <v>0</v>
      </c>
      <c r="S41" s="3292"/>
      <c r="T41" s="3292">
        <f>G41</f>
        <v>0</v>
      </c>
      <c r="U41" s="3292"/>
      <c r="V41" s="3292">
        <f>I41</f>
        <v>0</v>
      </c>
      <c r="W41" s="3292"/>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97" t="str">
        <f>A42</f>
        <v>比较价值（元/平方米）</v>
      </c>
      <c r="Q42" s="3297"/>
      <c r="R42" s="3324" t="e">
        <f>ROUND(PRODUCT(R41,AA7:AA40),0)</f>
        <v>#DIV/0!</v>
      </c>
      <c r="S42" s="3324"/>
      <c r="T42" s="3324" t="e">
        <f>ROUND(PRODUCT(T41,AB7:AB40),0)</f>
        <v>#DIV/0!</v>
      </c>
      <c r="U42" s="3324"/>
      <c r="V42" s="3324" t="e">
        <f>ROUND(PRODUCT(V41,AC7:AC40),0)</f>
        <v>#DIV/0!</v>
      </c>
      <c r="W42" s="3324"/>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94" t="str">
        <f>A43</f>
        <v>估价对象XX用房的比较价值（楼面单价，元/平方米）</v>
      </c>
      <c r="Q43" s="3295"/>
      <c r="R43" s="3325" t="e">
        <f>ROUND(AVERAGE(R42:V42),0)</f>
        <v>#DIV/0!</v>
      </c>
      <c r="S43" s="3325"/>
      <c r="T43" s="3325"/>
      <c r="U43" s="3325"/>
      <c r="V43" s="3325"/>
      <c r="W43" s="332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280" t="s">
        <v>2757</v>
      </c>
      <c r="H50" s="3326"/>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21566.61</v>
      </c>
      <c r="F51" s="691" t="e">
        <f t="shared" ref="F51:F60" si="15">ROUND(B51*E51/10000,0)</f>
        <v>#DIV/0!</v>
      </c>
      <c r="G51" s="3279"/>
      <c r="H51" s="3297"/>
      <c r="I51" s="942">
        <v>1</v>
      </c>
      <c r="J51" s="942">
        <v>1</v>
      </c>
      <c r="K51" s="1145"/>
      <c r="L51" s="941"/>
      <c r="M51" s="941"/>
      <c r="N51" s="941"/>
      <c r="O51" s="941"/>
    </row>
    <row r="52" spans="1:17" s="692" customFormat="1">
      <c r="A52" s="693" t="s">
        <v>2761</v>
      </c>
      <c r="B52" s="262" t="e">
        <f>ROUND($C$43*C52*D52,0)</f>
        <v>#DIV/0!</v>
      </c>
      <c r="C52" s="200">
        <f t="shared" ref="C52:C60" si="16">IF($C$50="北京市系数",I52,J52)</f>
        <v>0.7</v>
      </c>
      <c r="D52" s="1164">
        <v>0.25</v>
      </c>
      <c r="E52" s="694"/>
      <c r="F52" s="691" t="e">
        <f t="shared" si="15"/>
        <v>#DIV/0!</v>
      </c>
      <c r="G52" s="3327" t="s">
        <v>2762</v>
      </c>
      <c r="H52" s="1104" t="str">
        <f>项目基本情况!B37</f>
        <v>六级</v>
      </c>
      <c r="I52" s="942">
        <f>SUMIF(修正!A45:A56,H52,修正!B45:B56)</f>
        <v>0.7</v>
      </c>
      <c r="J52" s="943"/>
      <c r="K52" s="1144"/>
      <c r="L52" s="941"/>
      <c r="M52" s="941"/>
      <c r="N52" s="941"/>
      <c r="O52" s="941"/>
    </row>
    <row r="53" spans="1:17" s="692" customFormat="1">
      <c r="A53" s="693" t="s">
        <v>2763</v>
      </c>
      <c r="B53" s="262" t="e">
        <f t="shared" ref="B53:B60" si="17">ROUND($C$43*C53*D53,0)</f>
        <v>#DIV/0!</v>
      </c>
      <c r="C53" s="200">
        <f t="shared" si="16"/>
        <v>0.4</v>
      </c>
      <c r="D53" s="1164">
        <v>0.25</v>
      </c>
      <c r="E53" s="694"/>
      <c r="F53" s="691" t="e">
        <f t="shared" si="15"/>
        <v>#DIV/0!</v>
      </c>
      <c r="G53" s="3327"/>
      <c r="H53" s="1104" t="str">
        <f>项目基本情况!B37</f>
        <v>六级</v>
      </c>
      <c r="I53" s="942">
        <f>SUMIF(修正!A45:A56,H53,修正!C45:C56)</f>
        <v>0.4</v>
      </c>
      <c r="J53" s="943"/>
      <c r="K53" s="1145"/>
      <c r="L53" s="941"/>
      <c r="M53" s="941"/>
      <c r="N53" s="941"/>
      <c r="O53" s="941"/>
    </row>
    <row r="54" spans="1:17" s="692" customFormat="1">
      <c r="A54" s="693" t="s">
        <v>2764</v>
      </c>
      <c r="B54" s="262" t="e">
        <f t="shared" si="17"/>
        <v>#DIV/0!</v>
      </c>
      <c r="C54" s="200">
        <f t="shared" si="16"/>
        <v>0.28000000000000003</v>
      </c>
      <c r="D54" s="1164">
        <v>0.25</v>
      </c>
      <c r="E54" s="694"/>
      <c r="F54" s="691" t="e">
        <f t="shared" si="15"/>
        <v>#DIV/0!</v>
      </c>
      <c r="G54" s="3327"/>
      <c r="H54" s="1104" t="str">
        <f>项目基本情况!B37</f>
        <v>六级</v>
      </c>
      <c r="I54" s="942">
        <f>SUMIF(修正!A45:A56,H54,修正!D45:D56)</f>
        <v>0.28000000000000003</v>
      </c>
      <c r="J54" s="943"/>
      <c r="K54" s="1144"/>
      <c r="L54" s="941"/>
      <c r="M54" s="941"/>
      <c r="N54" s="941"/>
      <c r="O54" s="941"/>
    </row>
    <row r="55" spans="1:17" s="692" customFormat="1">
      <c r="A55" s="693" t="s">
        <v>2765</v>
      </c>
      <c r="B55" s="262" t="e">
        <f t="shared" si="17"/>
        <v>#DIV/0!</v>
      </c>
      <c r="C55" s="200">
        <f t="shared" si="16"/>
        <v>0.25</v>
      </c>
      <c r="D55" s="1164">
        <v>0.25</v>
      </c>
      <c r="E55" s="694"/>
      <c r="F55" s="691" t="e">
        <f t="shared" si="15"/>
        <v>#DIV/0!</v>
      </c>
      <c r="G55" s="3327"/>
      <c r="H55" s="1104" t="str">
        <f>项目基本情况!B37</f>
        <v>六级</v>
      </c>
      <c r="I55" s="942">
        <f>SUMIF(修正!A45:A56,H55,修正!E45:E56)</f>
        <v>0.25</v>
      </c>
      <c r="J55" s="943"/>
      <c r="K55" s="1145"/>
      <c r="L55" s="941"/>
      <c r="M55" s="941"/>
      <c r="N55" s="941"/>
      <c r="O55" s="941"/>
    </row>
    <row r="56" spans="1:17" s="692" customFormat="1">
      <c r="A56" s="693" t="s">
        <v>2766</v>
      </c>
      <c r="B56" s="262" t="e">
        <f t="shared" si="17"/>
        <v>#DIV/0!</v>
      </c>
      <c r="C56" s="200">
        <f t="shared" si="16"/>
        <v>0.25</v>
      </c>
      <c r="D56" s="1164">
        <v>0.25</v>
      </c>
      <c r="E56" s="261">
        <f>'数据-汇总表'!E11</f>
        <v>0</v>
      </c>
      <c r="F56" s="691" t="e">
        <f t="shared" si="15"/>
        <v>#DIV/0!</v>
      </c>
      <c r="G56" s="2708" t="s">
        <v>2767</v>
      </c>
      <c r="H56" s="1104" t="str">
        <f>项目基本情况!C37</f>
        <v>六级</v>
      </c>
      <c r="I56" s="942">
        <f>SUMIF(修正!A45:A56,H56,修正!F45:F56)</f>
        <v>0.25</v>
      </c>
      <c r="J56" s="943"/>
      <c r="K56" s="1144"/>
      <c r="L56" s="941"/>
      <c r="M56" s="941"/>
      <c r="N56" s="941"/>
      <c r="O56" s="941"/>
    </row>
    <row r="57" spans="1:17" s="692" customFormat="1">
      <c r="A57" s="693" t="s">
        <v>2768</v>
      </c>
      <c r="B57" s="262" t="e">
        <f t="shared" si="17"/>
        <v>#DIV/0!</v>
      </c>
      <c r="C57" s="200">
        <f t="shared" si="16"/>
        <v>0.25</v>
      </c>
      <c r="D57" s="1164">
        <v>0.25</v>
      </c>
      <c r="E57" s="261">
        <f>'数据-汇总表'!E12</f>
        <v>0</v>
      </c>
      <c r="F57" s="691" t="e">
        <f t="shared" si="15"/>
        <v>#DIV/0!</v>
      </c>
      <c r="G57" s="1109" t="s">
        <v>2769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0.2</v>
      </c>
      <c r="D59" s="1164">
        <v>0.25</v>
      </c>
      <c r="E59" s="261">
        <f>'数据-汇总表'!E14</f>
        <v>0</v>
      </c>
      <c r="F59" s="691" t="e">
        <f t="shared" si="15"/>
        <v>#DIV/0!</v>
      </c>
      <c r="G59" s="2708" t="s">
        <v>2762</v>
      </c>
      <c r="H59" s="1104" t="str">
        <f>项目基本情况!B37</f>
        <v>六级</v>
      </c>
      <c r="I59" s="942">
        <f>SUMIF(修正!A45:A56,H59,修正!H45:H56)</f>
        <v>0.2</v>
      </c>
      <c r="J59" s="943"/>
      <c r="K59" s="1145"/>
      <c r="L59" s="941"/>
      <c r="M59" s="941"/>
      <c r="N59" s="941"/>
      <c r="O59" s="941"/>
    </row>
    <row r="60" spans="1:17" s="692" customFormat="1" ht="15" thickBot="1">
      <c r="A60" s="693" t="s">
        <v>2773</v>
      </c>
      <c r="B60" s="262" t="e">
        <f t="shared" si="17"/>
        <v>#DIV/0!</v>
      </c>
      <c r="C60" s="200">
        <f t="shared" si="16"/>
        <v>0.2</v>
      </c>
      <c r="D60" s="1164">
        <v>0.25</v>
      </c>
      <c r="E60" s="261">
        <f>'数据-汇总表'!E15</f>
        <v>4788.67</v>
      </c>
      <c r="F60" s="691" t="e">
        <f t="shared" si="15"/>
        <v>#DIV/0!</v>
      </c>
      <c r="G60" s="2709" t="s">
        <v>2767</v>
      </c>
      <c r="H60" s="1114" t="str">
        <f>项目基本情况!C37</f>
        <v>六级</v>
      </c>
      <c r="I60" s="942">
        <f>SUMIF(修正!A45:A56,H60,修正!H45:H56)</f>
        <v>0.2</v>
      </c>
      <c r="J60" s="943"/>
      <c r="K60" s="1144"/>
      <c r="L60" s="941"/>
      <c r="M60" s="941"/>
      <c r="N60" s="941"/>
      <c r="O60" s="941"/>
    </row>
    <row r="61" spans="1:17" s="692" customFormat="1" ht="15" thickBot="1">
      <c r="A61" s="695" t="s">
        <v>2774</v>
      </c>
      <c r="B61" s="696" t="s">
        <v>28</v>
      </c>
      <c r="C61" s="696" t="s">
        <v>29</v>
      </c>
      <c r="D61" s="696" t="s">
        <v>1029</v>
      </c>
      <c r="E61" s="696">
        <f>IF(B41="楼面地价",SUM(E51:E60),'数据-汇总表'!D3)</f>
        <v>11364.7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5" t="s">
        <v>2795</v>
      </c>
      <c r="B66" s="332" t="str">
        <f>"北京市平均增长率"&amp;TEXT('基准地价修正-办公'!P24,"0.00%")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2" t="s">
        <v>183</v>
      </c>
      <c r="B18" s="879" t="s">
        <v>560</v>
      </c>
      <c r="C18" s="880" t="s">
        <v>561</v>
      </c>
      <c r="D18" s="881"/>
      <c r="E18" s="879">
        <v>1</v>
      </c>
      <c r="F18" s="882" t="s">
        <v>562</v>
      </c>
      <c r="G18" s="883"/>
      <c r="H18" s="875"/>
      <c r="I18" s="875"/>
    </row>
    <row r="19" spans="1:9" s="884" customFormat="1" ht="19.5" customHeight="1">
      <c r="A19" s="3332"/>
      <c r="B19" s="3332" t="s">
        <v>563</v>
      </c>
      <c r="C19" s="880" t="s">
        <v>564</v>
      </c>
      <c r="D19" s="881"/>
      <c r="E19" s="879">
        <v>0.9</v>
      </c>
      <c r="F19" s="882" t="s">
        <v>565</v>
      </c>
      <c r="G19" s="883"/>
      <c r="H19" s="875"/>
      <c r="I19" s="875"/>
    </row>
    <row r="20" spans="1:9" s="884" customFormat="1" ht="19.5" customHeight="1">
      <c r="A20" s="3332"/>
      <c r="B20" s="3332"/>
      <c r="C20" s="880" t="s">
        <v>566</v>
      </c>
      <c r="D20" s="881"/>
      <c r="E20" s="879">
        <v>1.1000000000000001</v>
      </c>
      <c r="F20" s="882" t="s">
        <v>567</v>
      </c>
      <c r="G20" s="883"/>
      <c r="H20" s="875"/>
      <c r="I20" s="875"/>
    </row>
    <row r="21" spans="1:9" s="884" customFormat="1" ht="19.5" customHeight="1">
      <c r="A21" s="3332"/>
      <c r="B21" s="3332"/>
      <c r="C21" s="880" t="s">
        <v>568</v>
      </c>
      <c r="D21" s="881"/>
      <c r="E21" s="879">
        <v>0.8</v>
      </c>
      <c r="F21" s="882" t="s">
        <v>569</v>
      </c>
      <c r="G21" s="883"/>
      <c r="H21" s="875"/>
      <c r="I21" s="875"/>
    </row>
    <row r="22" spans="1:9" s="884" customFormat="1" ht="19.5" customHeight="1">
      <c r="A22" s="3332"/>
      <c r="B22" s="3332"/>
      <c r="C22" s="880" t="s">
        <v>570</v>
      </c>
      <c r="D22" s="881"/>
      <c r="E22" s="879">
        <v>0.5</v>
      </c>
      <c r="F22" s="882"/>
      <c r="G22" s="883"/>
      <c r="H22" s="875"/>
      <c r="I22" s="875"/>
    </row>
    <row r="23" spans="1:9" s="884" customFormat="1" ht="19.5" customHeight="1">
      <c r="A23" s="3332" t="s">
        <v>184</v>
      </c>
      <c r="B23" s="879" t="s">
        <v>560</v>
      </c>
      <c r="C23" s="880" t="s">
        <v>571</v>
      </c>
      <c r="D23" s="881"/>
      <c r="E23" s="879">
        <v>1</v>
      </c>
      <c r="F23" s="882" t="s">
        <v>572</v>
      </c>
      <c r="G23" s="883"/>
      <c r="H23" s="875"/>
      <c r="I23" s="875"/>
    </row>
    <row r="24" spans="1:9" s="884" customFormat="1" ht="19.5" customHeight="1">
      <c r="A24" s="3332"/>
      <c r="B24" s="3332" t="s">
        <v>563</v>
      </c>
      <c r="C24" s="880" t="s">
        <v>573</v>
      </c>
      <c r="D24" s="881"/>
      <c r="E24" s="879">
        <v>0.5</v>
      </c>
      <c r="F24" s="882"/>
      <c r="G24" s="883"/>
      <c r="H24" s="875"/>
      <c r="I24" s="875"/>
    </row>
    <row r="25" spans="1:9" s="884" customFormat="1" ht="19.5" customHeight="1">
      <c r="A25" s="3332"/>
      <c r="B25" s="3332"/>
      <c r="C25" s="880" t="s">
        <v>574</v>
      </c>
      <c r="D25" s="881"/>
      <c r="E25" s="879">
        <v>1.1000000000000001</v>
      </c>
      <c r="F25" s="882"/>
      <c r="G25" s="883"/>
      <c r="H25" s="875"/>
      <c r="I25" s="875"/>
    </row>
    <row r="26" spans="1:9" s="884" customFormat="1" ht="19.5" customHeight="1">
      <c r="A26" s="3332"/>
      <c r="B26" s="3332"/>
      <c r="C26" s="880" t="s">
        <v>575</v>
      </c>
      <c r="D26" s="881"/>
      <c r="E26" s="879">
        <v>1.1000000000000001</v>
      </c>
      <c r="F26" s="882"/>
      <c r="G26" s="883"/>
      <c r="H26" s="875"/>
      <c r="I26" s="875"/>
    </row>
    <row r="27" spans="1:9" s="884" customFormat="1" ht="19.5" customHeight="1">
      <c r="A27" s="3332"/>
      <c r="B27" s="3332"/>
      <c r="C27" s="880" t="s">
        <v>576</v>
      </c>
      <c r="D27" s="881"/>
      <c r="E27" s="879">
        <v>0.9</v>
      </c>
      <c r="F27" s="882" t="s">
        <v>577</v>
      </c>
      <c r="G27" s="883"/>
      <c r="H27" s="875"/>
      <c r="I27" s="875"/>
    </row>
    <row r="28" spans="1:9" s="884" customFormat="1" ht="19.5" customHeight="1">
      <c r="A28" s="3332"/>
      <c r="B28" s="3332"/>
      <c r="C28" s="880" t="s">
        <v>578</v>
      </c>
      <c r="D28" s="881"/>
      <c r="E28" s="879">
        <v>0.9</v>
      </c>
      <c r="F28" s="882" t="s">
        <v>579</v>
      </c>
      <c r="G28" s="883"/>
      <c r="H28" s="875"/>
      <c r="I28" s="875"/>
    </row>
    <row r="29" spans="1:9" s="884" customFormat="1" ht="19.5" customHeight="1">
      <c r="A29" s="3332"/>
      <c r="B29" s="3332"/>
      <c r="C29" s="880" t="s">
        <v>580</v>
      </c>
      <c r="D29" s="881"/>
      <c r="E29" s="879">
        <v>0.9</v>
      </c>
      <c r="F29" s="882" t="s">
        <v>581</v>
      </c>
      <c r="G29" s="883"/>
      <c r="H29" s="875"/>
      <c r="I29" s="875"/>
    </row>
    <row r="30" spans="1:9" s="884" customFormat="1" ht="19.5" customHeight="1">
      <c r="A30" s="3332"/>
      <c r="B30" s="3332"/>
      <c r="C30" s="880" t="s">
        <v>582</v>
      </c>
      <c r="D30" s="881"/>
      <c r="E30" s="879">
        <v>0.9</v>
      </c>
      <c r="F30" s="882" t="s">
        <v>583</v>
      </c>
      <c r="G30" s="883"/>
      <c r="H30" s="875"/>
      <c r="I30" s="875"/>
    </row>
    <row r="31" spans="1:9" s="884" customFormat="1" ht="19.5" customHeight="1">
      <c r="A31" s="3332"/>
      <c r="B31" s="3332"/>
      <c r="C31" s="880" t="s">
        <v>584</v>
      </c>
      <c r="D31" s="881"/>
      <c r="E31" s="879">
        <v>0.8</v>
      </c>
      <c r="F31" s="882" t="s">
        <v>585</v>
      </c>
      <c r="G31" s="883"/>
      <c r="H31" s="875"/>
      <c r="I31" s="875"/>
    </row>
    <row r="32" spans="1:9" s="884" customFormat="1" ht="19.5" customHeight="1">
      <c r="A32" s="3332"/>
      <c r="B32" s="3332"/>
      <c r="C32" s="880" t="s">
        <v>586</v>
      </c>
      <c r="D32" s="881"/>
      <c r="E32" s="879">
        <v>0.8</v>
      </c>
      <c r="F32" s="882" t="s">
        <v>587</v>
      </c>
      <c r="G32" s="883"/>
      <c r="H32" s="875"/>
      <c r="I32" s="875"/>
    </row>
    <row r="33" spans="1:9" s="884" customFormat="1" ht="19.5" customHeight="1">
      <c r="A33" s="3332" t="s">
        <v>185</v>
      </c>
      <c r="B33" s="879" t="s">
        <v>560</v>
      </c>
      <c r="C33" s="880" t="s">
        <v>588</v>
      </c>
      <c r="D33" s="881"/>
      <c r="E33" s="879">
        <v>1</v>
      </c>
      <c r="F33" s="882" t="s">
        <v>589</v>
      </c>
      <c r="G33" s="883"/>
      <c r="H33" s="875"/>
      <c r="I33" s="875"/>
    </row>
    <row r="34" spans="1:9" s="884" customFormat="1" ht="19.5" customHeight="1">
      <c r="A34" s="3332"/>
      <c r="B34" s="879" t="s">
        <v>563</v>
      </c>
      <c r="C34" s="880" t="s">
        <v>590</v>
      </c>
      <c r="D34" s="881"/>
      <c r="E34" s="879">
        <v>1.5</v>
      </c>
      <c r="F34" s="882" t="s">
        <v>591</v>
      </c>
      <c r="G34" s="883"/>
      <c r="H34" s="875"/>
      <c r="I34" s="875"/>
    </row>
    <row r="35" spans="1:9" s="884" customFormat="1" ht="19.5" customHeight="1">
      <c r="A35" s="3332" t="s">
        <v>186</v>
      </c>
      <c r="B35" s="879" t="s">
        <v>560</v>
      </c>
      <c r="C35" s="880" t="s">
        <v>592</v>
      </c>
      <c r="D35" s="881"/>
      <c r="E35" s="879">
        <v>1</v>
      </c>
      <c r="F35" s="882" t="s">
        <v>593</v>
      </c>
      <c r="G35" s="883"/>
      <c r="H35" s="875"/>
      <c r="I35" s="875"/>
    </row>
    <row r="36" spans="1:9" s="884" customFormat="1" ht="19.5" customHeight="1">
      <c r="A36" s="3332"/>
      <c r="B36" s="3332" t="s">
        <v>563</v>
      </c>
      <c r="C36" s="880" t="s">
        <v>594</v>
      </c>
      <c r="D36" s="881"/>
      <c r="E36" s="879">
        <v>1</v>
      </c>
      <c r="F36" s="882" t="s">
        <v>595</v>
      </c>
      <c r="G36" s="883"/>
      <c r="H36" s="875"/>
      <c r="I36" s="875"/>
    </row>
    <row r="37" spans="1:9" s="884" customFormat="1" ht="19.5" customHeight="1">
      <c r="A37" s="3332"/>
      <c r="B37" s="3332"/>
      <c r="C37" s="880" t="s">
        <v>596</v>
      </c>
      <c r="D37" s="881"/>
      <c r="E37" s="879">
        <v>1.5</v>
      </c>
      <c r="F37" s="882" t="s">
        <v>597</v>
      </c>
      <c r="G37" s="883"/>
      <c r="H37" s="875"/>
      <c r="I37" s="875"/>
    </row>
    <row r="38" spans="1:9" s="884" customFormat="1" ht="19.5" customHeight="1">
      <c r="A38" s="3332"/>
      <c r="B38" s="3332"/>
      <c r="C38" s="880" t="s">
        <v>598</v>
      </c>
      <c r="D38" s="881"/>
      <c r="E38" s="879">
        <v>1</v>
      </c>
      <c r="F38" s="882" t="s">
        <v>599</v>
      </c>
      <c r="G38" s="883"/>
      <c r="H38" s="875"/>
      <c r="I38" s="875"/>
    </row>
    <row r="39" spans="1:9" s="884" customFormat="1" ht="19.5" customHeight="1">
      <c r="A39" s="3332"/>
      <c r="B39" s="333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2" t="s">
        <v>614</v>
      </c>
      <c r="C61" s="815" t="s">
        <v>615</v>
      </c>
      <c r="D61" s="815" t="s">
        <v>616</v>
      </c>
      <c r="E61" s="892">
        <v>0.5</v>
      </c>
      <c r="F61" s="879">
        <v>80</v>
      </c>
    </row>
    <row r="62" spans="1:8" s="875" customFormat="1" ht="24">
      <c r="A62" s="879">
        <v>2</v>
      </c>
      <c r="B62" s="3332"/>
      <c r="C62" s="815" t="s">
        <v>617</v>
      </c>
      <c r="D62" s="815" t="s">
        <v>618</v>
      </c>
      <c r="E62" s="892">
        <v>0.5</v>
      </c>
      <c r="F62" s="879">
        <v>80</v>
      </c>
    </row>
    <row r="63" spans="1:8" s="875" customFormat="1" ht="36">
      <c r="A63" s="879">
        <v>3</v>
      </c>
      <c r="B63" s="3332"/>
      <c r="C63" s="815" t="s">
        <v>619</v>
      </c>
      <c r="D63" s="815" t="s">
        <v>620</v>
      </c>
      <c r="E63" s="892">
        <v>0.5</v>
      </c>
      <c r="F63" s="879">
        <v>80</v>
      </c>
    </row>
    <row r="64" spans="1:8" s="875" customFormat="1" ht="36">
      <c r="A64" s="879">
        <v>4</v>
      </c>
      <c r="B64" s="3332"/>
      <c r="C64" s="815" t="s">
        <v>621</v>
      </c>
      <c r="D64" s="815" t="s">
        <v>622</v>
      </c>
      <c r="E64" s="892">
        <v>0.4</v>
      </c>
      <c r="F64" s="879">
        <v>60</v>
      </c>
    </row>
    <row r="65" spans="1:6" s="875" customFormat="1" ht="36">
      <c r="A65" s="879">
        <v>5</v>
      </c>
      <c r="B65" s="3332"/>
      <c r="C65" s="815" t="s">
        <v>623</v>
      </c>
      <c r="D65" s="815" t="s">
        <v>624</v>
      </c>
      <c r="E65" s="892">
        <v>0.2</v>
      </c>
      <c r="F65" s="879">
        <v>30</v>
      </c>
    </row>
    <row r="66" spans="1:6" s="875" customFormat="1" ht="36">
      <c r="A66" s="879">
        <v>6</v>
      </c>
      <c r="B66" s="3332"/>
      <c r="C66" s="815" t="s">
        <v>625</v>
      </c>
      <c r="D66" s="815" t="s">
        <v>626</v>
      </c>
      <c r="E66" s="892">
        <v>0.3</v>
      </c>
      <c r="F66" s="879">
        <v>50</v>
      </c>
    </row>
    <row r="67" spans="1:6" s="875" customFormat="1" ht="36">
      <c r="A67" s="879">
        <v>7</v>
      </c>
      <c r="B67" s="3332"/>
      <c r="C67" s="815" t="s">
        <v>627</v>
      </c>
      <c r="D67" s="815" t="s">
        <v>628</v>
      </c>
      <c r="E67" s="892">
        <v>0.2</v>
      </c>
      <c r="F67" s="879">
        <v>30</v>
      </c>
    </row>
    <row r="68" spans="1:6" s="875" customFormat="1" ht="36">
      <c r="A68" s="879">
        <v>8</v>
      </c>
      <c r="B68" s="3332"/>
      <c r="C68" s="815" t="s">
        <v>629</v>
      </c>
      <c r="D68" s="815" t="s">
        <v>630</v>
      </c>
      <c r="E68" s="892">
        <v>0.2</v>
      </c>
      <c r="F68" s="879">
        <v>30</v>
      </c>
    </row>
    <row r="69" spans="1:6" s="875" customFormat="1" ht="36">
      <c r="A69" s="879">
        <v>9</v>
      </c>
      <c r="B69" s="3332"/>
      <c r="C69" s="815" t="s">
        <v>631</v>
      </c>
      <c r="D69" s="815" t="s">
        <v>632</v>
      </c>
      <c r="E69" s="892">
        <v>0.2</v>
      </c>
      <c r="F69" s="879">
        <v>30</v>
      </c>
    </row>
    <row r="70" spans="1:6" s="875" customFormat="1" ht="48">
      <c r="A70" s="879">
        <v>10</v>
      </c>
      <c r="B70" s="3332"/>
      <c r="C70" s="815" t="s">
        <v>633</v>
      </c>
      <c r="D70" s="815" t="s">
        <v>634</v>
      </c>
      <c r="E70" s="892">
        <v>0.2</v>
      </c>
      <c r="F70" s="879">
        <v>30</v>
      </c>
    </row>
    <row r="71" spans="1:6" s="875" customFormat="1" ht="48">
      <c r="A71" s="879">
        <v>11</v>
      </c>
      <c r="B71" s="3332"/>
      <c r="C71" s="815" t="s">
        <v>635</v>
      </c>
      <c r="D71" s="815" t="s">
        <v>636</v>
      </c>
      <c r="E71" s="892">
        <v>0.2</v>
      </c>
      <c r="F71" s="879">
        <v>30</v>
      </c>
    </row>
    <row r="72" spans="1:6" s="875" customFormat="1" ht="36">
      <c r="A72" s="879">
        <v>12</v>
      </c>
      <c r="B72" s="3332"/>
      <c r="C72" s="815" t="s">
        <v>637</v>
      </c>
      <c r="D72" s="815" t="s">
        <v>638</v>
      </c>
      <c r="E72" s="892">
        <v>0.5</v>
      </c>
      <c r="F72" s="879">
        <v>80</v>
      </c>
    </row>
    <row r="73" spans="1:6" s="875" customFormat="1" ht="24">
      <c r="A73" s="879">
        <v>13</v>
      </c>
      <c r="B73" s="3332"/>
      <c r="C73" s="815" t="s">
        <v>639</v>
      </c>
      <c r="D73" s="815" t="s">
        <v>640</v>
      </c>
      <c r="E73" s="892">
        <v>0.4</v>
      </c>
      <c r="F73" s="879">
        <v>60</v>
      </c>
    </row>
    <row r="74" spans="1:6" s="875" customFormat="1" ht="24">
      <c r="A74" s="879">
        <v>14</v>
      </c>
      <c r="B74" s="3332"/>
      <c r="C74" s="815" t="s">
        <v>641</v>
      </c>
      <c r="D74" s="815" t="s">
        <v>642</v>
      </c>
      <c r="E74" s="892">
        <v>0.2</v>
      </c>
      <c r="F74" s="879">
        <v>30</v>
      </c>
    </row>
    <row r="75" spans="1:6" s="875" customFormat="1" ht="24">
      <c r="A75" s="879">
        <v>15</v>
      </c>
      <c r="B75" s="3332"/>
      <c r="C75" s="815" t="s">
        <v>643</v>
      </c>
      <c r="D75" s="815" t="s">
        <v>644</v>
      </c>
      <c r="E75" s="892">
        <v>0.2</v>
      </c>
      <c r="F75" s="879">
        <v>30</v>
      </c>
    </row>
    <row r="76" spans="1:6" s="875" customFormat="1" ht="24">
      <c r="A76" s="879">
        <v>16</v>
      </c>
      <c r="B76" s="3332" t="s">
        <v>645</v>
      </c>
      <c r="C76" s="815" t="s">
        <v>646</v>
      </c>
      <c r="D76" s="815" t="s">
        <v>647</v>
      </c>
      <c r="E76" s="892">
        <v>0.5</v>
      </c>
      <c r="F76" s="879">
        <v>80</v>
      </c>
    </row>
    <row r="77" spans="1:6" s="875" customFormat="1" ht="24">
      <c r="A77" s="879">
        <v>17</v>
      </c>
      <c r="B77" s="3332"/>
      <c r="C77" s="815" t="s">
        <v>648</v>
      </c>
      <c r="D77" s="815" t="s">
        <v>649</v>
      </c>
      <c r="E77" s="892">
        <v>0.5</v>
      </c>
      <c r="F77" s="879">
        <v>80</v>
      </c>
    </row>
    <row r="78" spans="1:6" s="875" customFormat="1" ht="24">
      <c r="A78" s="879">
        <v>18</v>
      </c>
      <c r="B78" s="3332"/>
      <c r="C78" s="815" t="s">
        <v>650</v>
      </c>
      <c r="D78" s="815" t="s">
        <v>651</v>
      </c>
      <c r="E78" s="892">
        <v>0.2</v>
      </c>
      <c r="F78" s="879">
        <v>30</v>
      </c>
    </row>
    <row r="79" spans="1:6" s="875" customFormat="1" ht="24">
      <c r="A79" s="879">
        <v>19</v>
      </c>
      <c r="B79" s="3332"/>
      <c r="C79" s="815" t="s">
        <v>652</v>
      </c>
      <c r="D79" s="815" t="s">
        <v>653</v>
      </c>
      <c r="E79" s="892">
        <v>0.5</v>
      </c>
      <c r="F79" s="879">
        <v>80</v>
      </c>
    </row>
    <row r="80" spans="1:6" s="875" customFormat="1" ht="36">
      <c r="A80" s="879">
        <v>20</v>
      </c>
      <c r="B80" s="3332"/>
      <c r="C80" s="815" t="s">
        <v>654</v>
      </c>
      <c r="D80" s="815" t="s">
        <v>655</v>
      </c>
      <c r="E80" s="892">
        <v>0.2</v>
      </c>
      <c r="F80" s="879">
        <v>30</v>
      </c>
    </row>
    <row r="81" spans="1:6" s="875" customFormat="1" ht="36">
      <c r="A81" s="879">
        <v>21</v>
      </c>
      <c r="B81" s="3332"/>
      <c r="C81" s="815" t="s">
        <v>656</v>
      </c>
      <c r="D81" s="815" t="s">
        <v>657</v>
      </c>
      <c r="E81" s="892">
        <v>0.2</v>
      </c>
      <c r="F81" s="879">
        <v>30</v>
      </c>
    </row>
    <row r="82" spans="1:6" s="875" customFormat="1" ht="48">
      <c r="A82" s="879">
        <v>22</v>
      </c>
      <c r="B82" s="3332"/>
      <c r="C82" s="815" t="s">
        <v>658</v>
      </c>
      <c r="D82" s="815" t="s">
        <v>659</v>
      </c>
      <c r="E82" s="892">
        <v>0.2</v>
      </c>
      <c r="F82" s="879">
        <v>30</v>
      </c>
    </row>
    <row r="83" spans="1:6" s="875" customFormat="1" ht="48">
      <c r="A83" s="879">
        <v>23</v>
      </c>
      <c r="B83" s="3332"/>
      <c r="C83" s="815" t="s">
        <v>660</v>
      </c>
      <c r="D83" s="815" t="s">
        <v>661</v>
      </c>
      <c r="E83" s="892">
        <v>0.2</v>
      </c>
      <c r="F83" s="879">
        <v>30</v>
      </c>
    </row>
    <row r="84" spans="1:6" s="875" customFormat="1" ht="36">
      <c r="A84" s="879">
        <v>24</v>
      </c>
      <c r="B84" s="3332"/>
      <c r="C84" s="815" t="s">
        <v>662</v>
      </c>
      <c r="D84" s="815" t="s">
        <v>663</v>
      </c>
      <c r="E84" s="892">
        <v>0.2</v>
      </c>
      <c r="F84" s="879">
        <v>30</v>
      </c>
    </row>
    <row r="85" spans="1:6" s="875" customFormat="1" ht="36">
      <c r="A85" s="879">
        <v>25</v>
      </c>
      <c r="B85" s="3332"/>
      <c r="C85" s="815" t="s">
        <v>664</v>
      </c>
      <c r="D85" s="815" t="s">
        <v>665</v>
      </c>
      <c r="E85" s="892">
        <v>0.5</v>
      </c>
      <c r="F85" s="879">
        <v>80</v>
      </c>
    </row>
    <row r="86" spans="1:6" s="875" customFormat="1" ht="36">
      <c r="A86" s="879">
        <v>26</v>
      </c>
      <c r="B86" s="3332"/>
      <c r="C86" s="815" t="s">
        <v>666</v>
      </c>
      <c r="D86" s="815" t="s">
        <v>667</v>
      </c>
      <c r="E86" s="892">
        <v>0.2</v>
      </c>
      <c r="F86" s="879">
        <v>30</v>
      </c>
    </row>
    <row r="87" spans="1:6" s="875" customFormat="1" ht="36">
      <c r="A87" s="879">
        <v>27</v>
      </c>
      <c r="B87" s="3332"/>
      <c r="C87" s="815" t="s">
        <v>668</v>
      </c>
      <c r="D87" s="815" t="s">
        <v>669</v>
      </c>
      <c r="E87" s="892">
        <v>0.2</v>
      </c>
      <c r="F87" s="879">
        <v>30</v>
      </c>
    </row>
    <row r="88" spans="1:6" s="875" customFormat="1" ht="36">
      <c r="A88" s="879">
        <v>28</v>
      </c>
      <c r="B88" s="3332"/>
      <c r="C88" s="815" t="s">
        <v>670</v>
      </c>
      <c r="D88" s="815" t="s">
        <v>671</v>
      </c>
      <c r="E88" s="892">
        <v>0.2</v>
      </c>
      <c r="F88" s="879">
        <v>30</v>
      </c>
    </row>
    <row r="89" spans="1:6" s="875" customFormat="1" ht="24">
      <c r="A89" s="879">
        <v>29</v>
      </c>
      <c r="B89" s="3332"/>
      <c r="C89" s="815" t="s">
        <v>672</v>
      </c>
      <c r="D89" s="815" t="s">
        <v>673</v>
      </c>
      <c r="E89" s="892">
        <v>0.2</v>
      </c>
      <c r="F89" s="879">
        <v>30</v>
      </c>
    </row>
    <row r="90" spans="1:6" s="875" customFormat="1" ht="24">
      <c r="A90" s="879">
        <v>30</v>
      </c>
      <c r="B90" s="3332"/>
      <c r="C90" s="815" t="s">
        <v>674</v>
      </c>
      <c r="D90" s="815" t="s">
        <v>675</v>
      </c>
      <c r="E90" s="892">
        <v>0.2</v>
      </c>
      <c r="F90" s="879">
        <v>30</v>
      </c>
    </row>
    <row r="91" spans="1:6" s="875" customFormat="1" ht="36">
      <c r="A91" s="879">
        <v>31</v>
      </c>
      <c r="B91" s="3332"/>
      <c r="C91" s="815" t="s">
        <v>676</v>
      </c>
      <c r="D91" s="815" t="s">
        <v>677</v>
      </c>
      <c r="E91" s="892">
        <v>0.2</v>
      </c>
      <c r="F91" s="879">
        <v>30</v>
      </c>
    </row>
    <row r="92" spans="1:6" s="875" customFormat="1" ht="24">
      <c r="A92" s="879">
        <v>32</v>
      </c>
      <c r="B92" s="3332" t="s">
        <v>678</v>
      </c>
      <c r="C92" s="879" t="s">
        <v>679</v>
      </c>
      <c r="D92" s="815" t="s">
        <v>680</v>
      </c>
      <c r="E92" s="892">
        <v>0.2</v>
      </c>
      <c r="F92" s="879">
        <v>30</v>
      </c>
    </row>
    <row r="93" spans="1:6" s="875" customFormat="1" ht="36">
      <c r="A93" s="879">
        <v>33</v>
      </c>
      <c r="B93" s="3332"/>
      <c r="C93" s="879" t="s">
        <v>681</v>
      </c>
      <c r="D93" s="815" t="s">
        <v>682</v>
      </c>
      <c r="E93" s="892">
        <v>0.2</v>
      </c>
      <c r="F93" s="879">
        <v>30</v>
      </c>
    </row>
    <row r="94" spans="1:6" s="875" customFormat="1" ht="48">
      <c r="A94" s="879">
        <v>34</v>
      </c>
      <c r="B94" s="3332"/>
      <c r="C94" s="879" t="s">
        <v>683</v>
      </c>
      <c r="D94" s="815" t="s">
        <v>684</v>
      </c>
      <c r="E94" s="892">
        <v>0.2</v>
      </c>
      <c r="F94" s="879">
        <v>30</v>
      </c>
    </row>
    <row r="95" spans="1:6" s="875" customFormat="1" ht="36">
      <c r="A95" s="879">
        <v>35</v>
      </c>
      <c r="B95" s="3332"/>
      <c r="C95" s="879" t="s">
        <v>685</v>
      </c>
      <c r="D95" s="815" t="s">
        <v>686</v>
      </c>
      <c r="E95" s="892">
        <v>0.2</v>
      </c>
      <c r="F95" s="879">
        <v>30</v>
      </c>
    </row>
    <row r="96" spans="1:6" s="875" customFormat="1" ht="48">
      <c r="A96" s="879">
        <v>36</v>
      </c>
      <c r="B96" s="3332"/>
      <c r="C96" s="815" t="s">
        <v>687</v>
      </c>
      <c r="D96" s="815" t="s">
        <v>688</v>
      </c>
      <c r="E96" s="892">
        <v>0.2</v>
      </c>
      <c r="F96" s="879">
        <v>30</v>
      </c>
    </row>
    <row r="97" spans="1:6" s="875" customFormat="1" ht="36">
      <c r="A97" s="879">
        <v>37</v>
      </c>
      <c r="B97" s="3332"/>
      <c r="C97" s="879" t="s">
        <v>689</v>
      </c>
      <c r="D97" s="815" t="s">
        <v>690</v>
      </c>
      <c r="E97" s="892">
        <v>0.2</v>
      </c>
      <c r="F97" s="879">
        <v>30</v>
      </c>
    </row>
    <row r="98" spans="1:6" s="875" customFormat="1" ht="36">
      <c r="A98" s="879">
        <v>38</v>
      </c>
      <c r="B98" s="3332"/>
      <c r="C98" s="879" t="s">
        <v>691</v>
      </c>
      <c r="D98" s="815" t="s">
        <v>692</v>
      </c>
      <c r="E98" s="892">
        <v>0.2</v>
      </c>
      <c r="F98" s="879">
        <v>30</v>
      </c>
    </row>
    <row r="99" spans="1:6" s="875" customFormat="1" ht="36">
      <c r="A99" s="879">
        <v>39</v>
      </c>
      <c r="B99" s="3332" t="s">
        <v>693</v>
      </c>
      <c r="C99" s="879" t="s">
        <v>694</v>
      </c>
      <c r="D99" s="815" t="s">
        <v>695</v>
      </c>
      <c r="E99" s="892">
        <v>0.3</v>
      </c>
      <c r="F99" s="879">
        <v>50</v>
      </c>
    </row>
    <row r="100" spans="1:6" s="875" customFormat="1" ht="24">
      <c r="A100" s="879">
        <v>40</v>
      </c>
      <c r="B100" s="3332"/>
      <c r="C100" s="879" t="s">
        <v>696</v>
      </c>
      <c r="D100" s="815" t="s">
        <v>697</v>
      </c>
      <c r="E100" s="892">
        <v>0.2</v>
      </c>
      <c r="F100" s="879">
        <v>30</v>
      </c>
    </row>
    <row r="101" spans="1:6" s="875" customFormat="1" ht="36">
      <c r="A101" s="879">
        <v>41</v>
      </c>
      <c r="B101" s="333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2" t="s">
        <v>708</v>
      </c>
      <c r="C105" s="879" t="s">
        <v>709</v>
      </c>
      <c r="D105" s="815" t="s">
        <v>710</v>
      </c>
      <c r="E105" s="892">
        <v>0.2</v>
      </c>
      <c r="F105" s="879">
        <v>30</v>
      </c>
    </row>
    <row r="106" spans="1:6" s="875" customFormat="1" ht="36">
      <c r="A106" s="879">
        <v>46</v>
      </c>
      <c r="B106" s="3332"/>
      <c r="C106" s="879" t="s">
        <v>711</v>
      </c>
      <c r="D106" s="815" t="s">
        <v>712</v>
      </c>
      <c r="E106" s="892">
        <v>0.2</v>
      </c>
      <c r="F106" s="879">
        <v>30</v>
      </c>
    </row>
    <row r="107" spans="1:6" s="875" customFormat="1" ht="36">
      <c r="A107" s="879">
        <v>47</v>
      </c>
      <c r="B107" s="3332" t="s">
        <v>713</v>
      </c>
      <c r="C107" s="879" t="s">
        <v>714</v>
      </c>
      <c r="D107" s="815" t="s">
        <v>715</v>
      </c>
      <c r="E107" s="892">
        <v>0.3</v>
      </c>
      <c r="F107" s="879">
        <v>50</v>
      </c>
    </row>
    <row r="108" spans="1:6" s="875" customFormat="1" ht="36">
      <c r="A108" s="879">
        <v>48</v>
      </c>
      <c r="B108" s="333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2" t="s">
        <v>724</v>
      </c>
      <c r="C111" s="879" t="s">
        <v>725</v>
      </c>
      <c r="D111" s="815" t="s">
        <v>726</v>
      </c>
      <c r="E111" s="892">
        <v>0.2</v>
      </c>
      <c r="F111" s="879">
        <v>30</v>
      </c>
    </row>
    <row r="112" spans="1:6" s="875" customFormat="1" ht="24">
      <c r="A112" s="879">
        <v>52</v>
      </c>
      <c r="B112" s="3332"/>
      <c r="C112" s="879" t="s">
        <v>727</v>
      </c>
      <c r="D112" s="815" t="s">
        <v>728</v>
      </c>
      <c r="E112" s="892">
        <v>0.2</v>
      </c>
      <c r="F112" s="879">
        <v>30</v>
      </c>
    </row>
    <row r="113" spans="1:6" s="875" customFormat="1" ht="24">
      <c r="A113" s="879">
        <v>53</v>
      </c>
      <c r="B113" s="333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2" t="s">
        <v>737</v>
      </c>
      <c r="C116" s="879" t="s">
        <v>738</v>
      </c>
      <c r="D116" s="815" t="s">
        <v>739</v>
      </c>
      <c r="E116" s="892">
        <v>0.2</v>
      </c>
      <c r="F116" s="879">
        <v>30</v>
      </c>
    </row>
    <row r="117" spans="1:6" ht="36">
      <c r="A117" s="879">
        <v>57</v>
      </c>
      <c r="B117" s="333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SUMPRODUCT((A105:A204=ROUNDDOWN('基准地价修正-办公'!G3,1))*(B104:M104='基准地价修正-办公'!G2)*(B105:M204))</f>
        <v>1.0901000000000001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8" t="s">
        <v>1150</v>
      </c>
      <c r="C1" s="3338"/>
      <c r="D1" s="3338"/>
      <c r="E1" s="3338"/>
      <c r="F1" s="3338"/>
      <c r="G1" s="3334" t="s">
        <v>1151</v>
      </c>
      <c r="H1" s="3334"/>
      <c r="I1" s="3334"/>
      <c r="J1" s="3334"/>
      <c r="K1" s="3334"/>
      <c r="L1" s="3334"/>
      <c r="N1" s="3334" t="s">
        <v>1152</v>
      </c>
      <c r="O1" s="3334"/>
      <c r="P1" s="3334"/>
      <c r="Q1" s="3334"/>
      <c r="R1" s="1446"/>
      <c r="S1" s="3334" t="s">
        <v>1153</v>
      </c>
      <c r="T1" s="3334"/>
      <c r="U1" s="3334"/>
      <c r="V1" s="3334"/>
      <c r="X1" s="3333" t="s">
        <v>1154</v>
      </c>
      <c r="Y1" s="3334"/>
      <c r="Z1" s="3334"/>
      <c r="AA1" s="3334"/>
      <c r="AB1" s="3334"/>
      <c r="AD1" s="3333" t="s">
        <v>1155</v>
      </c>
      <c r="AE1" s="3334"/>
      <c r="AF1" s="3334"/>
      <c r="AG1" s="3334"/>
      <c r="AH1" s="3334"/>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3030</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3029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3026</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3027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39">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36"/>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36"/>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37"/>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335">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36"/>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36"/>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37"/>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335">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36"/>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36"/>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37"/>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40">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41"/>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41"/>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42"/>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335">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36"/>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36"/>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37"/>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335">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36">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36">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37">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335">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36">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36">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37">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335">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36">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36">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37">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335">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36">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36">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37">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335">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36">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36">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37">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335">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36">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36">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37">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335">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36">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36">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37">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335">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36">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36">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37">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335">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36">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36">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37">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335">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36">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36">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37">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344" t="s">
        <v>2998</v>
      </c>
      <c r="D1" s="3345"/>
      <c r="E1" s="3345"/>
      <c r="F1" s="3345"/>
      <c r="G1" s="3345"/>
      <c r="H1" s="3345"/>
      <c r="I1" s="3345"/>
      <c r="J1" s="3345"/>
      <c r="K1" s="3345"/>
      <c r="L1" s="3345"/>
      <c r="M1" s="3345"/>
      <c r="N1" s="3345"/>
      <c r="O1" s="3345"/>
      <c r="P1" s="3345"/>
      <c r="Q1" s="3345"/>
      <c r="R1" s="3345"/>
      <c r="S1" s="3346"/>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3007</v>
      </c>
      <c r="B17" s="2916"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8" t="s">
        <v>3011</v>
      </c>
      <c r="E20" s="1793"/>
      <c r="F20" s="1204" t="e">
        <f ca="1">SUMIF(INDIRECT("'"&amp;H20&amp;"'"&amp;"!A:A"),"承租人权益价值",INDIRECT("'"&amp;H20&amp;"'"&amp;"!c:c"))</f>
        <v>#REF!</v>
      </c>
      <c r="G20" s="1204" t="s">
        <v>3012</v>
      </c>
      <c r="H20" s="2919"/>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7" t="s">
        <v>33</v>
      </c>
      <c r="D22" s="3128"/>
      <c r="E22" s="3128"/>
      <c r="F22" s="3128"/>
      <c r="G22" s="3128"/>
      <c r="H22" s="3128"/>
      <c r="I22" s="3128"/>
      <c r="J22" s="3128"/>
      <c r="K22" s="3128"/>
      <c r="L22" s="3128"/>
      <c r="M22" s="3128"/>
      <c r="N22" s="3128"/>
      <c r="O22" s="3128"/>
      <c r="P22" s="3128"/>
      <c r="Q22" s="3343"/>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42864</v>
      </c>
      <c r="C2" s="2" t="s">
        <v>133</v>
      </c>
      <c r="D2" s="243"/>
      <c r="E2" s="243"/>
      <c r="F2" s="243"/>
      <c r="G2" s="243"/>
    </row>
    <row r="3" spans="1:7" s="244" customFormat="1" ht="18" customHeight="1" thickBot="1">
      <c r="A3" s="247" t="s">
        <v>85</v>
      </c>
      <c r="B3" s="248">
        <f ca="1">ROUND(B2*10000/'数据-汇总表'!E3,0)</f>
        <v>14846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577</v>
      </c>
      <c r="D10" s="1032">
        <f>'数据-汇总表'!E6</f>
        <v>28872.97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577</v>
      </c>
      <c r="D19" s="1036">
        <f>'数据-汇总表'!E3</f>
        <v>28872.97</v>
      </c>
      <c r="E19" s="255">
        <f>'数据-取费表'!B31</f>
        <v>200</v>
      </c>
      <c r="F19" s="275"/>
      <c r="G19" s="1" t="s">
        <v>1074</v>
      </c>
    </row>
    <row r="20" spans="1:7" s="258" customFormat="1" ht="13.5" customHeight="1">
      <c r="A20" s="948" t="s">
        <v>1057</v>
      </c>
      <c r="B20" s="254" t="s">
        <v>104</v>
      </c>
      <c r="C20" s="276">
        <f>ROUND((C5+C19)*F20,0)</f>
        <v>318</v>
      </c>
      <c r="D20" s="276"/>
      <c r="E20" s="276"/>
      <c r="F20" s="277">
        <f>'数据-取费表'!B37</f>
        <v>1.4999999999999999E-2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56</v>
      </c>
      <c r="D24" s="282"/>
      <c r="E24" s="282"/>
      <c r="F24" s="283"/>
      <c r="G24" s="284" t="s">
        <v>109</v>
      </c>
    </row>
    <row r="25" spans="1:7" s="258" customFormat="1" ht="24">
      <c r="A25" s="951" t="s">
        <v>793</v>
      </c>
      <c r="B25" s="259" t="s">
        <v>1058</v>
      </c>
      <c r="C25" s="1355">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4086</v>
      </c>
      <c r="D27" s="279">
        <f>C29</f>
        <v>3.8E-3</v>
      </c>
      <c r="E27" s="280" t="s">
        <v>126</v>
      </c>
      <c r="F27" s="290">
        <f>'数据-取费表'!Q16</f>
        <v>0.19</v>
      </c>
      <c r="G27" s="291" t="s">
        <v>1069</v>
      </c>
    </row>
    <row r="28" spans="1:7" s="258" customFormat="1" ht="13.5" customHeight="1">
      <c r="A28" s="951" t="s">
        <v>794</v>
      </c>
      <c r="B28" s="292" t="s">
        <v>1062</v>
      </c>
      <c r="C28" s="293">
        <f>ROUND((C5+C19+C20)*F27*'数据-取费表'!B21/'数据-取费表'!B20,0)</f>
        <v>4086</v>
      </c>
      <c r="D28" s="279"/>
      <c r="E28" s="280"/>
      <c r="F28" s="290"/>
      <c r="G28" s="291"/>
    </row>
    <row r="29" spans="1:7" s="258" customFormat="1" ht="13.5" customHeight="1">
      <c r="A29" s="951" t="s">
        <v>792</v>
      </c>
      <c r="B29" s="292" t="s">
        <v>1063</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10843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9824</v>
      </c>
      <c r="D34" s="261"/>
      <c r="E34" s="264"/>
      <c r="F34" s="301">
        <f>IF('数据-取费表'!B24=0,1,'数据-取费表'!N16)</f>
        <v>1</v>
      </c>
      <c r="G34" s="263" t="s">
        <v>116</v>
      </c>
    </row>
    <row r="35" spans="1:7" ht="13.5" customHeight="1">
      <c r="A35" s="951" t="s">
        <v>796</v>
      </c>
      <c r="B35" s="259" t="s">
        <v>60</v>
      </c>
      <c r="C35" s="264">
        <f>ROUND(C34*F35,0)</f>
        <v>295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577</v>
      </c>
      <c r="D37" s="261">
        <f>'数据-汇总表'!E3</f>
        <v>28872.97</v>
      </c>
      <c r="E37" s="293">
        <f>'数据-取费表'!B35</f>
        <v>200</v>
      </c>
      <c r="F37" s="303"/>
      <c r="G37" s="305" t="s">
        <v>119</v>
      </c>
    </row>
    <row r="38" spans="1:7" ht="13.5" customHeight="1">
      <c r="A38" s="951" t="s">
        <v>799</v>
      </c>
      <c r="B38" s="259" t="s">
        <v>63</v>
      </c>
      <c r="C38" s="264">
        <f>ROUND(C34*F38,0)</f>
        <v>147</v>
      </c>
      <c r="D38" s="264"/>
      <c r="E38" s="264"/>
      <c r="F38" s="303">
        <f>'数据-取费表'!B36</f>
        <v>1.4999999999999999E-2</v>
      </c>
      <c r="G38" s="263" t="s">
        <v>117</v>
      </c>
    </row>
    <row r="39" spans="1:7" s="258" customFormat="1" ht="13.5" customHeight="1">
      <c r="A39" s="948" t="s">
        <v>783</v>
      </c>
      <c r="B39" s="254" t="s">
        <v>104</v>
      </c>
      <c r="C39" s="276">
        <f>ROUND(C33*F20,0)</f>
        <v>163</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523</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515</v>
      </c>
      <c r="D42" s="282"/>
      <c r="E42" s="282"/>
      <c r="F42" s="283"/>
      <c r="G42" s="3212" t="s">
        <v>121</v>
      </c>
    </row>
    <row r="43" spans="1:7" ht="13.5" customHeight="1">
      <c r="A43" s="951" t="s">
        <v>792</v>
      </c>
      <c r="B43" s="259" t="s">
        <v>1064</v>
      </c>
      <c r="C43" s="282">
        <f ca="1">ROUND(IF('数据-取费表'!B22&lt;=1,C39*F22*'数据-取费表'!B21/2,C39*(POWER((1+F22),'数据-取费表'!B21/2)-1)),0)</f>
        <v>8</v>
      </c>
      <c r="D43" s="282"/>
      <c r="E43" s="282"/>
      <c r="F43" s="283"/>
      <c r="G43" s="3213"/>
    </row>
    <row r="44" spans="1:7" ht="13.5" customHeight="1">
      <c r="A44" s="951" t="s">
        <v>793</v>
      </c>
      <c r="B44" s="259" t="s">
        <v>1066</v>
      </c>
      <c r="C44" s="282">
        <f ca="1">ROUND(IF('数据-取费表'!B22&lt;=1,C40*F22*'数据-取费表'!B21/2,C40*(POWER((1+F22),'数据-取费表'!B21/2)-1)),4)</f>
        <v>1E-3</v>
      </c>
      <c r="D44" s="282"/>
      <c r="E44" s="282"/>
      <c r="F44" s="283"/>
      <c r="G44" s="3214"/>
    </row>
    <row r="45" spans="1:7" s="258" customFormat="1" ht="13.5" customHeight="1">
      <c r="A45" s="948" t="s">
        <v>786</v>
      </c>
      <c r="B45" s="288" t="s">
        <v>112</v>
      </c>
      <c r="C45" s="289">
        <f>C46</f>
        <v>2091</v>
      </c>
      <c r="D45" s="279">
        <f>C47</f>
        <v>3.8E-3</v>
      </c>
      <c r="E45" s="280" t="s">
        <v>129</v>
      </c>
      <c r="F45" s="290"/>
      <c r="G45" s="291" t="s">
        <v>1072</v>
      </c>
    </row>
    <row r="46" spans="1:7" s="258" customFormat="1" ht="13.5" customHeight="1">
      <c r="A46" s="951" t="s">
        <v>794</v>
      </c>
      <c r="B46" s="292" t="s">
        <v>1065</v>
      </c>
      <c r="C46" s="293">
        <f>ROUND((C33+C39)*F27,0)</f>
        <v>2091</v>
      </c>
      <c r="D46" s="307"/>
      <c r="E46" s="280"/>
      <c r="F46" s="290"/>
      <c r="G46" s="291"/>
    </row>
    <row r="47" spans="1:7" s="258" customFormat="1" ht="13.5" customHeight="1">
      <c r="A47" s="951" t="s">
        <v>792</v>
      </c>
      <c r="B47" s="292" t="s">
        <v>1067</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14774</v>
      </c>
      <c r="D49" s="276"/>
      <c r="E49" s="276"/>
      <c r="F49" s="308"/>
      <c r="G49" s="278" t="s">
        <v>1073</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12853</v>
      </c>
      <c r="D51" s="276"/>
      <c r="E51" s="276"/>
      <c r="F51" s="308"/>
      <c r="G51" s="278" t="s">
        <v>64</v>
      </c>
    </row>
    <row r="52" spans="1:7" s="252" customFormat="1" ht="16.5" thickBot="1">
      <c r="A52" s="309" t="s">
        <v>65</v>
      </c>
      <c r="B52" s="310"/>
      <c r="C52" s="311">
        <f ca="1">C31+C51</f>
        <v>42864</v>
      </c>
      <c r="D52" s="310"/>
      <c r="E52" s="310"/>
      <c r="F52" s="310"/>
      <c r="G52" s="312"/>
    </row>
    <row r="55" spans="1:7" ht="15">
      <c r="B55" s="314" t="s">
        <v>66</v>
      </c>
      <c r="C55" s="315"/>
    </row>
    <row r="56" spans="1:7">
      <c r="B56" s="317" t="s">
        <v>67</v>
      </c>
      <c r="C56" s="318">
        <f ca="1">ROUND(C51/C52,3)</f>
        <v>0.3</v>
      </c>
    </row>
    <row r="57" spans="1:7">
      <c r="B57" s="317" t="s">
        <v>68</v>
      </c>
      <c r="C57" s="319">
        <f ca="1">1-C56</f>
        <v>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7" t="s">
        <v>156</v>
      </c>
      <c r="B1" s="3347"/>
      <c r="C1" s="3347"/>
      <c r="D1" s="3347"/>
      <c r="E1" s="3347"/>
      <c r="F1" s="334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8" t="s">
        <v>169</v>
      </c>
      <c r="B2" s="3348"/>
      <c r="C2" s="3348"/>
      <c r="D2" s="3348"/>
      <c r="E2" s="3348"/>
      <c r="F2" s="334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7" t="s">
        <v>871</v>
      </c>
      <c r="B1" s="334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1640</v>
      </c>
      <c r="B2" s="3037" t="s">
        <v>1641</v>
      </c>
      <c r="C2" s="3037" t="s">
        <v>1642</v>
      </c>
      <c r="D2" s="3037" t="str">
        <f>结果表!D116</f>
        <v>出让国有建设用地使用权价值</v>
      </c>
      <c r="E2" s="3037"/>
      <c r="F2" s="3037" t="str">
        <f>结果表!F116</f>
        <v>建筑物价值</v>
      </c>
      <c r="G2" s="3037"/>
      <c r="H2" s="3037" t="str">
        <f>IF(项目基本情况!B9="房地产市场价值","房地产市场价值","房地产价值")</f>
        <v>房地产价值</v>
      </c>
      <c r="I2" s="3037"/>
    </row>
    <row r="3" spans="1:9" ht="15">
      <c r="A3" s="3038"/>
      <c r="B3" s="3038"/>
      <c r="C3" s="3038"/>
      <c r="D3" s="1044" t="s">
        <v>1637</v>
      </c>
      <c r="E3" s="1044" t="s">
        <v>1643</v>
      </c>
      <c r="F3" s="1044" t="s">
        <v>1637</v>
      </c>
      <c r="G3" s="1044" t="s">
        <v>1638</v>
      </c>
      <c r="H3" s="1044" t="s">
        <v>1637</v>
      </c>
      <c r="I3" s="1044" t="s">
        <v>1638</v>
      </c>
    </row>
    <row r="4" spans="1:9" ht="30">
      <c r="A4" s="1973" t="str">
        <f>项目基本情况!S2</f>
        <v>北京市石景山区时代花园南路17号房地产</v>
      </c>
      <c r="B4" s="1044">
        <f>项目基本情况!C17</f>
        <v>28872.97</v>
      </c>
      <c r="C4" s="1044">
        <f>项目基本情况!C18</f>
        <v>11364.7</v>
      </c>
      <c r="D4" s="1044">
        <f ca="1">结果表!D118</f>
        <v>64769</v>
      </c>
      <c r="E4" s="1044">
        <f ca="1">结果表!E118</f>
        <v>22432</v>
      </c>
      <c r="F4" s="1044">
        <f ca="1">结果表!F118</f>
        <v>14800</v>
      </c>
      <c r="G4" s="1044">
        <f ca="1">结果表!G118</f>
        <v>5126</v>
      </c>
      <c r="H4" s="1044">
        <f ca="1">结果表!H118</f>
        <v>79569</v>
      </c>
      <c r="I4" s="1044">
        <f ca="1">结果表!I118</f>
        <v>27558</v>
      </c>
    </row>
    <row r="5" spans="1:9" ht="30" customHeight="1">
      <c r="A5" s="3038" t="s">
        <v>1639</v>
      </c>
      <c r="B5" s="3038"/>
      <c r="C5" s="3038"/>
      <c r="D5" s="3039" t="str">
        <f ca="1">结果表!D119</f>
        <v>陆亿肆仟柒佰陆拾玖万元整</v>
      </c>
      <c r="E5" s="3039"/>
      <c r="F5" s="3039" t="str">
        <f ca="1">结果表!F119</f>
        <v>壹亿肆仟捌佰万元整</v>
      </c>
      <c r="G5" s="3039"/>
      <c r="H5" s="3039" t="str">
        <f ca="1">结果表!H119</f>
        <v>柒亿玖仟伍佰陆拾玖万元整</v>
      </c>
      <c r="I5" s="3039"/>
    </row>
    <row r="6" spans="1:9" ht="15.75">
      <c r="A6" s="3040" t="str">
        <f>结果表!A120</f>
        <v>估价师知悉的除抵押担保权以外的法定优先受偿款</v>
      </c>
      <c r="B6" s="3040"/>
      <c r="C6" s="3040"/>
      <c r="D6" s="3040">
        <f>结果表!D120</f>
        <v>0</v>
      </c>
      <c r="E6" s="3040"/>
      <c r="F6" s="3040"/>
      <c r="G6" s="3040"/>
      <c r="H6" s="3040"/>
      <c r="I6" s="3040"/>
    </row>
    <row r="7" spans="1:9" ht="15">
      <c r="A7" s="3038" t="s">
        <v>1639</v>
      </c>
      <c r="B7" s="3038"/>
      <c r="C7" s="3038"/>
      <c r="D7" s="3041" t="str">
        <f>结果表!D121</f>
        <v>零元整</v>
      </c>
      <c r="E7" s="3042"/>
      <c r="F7" s="3042"/>
      <c r="G7" s="3042"/>
      <c r="H7" s="3042"/>
      <c r="I7" s="3043"/>
    </row>
    <row r="8" spans="1:9" ht="15.75">
      <c r="A8" s="3040" t="str">
        <f>结果表!A122</f>
        <v>房地产抵押价值</v>
      </c>
      <c r="B8" s="3040"/>
      <c r="C8" s="3040"/>
      <c r="D8" s="3040">
        <f ca="1">结果表!D122</f>
        <v>79569</v>
      </c>
      <c r="E8" s="3040"/>
      <c r="F8" s="3040"/>
      <c r="G8" s="3040"/>
      <c r="H8" s="3040"/>
      <c r="I8" s="3040"/>
    </row>
    <row r="9" spans="1:9" ht="15">
      <c r="A9" s="3038" t="s">
        <v>1639</v>
      </c>
      <c r="B9" s="3038"/>
      <c r="C9" s="3038"/>
      <c r="D9" s="3039" t="str">
        <f ca="1">结果表!D123</f>
        <v>柒亿玖仟伍佰陆拾玖万元整</v>
      </c>
      <c r="E9" s="3039"/>
      <c r="F9" s="3039"/>
      <c r="G9" s="3039"/>
      <c r="H9" s="3039"/>
      <c r="I9" s="3039"/>
    </row>
    <row r="10" spans="1:9" ht="15.75">
      <c r="A10" s="3040" t="str">
        <f>结果表!A124</f>
        <v/>
      </c>
      <c r="B10" s="3040"/>
      <c r="C10" s="3040"/>
      <c r="D10" s="3040" t="str">
        <f>结果表!D124</f>
        <v>——</v>
      </c>
      <c r="E10" s="3040"/>
      <c r="F10" s="3040"/>
      <c r="G10" s="3040"/>
      <c r="H10" s="3040"/>
      <c r="I10" s="3040"/>
    </row>
    <row r="11" spans="1:9" ht="15">
      <c r="A11" s="3038" t="s">
        <v>1639</v>
      </c>
      <c r="B11" s="3038"/>
      <c r="C11" s="3038"/>
      <c r="D11" s="3039" t="e">
        <f>结果表!D125</f>
        <v>#VALUE!</v>
      </c>
      <c r="E11" s="3039"/>
      <c r="F11" s="3039"/>
      <c r="G11" s="3039"/>
      <c r="H11" s="3039"/>
      <c r="I11" s="3039"/>
    </row>
    <row r="12" spans="1:9" ht="15.75">
      <c r="A12" s="3040" t="str">
        <f>结果表!A126</f>
        <v/>
      </c>
      <c r="B12" s="3040"/>
      <c r="C12" s="3040"/>
      <c r="D12" s="3040" t="str">
        <f>结果表!D126</f>
        <v>——</v>
      </c>
      <c r="E12" s="3040"/>
      <c r="F12" s="3040"/>
      <c r="G12" s="3040"/>
      <c r="H12" s="3040"/>
      <c r="I12" s="3040"/>
    </row>
    <row r="13" spans="1:9" ht="15.75" thickBot="1">
      <c r="A13" s="3044" t="s">
        <v>1639</v>
      </c>
      <c r="B13" s="3044"/>
      <c r="C13" s="3044"/>
      <c r="D13" s="3045" t="e">
        <f>结果表!D127</f>
        <v>#VALUE!</v>
      </c>
      <c r="E13" s="3045"/>
      <c r="F13" s="3045"/>
      <c r="G13" s="3045"/>
      <c r="H13" s="3045"/>
      <c r="I13" s="3045"/>
    </row>
    <row r="14" spans="1:9" ht="15" thickTop="1">
      <c r="A14" s="3046" t="s">
        <v>1644</v>
      </c>
      <c r="B14" s="3046"/>
      <c r="C14" s="3046"/>
      <c r="D14" s="3046"/>
      <c r="E14" s="3046"/>
      <c r="F14" s="3046"/>
      <c r="G14" s="3046"/>
      <c r="H14" s="3046"/>
      <c r="I14" s="3046"/>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7" t="s">
        <v>1661</v>
      </c>
      <c r="B1" s="3047"/>
      <c r="C1" s="3047"/>
      <c r="D1" s="3047"/>
    </row>
    <row r="2" spans="1:4" ht="18">
      <c r="A2" s="3048" t="s">
        <v>1645</v>
      </c>
      <c r="B2" s="3048"/>
      <c r="C2" s="3048"/>
      <c r="D2" s="3048"/>
    </row>
    <row r="3" spans="1:4" ht="18.75">
      <c r="A3" s="1977" t="s">
        <v>1646</v>
      </c>
      <c r="B3" s="1977" t="s">
        <v>1647</v>
      </c>
      <c r="C3" s="1977" t="s">
        <v>1648</v>
      </c>
      <c r="D3" s="1977" t="s">
        <v>1649</v>
      </c>
    </row>
    <row r="4" spans="1:4" ht="56.25" customHeight="1">
      <c r="A4" s="1978" t="str">
        <f>项目基本情况!B4</f>
        <v>王鹏</v>
      </c>
      <c r="B4" s="1979">
        <f ca="1">项目基本情况!C4</f>
        <v>1120050019</v>
      </c>
      <c r="C4" s="1980"/>
      <c r="D4" s="1981" t="s">
        <v>1650</v>
      </c>
    </row>
    <row r="5" spans="1:4" ht="56.25" customHeight="1">
      <c r="A5" s="1978" t="str">
        <f>项目基本情况!D4</f>
        <v>郑燚</v>
      </c>
      <c r="B5" s="1979">
        <f ca="1">项目基本情况!E4</f>
        <v>1120070131</v>
      </c>
      <c r="C5" s="1982"/>
      <c r="D5" s="1981" t="s">
        <v>1650</v>
      </c>
    </row>
    <row r="6" spans="1:4" ht="18">
      <c r="A6" s="3048" t="s">
        <v>1651</v>
      </c>
      <c r="B6" s="3048"/>
      <c r="C6" s="3048"/>
      <c r="D6" s="3048"/>
    </row>
    <row r="7" spans="1:4" ht="18.75">
      <c r="A7" s="1977" t="s">
        <v>1646</v>
      </c>
      <c r="B7" s="1979" t="s">
        <v>1652</v>
      </c>
      <c r="C7" s="1977" t="s">
        <v>1648</v>
      </c>
      <c r="D7" s="1977" t="s">
        <v>1649</v>
      </c>
    </row>
    <row r="8" spans="1:4" ht="56.25" customHeight="1">
      <c r="A8" s="1983" t="s">
        <v>869</v>
      </c>
      <c r="B8" s="1983" t="s">
        <v>1</v>
      </c>
      <c r="C8" s="1980"/>
      <c r="D8" s="1981" t="s">
        <v>1650</v>
      </c>
    </row>
    <row r="9" spans="1:4">
      <c r="A9" s="728"/>
      <c r="B9" s="728"/>
      <c r="C9" s="728"/>
      <c r="D9" s="728"/>
    </row>
    <row r="10" spans="1:4" ht="18.75">
      <c r="A10" s="1984" t="s">
        <v>1653</v>
      </c>
      <c r="B10" s="728"/>
      <c r="C10" s="728"/>
      <c r="D10" s="728"/>
    </row>
    <row r="11" spans="1:4" ht="30" customHeight="1">
      <c r="A11" s="3049" t="s">
        <v>1654</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50" t="str">
        <f>IF(项目基本情况!B8="抵押","4.本次评估估价师所知悉的法定优先受偿款情况说明如下：","——")</f>
        <v>4.本次评估估价师所知悉的法定优先受偿款情况说明如下：</v>
      </c>
      <c r="B14" s="3051"/>
      <c r="C14" s="3051"/>
      <c r="D14" s="3051"/>
    </row>
    <row r="15" spans="1:4" ht="42" customHeight="1">
      <c r="A15" s="3050" t="str">
        <f>IF(项目基本情况!B8="抵押","（1）"&amp;CONCATENATE(项目基本情况!L20,项目基本情况!L21,项目基本情况!L22),"——")</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50"/>
      <c r="C15" s="3050"/>
      <c r="D15" s="3050"/>
    </row>
    <row r="16" spans="1:4" ht="30" customHeight="1">
      <c r="A16" s="3053" t="s">
        <v>1655</v>
      </c>
      <c r="B16" s="3053"/>
      <c r="C16" s="3053"/>
      <c r="D16" s="3053"/>
    </row>
    <row r="17" spans="1:4" ht="144" customHeight="1">
      <c r="A17" s="3053" t="s">
        <v>1656</v>
      </c>
      <c r="B17" s="3053"/>
      <c r="C17" s="3053"/>
      <c r="D17" s="3053"/>
    </row>
    <row r="18" spans="1:4" ht="15.75" customHeight="1">
      <c r="A18" s="3050" t="str">
        <f>IF(项目基本情况!B8="抵押",结果表!K120,"——")</f>
        <v>故，本次评估不存在估价师知悉的除抵押担保权以外的法定优先受偿款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1657</v>
      </c>
      <c r="B22" s="3055"/>
      <c r="C22" s="3055"/>
      <c r="D22" s="3055"/>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52">
        <v>42551</v>
      </c>
      <c r="D31" s="30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61" t="s">
        <v>1668</v>
      </c>
      <c r="B15" s="3056" t="s">
        <v>136</v>
      </c>
      <c r="C15" s="3057"/>
    </row>
    <row r="16" spans="1:7" ht="13.5">
      <c r="A16" s="3062"/>
      <c r="B16" s="3056" t="s">
        <v>69</v>
      </c>
      <c r="C16" s="3057"/>
    </row>
    <row r="17" spans="1:3" ht="13.5">
      <c r="A17" s="3062"/>
      <c r="B17" s="3059" t="s">
        <v>1669</v>
      </c>
      <c r="C17" s="2000" t="s">
        <v>1668</v>
      </c>
    </row>
    <row r="18" spans="1:3" ht="13.5">
      <c r="A18" s="3062"/>
      <c r="B18" s="3059"/>
      <c r="C18" s="2000" t="s">
        <v>1670</v>
      </c>
    </row>
    <row r="19" spans="1:3" ht="13.5">
      <c r="A19" s="3062"/>
      <c r="B19" s="3059"/>
      <c r="C19" s="2000" t="s">
        <v>1671</v>
      </c>
    </row>
    <row r="20" spans="1:3" ht="13.5">
      <c r="A20" s="3063"/>
      <c r="B20" s="3058" t="s">
        <v>1672</v>
      </c>
      <c r="C20" s="3057"/>
    </row>
    <row r="21" spans="1:3" ht="13.5">
      <c r="A21" s="2001" t="s">
        <v>1673</v>
      </c>
      <c r="B21" s="2002"/>
      <c r="C21" s="2003"/>
    </row>
    <row r="22" spans="1:3" ht="13.5">
      <c r="A22" s="3060" t="s">
        <v>1674</v>
      </c>
      <c r="B22" s="3058" t="s">
        <v>1675</v>
      </c>
      <c r="C22" s="3057"/>
    </row>
    <row r="23" spans="1:3" ht="13.5">
      <c r="A23" s="3060"/>
      <c r="B23" s="3058" t="s">
        <v>1676</v>
      </c>
      <c r="C23" s="3057"/>
    </row>
    <row r="24" spans="1:3" ht="13.5">
      <c r="A24" s="3060"/>
      <c r="B24" s="3058" t="s">
        <v>1677</v>
      </c>
      <c r="C24" s="3057"/>
    </row>
    <row r="25" spans="1:3" ht="13.5">
      <c r="A25" s="3060"/>
      <c r="B25" s="3059" t="s">
        <v>1678</v>
      </c>
      <c r="C25" s="2000" t="s">
        <v>1679</v>
      </c>
    </row>
    <row r="26" spans="1:3" ht="13.5">
      <c r="A26" s="3060"/>
      <c r="B26" s="3059"/>
      <c r="C26" s="2000" t="s">
        <v>1680</v>
      </c>
    </row>
    <row r="27" spans="1:3" ht="13.5">
      <c r="A27" s="3060"/>
      <c r="B27" s="3059"/>
      <c r="C27" s="2000" t="s">
        <v>1681</v>
      </c>
    </row>
    <row r="28" spans="1:3" ht="13.5">
      <c r="A28" s="3060"/>
      <c r="B28" s="3059"/>
      <c r="C28" s="2000" t="s">
        <v>1682</v>
      </c>
    </row>
    <row r="29" spans="1:3" ht="13.5">
      <c r="A29" s="3060"/>
      <c r="B29" s="3059"/>
      <c r="C29" s="2000" t="s">
        <v>1683</v>
      </c>
    </row>
    <row r="30" spans="1:3" ht="13.5">
      <c r="A30" s="3060"/>
      <c r="B30" s="3059"/>
      <c r="C30" s="2000" t="s">
        <v>1684</v>
      </c>
    </row>
    <row r="31" spans="1:3" ht="13.5">
      <c r="A31" s="3060"/>
      <c r="B31" s="3059"/>
      <c r="C31" s="2000" t="s">
        <v>1685</v>
      </c>
    </row>
    <row r="32" spans="1:3" ht="13.5">
      <c r="A32" s="3060"/>
      <c r="B32" s="3059"/>
      <c r="C32" s="2000" t="s">
        <v>1686</v>
      </c>
    </row>
    <row r="33" spans="1:3" ht="13.5">
      <c r="A33" s="3060"/>
      <c r="B33" s="3059"/>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43224</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344"/>
      <c r="D12" s="2347"/>
      <c r="E12" s="1022"/>
      <c r="F12" s="1022"/>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64" t="s">
        <v>846</v>
      </c>
      <c r="B25" s="3064"/>
      <c r="C25" s="3064"/>
      <c r="D25" s="3064"/>
      <c r="E25" s="3064"/>
      <c r="F25" s="3064"/>
      <c r="G25" s="3064"/>
    </row>
    <row r="26" spans="1:7" s="1025" customFormat="1" ht="24" customHeight="1">
      <c r="A26" s="3065" t="s">
        <v>847</v>
      </c>
      <c r="B26" s="3065"/>
      <c r="C26" s="3066"/>
      <c r="D26" s="3067" t="s">
        <v>848</v>
      </c>
      <c r="E26" s="3065"/>
      <c r="F26" s="3065"/>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140</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租金</vt:lpstr>
      <vt:lpstr>系统读取表</vt:lpstr>
      <vt:lpstr>结果表</vt:lpstr>
      <vt:lpstr>成本法</vt:lpstr>
      <vt:lpstr>成本法 (元)</vt:lpstr>
      <vt:lpstr>假设开发法</vt:lpstr>
      <vt:lpstr>基准地价修正-商业</vt:lpstr>
      <vt:lpstr>基准地价修正-办公</vt:lpstr>
      <vt:lpstr>基准地价（汇总）</vt:lpstr>
      <vt:lpstr>收益法（汇总）</vt:lpstr>
      <vt:lpstr>收益法-商业</vt:lpstr>
      <vt:lpstr>收益法-办公</vt:lpstr>
      <vt:lpstr>收益法-地下商业</vt:lpstr>
      <vt:lpstr>收益法-车库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'收益法-地下商业'!Print_Area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2018-05-02T09:38:58Z</cp:lastPrinted>
  <dcterms:created xsi:type="dcterms:W3CDTF">2015-07-13T07:17:23Z</dcterms:created>
  <dcterms:modified xsi:type="dcterms:W3CDTF">2018-05-04T03:35:17Z</dcterms:modified>
</cp:coreProperties>
</file>