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汇总）" sheetId="76" r:id="rId22"/>
    <sheet name="基准地价修正-办公" sheetId="43" r:id="rId23"/>
    <sheet name="收益法 (元)" sheetId="67" state="hidden" r:id="rId24"/>
    <sheet name="收益法-酒店模型" sheetId="77" state="hidden" r:id="rId25"/>
    <sheet name="基准地价修正-商业" sheetId="82" r:id="rId26"/>
    <sheet name="收益法（汇总）" sheetId="70" r:id="rId27"/>
    <sheet name="收益法-办公" sheetId="15" r:id="rId28"/>
    <sheet name="收益法-商业" sheetId="80" r:id="rId29"/>
    <sheet name="收益法-车库" sheetId="81"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案例" sheetId="83"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21">'基准地价（汇总）'!$A$1:$E$13</definedName>
    <definedName name="_xlnm.Print_Area" localSheetId="22">'基准地价修正-办公'!$A$1:$J$44,'基准地价修正-办公'!$A$47:$H$101,'基准地价修正-办公'!$R$1:$V$16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7">'收益法-办公'!$A$1:$F$43,'收益法-办公'!$H$3:$M$29,'收益法-办公'!$A$46:$F$71,'收益法-办公'!$I$46:$N$65</definedName>
    <definedName name="_xlnm.Print_Area" localSheetId="29">'收益法-车库'!$A$1:$F$43,'收益法-车库'!$H$3:$M$29,'收益法-车库'!$A$46:$F$71,'收益法-车库'!$I$46:$N$65</definedName>
    <definedName name="_xlnm.Print_Area" localSheetId="28">'收益法-商业'!$A$1:$F$43,'收益法-商业'!$H$3:$M$29,'收益法-商业'!$A$46:$F$71,'收益法-商业'!$I$46:$N$65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5">'基准地价修正-商业'!$Q$19:$AD$19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82" l="1"/>
  <c r="U2" i="82"/>
  <c r="G44" i="43"/>
  <c r="D42" i="43"/>
  <c r="D37" i="43"/>
  <c r="D33" i="43"/>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N100" i="82"/>
  <c r="M100" i="82"/>
  <c r="K100" i="82"/>
  <c r="J100" i="82" s="1"/>
  <c r="D100" i="82"/>
  <c r="B100" i="82"/>
  <c r="N99" i="82"/>
  <c r="M99" i="82"/>
  <c r="K99" i="82"/>
  <c r="J99" i="82" s="1"/>
  <c r="D99" i="82"/>
  <c r="B99" i="82"/>
  <c r="N98" i="82"/>
  <c r="M98" i="82"/>
  <c r="K98" i="82"/>
  <c r="J98" i="82" s="1"/>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H93" i="82"/>
  <c r="F93" i="82"/>
  <c r="H101" i="82" s="1"/>
  <c r="E93" i="82"/>
  <c r="D93" i="82"/>
  <c r="B91" i="82"/>
  <c r="M90" i="82"/>
  <c r="N90" i="82" s="1"/>
  <c r="K90" i="82"/>
  <c r="J90" i="82"/>
  <c r="D90" i="82"/>
  <c r="B90" i="82"/>
  <c r="N89" i="82"/>
  <c r="M89" i="82"/>
  <c r="K89" i="82"/>
  <c r="J89" i="82" s="1"/>
  <c r="D89" i="82"/>
  <c r="N88" i="82"/>
  <c r="M88" i="82"/>
  <c r="K88" i="82"/>
  <c r="J88" i="82" s="1"/>
  <c r="D88" i="82"/>
  <c r="B88" i="82"/>
  <c r="N87" i="82"/>
  <c r="M87" i="82"/>
  <c r="K87" i="82"/>
  <c r="J87" i="82" s="1"/>
  <c r="D87" i="82"/>
  <c r="B87" i="82"/>
  <c r="N86" i="82"/>
  <c r="M86" i="82"/>
  <c r="K86" i="82"/>
  <c r="J86" i="82" s="1"/>
  <c r="D86" i="82"/>
  <c r="B86" i="82"/>
  <c r="N85" i="82"/>
  <c r="M85" i="82"/>
  <c r="K85" i="82"/>
  <c r="J85" i="82" s="1"/>
  <c r="D85" i="82"/>
  <c r="B85" i="82"/>
  <c r="N84" i="82"/>
  <c r="M84" i="82"/>
  <c r="K84" i="82"/>
  <c r="J84" i="82" s="1"/>
  <c r="D84" i="82"/>
  <c r="B84" i="82"/>
  <c r="N83" i="82"/>
  <c r="M83" i="82"/>
  <c r="K83" i="82"/>
  <c r="J83" i="82" s="1"/>
  <c r="F83" i="82"/>
  <c r="H89" i="82" s="1"/>
  <c r="D83" i="82"/>
  <c r="E83" i="82" s="1"/>
  <c r="B81" i="82" s="1"/>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0" i="82" s="1"/>
  <c r="B72" i="82"/>
  <c r="M69" i="82"/>
  <c r="N69" i="82" s="1"/>
  <c r="K69" i="82"/>
  <c r="J69" i="82"/>
  <c r="D69" i="82"/>
  <c r="B69" i="82"/>
  <c r="N68" i="82"/>
  <c r="M68" i="82"/>
  <c r="K68" i="82"/>
  <c r="J68" i="82" s="1"/>
  <c r="D68" i="82"/>
  <c r="B68" i="82"/>
  <c r="M67" i="82"/>
  <c r="N67" i="82" s="1"/>
  <c r="K67" i="82"/>
  <c r="J67" i="82"/>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D61" i="82"/>
  <c r="E61" i="82" s="1"/>
  <c r="B59" i="82" s="1"/>
  <c r="B61" i="82"/>
  <c r="M58" i="82"/>
  <c r="N58" i="82" s="1"/>
  <c r="K58" i="82"/>
  <c r="J58" i="82" s="1"/>
  <c r="D58" i="82"/>
  <c r="B58" i="82"/>
  <c r="N57" i="82"/>
  <c r="M57" i="82"/>
  <c r="K57" i="82"/>
  <c r="J57" i="82" s="1"/>
  <c r="D57" i="82" s="1"/>
  <c r="B57" i="82"/>
  <c r="M56" i="82"/>
  <c r="N56" i="82" s="1"/>
  <c r="K56" i="82"/>
  <c r="J56" i="82" s="1"/>
  <c r="D56" i="82"/>
  <c r="B56" i="82"/>
  <c r="N55" i="82"/>
  <c r="M55" i="82"/>
  <c r="K55" i="82"/>
  <c r="J55" i="82" s="1"/>
  <c r="N54" i="82"/>
  <c r="M54" i="82"/>
  <c r="K54" i="82"/>
  <c r="J54" i="82" s="1"/>
  <c r="D54" i="82"/>
  <c r="B54" i="82"/>
  <c r="M53" i="82"/>
  <c r="N53" i="82" s="1"/>
  <c r="K53" i="82"/>
  <c r="J53" i="82" s="1"/>
  <c r="D53" i="82"/>
  <c r="M52" i="82"/>
  <c r="N52" i="82" s="1"/>
  <c r="K52" i="82"/>
  <c r="J52" i="82" s="1"/>
  <c r="D52" i="82"/>
  <c r="B52" i="82"/>
  <c r="N51" i="82"/>
  <c r="M51" i="82"/>
  <c r="K51" i="82"/>
  <c r="J51" i="82" s="1"/>
  <c r="B51" i="82"/>
  <c r="M50" i="82"/>
  <c r="N50" i="82" s="1"/>
  <c r="K50" i="82"/>
  <c r="J50" i="82" s="1"/>
  <c r="D50" i="82"/>
  <c r="B50" i="82"/>
  <c r="H42" i="82"/>
  <c r="H41" i="82"/>
  <c r="H40" i="82"/>
  <c r="H39" i="82"/>
  <c r="H38" i="82"/>
  <c r="H37" i="82"/>
  <c r="P29" i="82"/>
  <c r="P25" i="82"/>
  <c r="M24" i="82"/>
  <c r="J24" i="82"/>
  <c r="I24" i="82"/>
  <c r="C24" i="82" s="1"/>
  <c r="G24" i="82"/>
  <c r="E44" i="82" s="1"/>
  <c r="C44" i="82" s="1"/>
  <c r="E24" i="82"/>
  <c r="Q32" i="82" s="1"/>
  <c r="O23" i="82"/>
  <c r="M23" i="82"/>
  <c r="I23" i="82"/>
  <c r="G23" i="82"/>
  <c r="P28" i="82" s="1"/>
  <c r="C23" i="82"/>
  <c r="C22" i="82"/>
  <c r="I18" i="82"/>
  <c r="G18" i="82"/>
  <c r="G17" i="82"/>
  <c r="E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E9" i="82"/>
  <c r="C9" i="82"/>
  <c r="E8" i="82"/>
  <c r="S3" i="82"/>
  <c r="G3" i="82"/>
  <c r="I2" i="82"/>
  <c r="G2" i="82"/>
  <c r="X7" i="82" s="1"/>
  <c r="M1" i="82"/>
  <c r="D1" i="82"/>
  <c r="W21" i="1"/>
  <c r="Z19" i="1"/>
  <c r="Y20" i="1"/>
  <c r="Z20" i="1" s="1"/>
  <c r="W20" i="1"/>
  <c r="W19" i="1"/>
  <c r="Q72" i="81"/>
  <c r="Q59" i="81"/>
  <c r="K59" i="81"/>
  <c r="P74" i="81" s="1"/>
  <c r="F59" i="81"/>
  <c r="Q58" i="81"/>
  <c r="J52" i="81"/>
  <c r="Q51" i="81" s="1"/>
  <c r="J50" i="81"/>
  <c r="J49"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Q72" i="80"/>
  <c r="Q59" i="80"/>
  <c r="K59" i="80"/>
  <c r="P74" i="80" s="1"/>
  <c r="F59" i="80"/>
  <c r="Q58" i="80"/>
  <c r="J52" i="80"/>
  <c r="Q51" i="80" s="1"/>
  <c r="J50" i="80"/>
  <c r="J49" i="80"/>
  <c r="J51" i="80" s="1"/>
  <c r="M47" i="80"/>
  <c r="D46" i="80"/>
  <c r="F34" i="80"/>
  <c r="F33" i="80"/>
  <c r="F61" i="80" s="1"/>
  <c r="F32" i="80"/>
  <c r="F60" i="80" s="1"/>
  <c r="F31" i="80"/>
  <c r="F28" i="80"/>
  <c r="C28" i="80"/>
  <c r="F23" i="80"/>
  <c r="D24" i="80" s="1"/>
  <c r="F21" i="80"/>
  <c r="M20" i="80"/>
  <c r="F20" i="80"/>
  <c r="M19" i="80"/>
  <c r="M18" i="80"/>
  <c r="F18" i="80"/>
  <c r="M17" i="80"/>
  <c r="F17" i="80"/>
  <c r="F15" i="80"/>
  <c r="G1" i="80"/>
  <c r="J52" i="15"/>
  <c r="J49" i="15"/>
  <c r="B35" i="1"/>
  <c r="B21" i="1"/>
  <c r="AL8" i="1"/>
  <c r="AK8" i="1"/>
  <c r="AM7" i="1"/>
  <c r="AM8" i="1" s="1"/>
  <c r="AL7" i="1"/>
  <c r="AK7" i="1"/>
  <c r="Y8" i="1"/>
  <c r="Y7" i="1"/>
  <c r="Y6" i="1"/>
  <c r="V7" i="1"/>
  <c r="N14" i="1"/>
  <c r="L14" i="1"/>
  <c r="N8" i="1"/>
  <c r="N7" i="1"/>
  <c r="N6" i="1"/>
  <c r="N20" i="1"/>
  <c r="L8" i="1"/>
  <c r="L7" i="1"/>
  <c r="L6" i="1"/>
  <c r="J8" i="1"/>
  <c r="J7" i="1"/>
  <c r="G21" i="6"/>
  <c r="G20" i="6"/>
  <c r="F20" i="6"/>
  <c r="F19" i="6"/>
  <c r="AL13" i="3"/>
  <c r="I13" i="3"/>
  <c r="B15" i="3"/>
  <c r="O13" i="3"/>
  <c r="G13" i="4"/>
  <c r="F13" i="4"/>
  <c r="D3" i="4"/>
  <c r="M24" i="81"/>
  <c r="F9" i="81"/>
  <c r="F8" i="81"/>
  <c r="L48" i="80"/>
  <c r="F43" i="80"/>
  <c r="F42" i="80"/>
  <c r="M24" i="80"/>
  <c r="F8" i="80"/>
  <c r="F40" i="80"/>
  <c r="M22" i="81"/>
  <c r="F7" i="81"/>
  <c r="C76" i="81"/>
  <c r="L47" i="80"/>
  <c r="F7" i="80"/>
  <c r="M28" i="80"/>
  <c r="M22" i="80"/>
  <c r="C76" i="80"/>
  <c r="F9" i="80"/>
  <c r="D22" i="80" l="1"/>
  <c r="D23" i="80"/>
  <c r="Z21" i="1"/>
  <c r="Y21" i="1" s="1"/>
  <c r="U7" i="1" s="1"/>
  <c r="D51" i="82"/>
  <c r="D55" i="82"/>
  <c r="E50" i="82"/>
  <c r="B48" i="82" s="1"/>
  <c r="C28" i="82" s="1"/>
  <c r="S6" i="82"/>
  <c r="H83" i="82"/>
  <c r="S5" i="82"/>
  <c r="N12" i="82"/>
  <c r="N11" i="82"/>
  <c r="N10" i="82"/>
  <c r="M9" i="82"/>
  <c r="M8" i="82"/>
  <c r="M12" i="82"/>
  <c r="M11" i="82"/>
  <c r="M10" i="82"/>
  <c r="N2" i="82"/>
  <c r="M3" i="82"/>
  <c r="M6" i="82"/>
  <c r="N4" i="82"/>
  <c r="M5" i="82"/>
  <c r="M7" i="82"/>
  <c r="E11" i="82"/>
  <c r="E10" i="82"/>
  <c r="C7" i="82" s="1"/>
  <c r="N1" i="82"/>
  <c r="H116" i="82"/>
  <c r="N21" i="82"/>
  <c r="L21" i="82"/>
  <c r="J21" i="82"/>
  <c r="H21" i="82"/>
  <c r="E21" i="82"/>
  <c r="C21" i="82"/>
  <c r="F42" i="82"/>
  <c r="F41" i="82"/>
  <c r="F40" i="82"/>
  <c r="F39" i="82"/>
  <c r="F38" i="82"/>
  <c r="F37" i="82"/>
  <c r="C27" i="82"/>
  <c r="O21" i="82"/>
  <c r="M21" i="82"/>
  <c r="K21" i="82"/>
  <c r="I21" i="82"/>
  <c r="D21" i="82"/>
  <c r="M2" i="82"/>
  <c r="S2" i="82"/>
  <c r="B116" i="82"/>
  <c r="H26" i="82"/>
  <c r="F26" i="82"/>
  <c r="J26" i="82"/>
  <c r="G26" i="82"/>
  <c r="E26" i="82"/>
  <c r="N3" i="82"/>
  <c r="F50" i="82" s="1"/>
  <c r="M4" i="82"/>
  <c r="S4" i="82"/>
  <c r="N5" i="82"/>
  <c r="C6" i="82"/>
  <c r="N6" i="82"/>
  <c r="N7" i="82"/>
  <c r="Z7" i="82"/>
  <c r="N8" i="82"/>
  <c r="N9" i="82"/>
  <c r="N32" i="82"/>
  <c r="P32" i="82"/>
  <c r="H68" i="82"/>
  <c r="H66" i="82"/>
  <c r="H65" i="82"/>
  <c r="H69" i="82"/>
  <c r="H67" i="82"/>
  <c r="H64" i="82"/>
  <c r="H63" i="82"/>
  <c r="P26" i="82"/>
  <c r="P27" i="82"/>
  <c r="M32" i="82"/>
  <c r="O32" i="82"/>
  <c r="H61" i="82"/>
  <c r="H62" i="82"/>
  <c r="H72" i="82"/>
  <c r="H74" i="82"/>
  <c r="H76" i="82"/>
  <c r="H79" i="82"/>
  <c r="H80" i="82"/>
  <c r="H85" i="82"/>
  <c r="H87" i="82"/>
  <c r="H90" i="82"/>
  <c r="H94" i="82"/>
  <c r="H97" i="82"/>
  <c r="H98" i="82"/>
  <c r="H100" i="82"/>
  <c r="H73" i="82"/>
  <c r="H75" i="82"/>
  <c r="H77" i="82"/>
  <c r="H84" i="82"/>
  <c r="H86" i="82"/>
  <c r="H88" i="82"/>
  <c r="H95" i="82"/>
  <c r="H96" i="82"/>
  <c r="H99" i="82"/>
  <c r="Q71" i="81"/>
  <c r="F51" i="81"/>
  <c r="F50" i="81"/>
  <c r="M7" i="81"/>
  <c r="P61" i="81"/>
  <c r="F68" i="80"/>
  <c r="Q71" i="80"/>
  <c r="F51" i="80"/>
  <c r="F50" i="80"/>
  <c r="M7" i="80"/>
  <c r="F71" i="80"/>
  <c r="N59" i="80"/>
  <c r="L59" i="80"/>
  <c r="L58" i="80"/>
  <c r="L57" i="80"/>
  <c r="L56" i="80"/>
  <c r="F62" i="80"/>
  <c r="J53" i="80"/>
  <c r="I54" i="80"/>
  <c r="J57" i="80"/>
  <c r="J55" i="80" s="1"/>
  <c r="J58" i="80" s="1"/>
  <c r="Q50" i="80" s="1"/>
  <c r="L60" i="80"/>
  <c r="P61"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6" i="81"/>
  <c r="C14" i="81"/>
  <c r="M23" i="81"/>
  <c r="M29" i="81"/>
  <c r="M28" i="81"/>
  <c r="L47" i="81"/>
  <c r="M8" i="81"/>
  <c r="J15" i="81"/>
  <c r="M27" i="81"/>
  <c r="F38" i="81"/>
  <c r="F43" i="81"/>
  <c r="M26" i="80"/>
  <c r="M8" i="80"/>
  <c r="J15" i="80"/>
  <c r="M27" i="80"/>
  <c r="C17" i="80"/>
  <c r="M9" i="80"/>
  <c r="F16" i="80"/>
  <c r="M29" i="80"/>
  <c r="F38" i="80"/>
  <c r="M9" i="81"/>
  <c r="F16" i="81"/>
  <c r="M26" i="81"/>
  <c r="F37" i="81"/>
  <c r="F42" i="81"/>
  <c r="F6" i="81"/>
  <c r="F13" i="81"/>
  <c r="F26" i="81"/>
  <c r="F36" i="81"/>
  <c r="F40" i="81"/>
  <c r="L48" i="81"/>
  <c r="F6" i="80"/>
  <c r="F13" i="80"/>
  <c r="F26" i="80"/>
  <c r="F37" i="80"/>
  <c r="M6" i="80"/>
  <c r="C14" i="80"/>
  <c r="M23" i="80"/>
  <c r="F36" i="80"/>
  <c r="H58" i="82" l="1"/>
  <c r="H51" i="82"/>
  <c r="H55" i="82"/>
  <c r="H52" i="82"/>
  <c r="H56" i="82"/>
  <c r="H54" i="82"/>
  <c r="H57" i="82"/>
  <c r="H50" i="82"/>
  <c r="H53" i="82"/>
  <c r="D26" i="82"/>
  <c r="C25" i="82" s="1"/>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D122" i="82"/>
  <c r="E122" i="82" s="1"/>
  <c r="F122" i="82" s="1"/>
  <c r="G122" i="82" s="1"/>
  <c r="H122" i="82" s="1"/>
  <c r="B122" i="82"/>
  <c r="C122" i="82" s="1"/>
  <c r="D121" i="82"/>
  <c r="E121" i="82" s="1"/>
  <c r="F121" i="82" s="1"/>
  <c r="B121" i="82"/>
  <c r="C121" i="82" s="1"/>
  <c r="D120" i="82"/>
  <c r="E120" i="82" s="1"/>
  <c r="F120" i="82" s="1"/>
  <c r="G120" i="82" s="1"/>
  <c r="H120" i="82" s="1"/>
  <c r="B120" i="82"/>
  <c r="C120" i="82" s="1"/>
  <c r="D119" i="82"/>
  <c r="E119" i="82" s="1"/>
  <c r="F119" i="82" s="1"/>
  <c r="G119" i="82" s="1"/>
  <c r="H119" i="82" s="1"/>
  <c r="B119" i="82"/>
  <c r="C119" i="82" s="1"/>
  <c r="D118" i="82"/>
  <c r="E118" i="82" s="1"/>
  <c r="F118" i="82" s="1"/>
  <c r="G118" i="82" s="1"/>
  <c r="H118" i="82" s="1"/>
  <c r="B118" i="82"/>
  <c r="C118" i="82" s="1"/>
  <c r="G21" i="82"/>
  <c r="C20" i="82" s="1"/>
  <c r="D5" i="82" s="1"/>
  <c r="C49" i="80"/>
  <c r="C61" i="80" s="1"/>
  <c r="L57" i="81"/>
  <c r="L56" i="81"/>
  <c r="I54" i="81"/>
  <c r="L60" i="81"/>
  <c r="J53" i="81"/>
  <c r="J57" i="81"/>
  <c r="J55" i="81" s="1"/>
  <c r="J58" i="81" s="1"/>
  <c r="Q50" i="81" s="1"/>
  <c r="F71" i="81"/>
  <c r="F68" i="81"/>
  <c r="F66" i="81"/>
  <c r="F64" i="81"/>
  <c r="C27" i="81"/>
  <c r="C6" i="81"/>
  <c r="N59" i="81"/>
  <c r="L59" i="81"/>
  <c r="L58" i="81"/>
  <c r="F65" i="81"/>
  <c r="C18" i="81"/>
  <c r="C15" i="81"/>
  <c r="J6" i="81"/>
  <c r="C49" i="81"/>
  <c r="F66" i="80"/>
  <c r="F64" i="80"/>
  <c r="C18" i="80"/>
  <c r="C15" i="80"/>
  <c r="J6" i="80"/>
  <c r="F65" i="80"/>
  <c r="C27" i="80"/>
  <c r="C6" i="80"/>
  <c r="Q52" i="80"/>
  <c r="F1" i="80"/>
  <c r="Q60" i="80"/>
  <c r="Q73" i="80"/>
  <c r="Q66" i="80"/>
  <c r="Q57" i="80"/>
  <c r="Q61" i="80"/>
  <c r="Q74" i="80"/>
  <c r="P28" i="79"/>
  <c r="B10" i="74"/>
  <c r="C16" i="81"/>
  <c r="C16" i="80"/>
  <c r="C17" i="81"/>
  <c r="D116" i="82" l="1"/>
  <c r="C42" i="82"/>
  <c r="C41" i="82"/>
  <c r="C40" i="82"/>
  <c r="C39" i="82"/>
  <c r="C38" i="82"/>
  <c r="C37" i="82"/>
  <c r="C5" i="82"/>
  <c r="C19" i="81"/>
  <c r="C61" i="81"/>
  <c r="Q60" i="81"/>
  <c r="Q73" i="81"/>
  <c r="Q52" i="81"/>
  <c r="F1" i="81"/>
  <c r="Q66" i="81"/>
  <c r="Q57" i="81"/>
  <c r="J19" i="81"/>
  <c r="J18" i="81"/>
  <c r="Q61" i="81"/>
  <c r="Q74" i="81"/>
  <c r="C33" i="81"/>
  <c r="C32" i="81"/>
  <c r="C19" i="80"/>
  <c r="J18" i="80"/>
  <c r="J19" i="80"/>
  <c r="C33" i="80"/>
  <c r="C3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T16" i="82" l="1"/>
  <c r="V16" i="82" s="1"/>
  <c r="T15" i="82"/>
  <c r="V15" i="82" s="1"/>
  <c r="T14" i="82"/>
  <c r="V14" i="82" s="1"/>
  <c r="T13" i="82"/>
  <c r="V13" i="82" s="1"/>
  <c r="T9" i="82"/>
  <c r="V9" i="82" s="1"/>
  <c r="T8" i="82"/>
  <c r="V8" i="82" s="1"/>
  <c r="C33" i="82"/>
  <c r="T12" i="82"/>
  <c r="V12" i="82" s="1"/>
  <c r="T11" i="82"/>
  <c r="V11" i="82" s="1"/>
  <c r="T10" i="82"/>
  <c r="V10" i="82" s="1"/>
  <c r="T6" i="82"/>
  <c r="V6" i="82" s="1"/>
  <c r="T5" i="82"/>
  <c r="V5" i="82" s="1"/>
  <c r="T3" i="82"/>
  <c r="V3" i="82" s="1"/>
  <c r="T7" i="82"/>
  <c r="V7" i="82" s="1"/>
  <c r="T4" i="82"/>
  <c r="V4" i="82" s="1"/>
  <c r="T2" i="82"/>
  <c r="V2" i="82" s="1"/>
  <c r="G38" i="82"/>
  <c r="I38" i="82" s="1"/>
  <c r="E38" i="82"/>
  <c r="G40" i="82"/>
  <c r="I40" i="82" s="1"/>
  <c r="E40" i="82"/>
  <c r="G42" i="82"/>
  <c r="I42" i="82" s="1"/>
  <c r="E42" i="82"/>
  <c r="G37" i="82"/>
  <c r="I37" i="82" s="1"/>
  <c r="E37" i="82"/>
  <c r="G39" i="82"/>
  <c r="I39" i="82" s="1"/>
  <c r="E39" i="82"/>
  <c r="G41" i="82"/>
  <c r="I41" i="82" s="1"/>
  <c r="E41" i="82"/>
  <c r="C20" i="81"/>
  <c r="C26" i="81" s="1"/>
  <c r="C20" i="80"/>
  <c r="C26" i="80" s="1"/>
  <c r="C6" i="78"/>
  <c r="C7" i="78"/>
  <c r="C5" i="78"/>
  <c r="F13" i="1"/>
  <c r="D13" i="1"/>
  <c r="D12" i="1"/>
  <c r="D11" i="1"/>
  <c r="D10" i="1"/>
  <c r="D9" i="1"/>
  <c r="D8" i="1"/>
  <c r="D7" i="1"/>
  <c r="D6" i="1"/>
  <c r="E33" i="82" l="1"/>
  <c r="C30" i="82" s="1"/>
  <c r="B2" i="82" s="1"/>
  <c r="B3" i="82" s="1"/>
  <c r="C34" i="82"/>
  <c r="E34" i="82" s="1"/>
  <c r="C31" i="82" s="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4" i="79" l="1"/>
  <c r="AD35"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F21" i="33"/>
  <c r="E83" i="21"/>
  <c r="S21" i="21"/>
  <c r="H1" i="69"/>
  <c r="W25" i="40"/>
  <c r="U25" i="40"/>
  <c r="U29" i="39"/>
  <c r="W29" i="39"/>
  <c r="W18" i="36"/>
  <c r="AB21" i="37"/>
  <c r="U21" i="37"/>
  <c r="U21" i="34"/>
  <c r="U21" i="33"/>
  <c r="AB21" i="33"/>
  <c r="AA21" i="33"/>
  <c r="S21" i="33"/>
  <c r="U18" i="35"/>
  <c r="AC18" i="35"/>
  <c r="W18" i="35"/>
  <c r="J21" i="37"/>
  <c r="W21" i="37" s="1"/>
  <c r="G84" i="34"/>
  <c r="J21" i="34"/>
  <c r="W21" i="34" s="1"/>
  <c r="G83" i="33"/>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U42" i="33"/>
  <c r="S42" i="33"/>
  <c r="F36" i="33"/>
  <c r="AA36" i="33" s="1"/>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L48" i="15"/>
  <c r="F16" i="67"/>
  <c r="F40" i="67"/>
  <c r="E10" i="76"/>
  <c r="M9" i="67"/>
  <c r="F9" i="67"/>
  <c r="F36" i="15"/>
  <c r="AO13" i="1"/>
  <c r="E2" i="68"/>
  <c r="F7" i="15"/>
  <c r="F7" i="67"/>
  <c r="D7" i="73"/>
  <c r="L47" i="67"/>
  <c r="E11" i="76"/>
  <c r="F43" i="15"/>
  <c r="F9" i="15"/>
  <c r="F13" i="67"/>
  <c r="M28" i="67"/>
  <c r="M23" i="67"/>
  <c r="B13" i="76"/>
  <c r="E2" i="69"/>
  <c r="M29" i="15"/>
  <c r="F8" i="15"/>
  <c r="F26" i="67"/>
  <c r="F38" i="15"/>
  <c r="M26" i="15"/>
  <c r="J15" i="67"/>
  <c r="L47" i="15"/>
  <c r="F38" i="67"/>
  <c r="B11" i="76"/>
  <c r="M23" i="15"/>
  <c r="M9" i="15"/>
  <c r="J15" i="15"/>
  <c r="B9" i="76"/>
  <c r="F6" i="67"/>
  <c r="E9" i="76"/>
  <c r="D4" i="73"/>
  <c r="F5" i="73"/>
  <c r="F6" i="73"/>
  <c r="C76" i="67"/>
  <c r="F8" i="67"/>
  <c r="B7" i="76"/>
  <c r="M29" i="67"/>
  <c r="F42" i="67"/>
  <c r="F16" i="15"/>
  <c r="F37" i="15"/>
  <c r="D3" i="73"/>
  <c r="F13" i="15"/>
  <c r="D6" i="73"/>
  <c r="M8" i="15"/>
  <c r="E13" i="76"/>
  <c r="F4" i="73"/>
  <c r="B8" i="76"/>
  <c r="M22" i="15"/>
  <c r="M6" i="67"/>
  <c r="L48" i="67"/>
  <c r="F43" i="67"/>
  <c r="F42" i="15"/>
  <c r="F3" i="73"/>
  <c r="F7" i="73"/>
  <c r="E7" i="76"/>
  <c r="F6" i="15"/>
  <c r="M8" i="67"/>
  <c r="M26" i="67"/>
  <c r="B12" i="76"/>
  <c r="C76" i="15"/>
  <c r="B10" i="76"/>
  <c r="D5" i="73"/>
  <c r="E8" i="76"/>
  <c r="M22" i="67"/>
  <c r="M28" i="15"/>
  <c r="F37" i="67"/>
  <c r="M24" i="67"/>
  <c r="M6" i="15"/>
  <c r="F26" i="15"/>
  <c r="E12" i="76"/>
  <c r="F40" i="15"/>
  <c r="F36" i="67"/>
  <c r="F20" i="31"/>
  <c r="M24" i="15"/>
  <c r="F34" i="68" l="1"/>
  <c r="M59" i="80"/>
  <c r="M59" i="81"/>
  <c r="C29" i="39"/>
  <c r="B68" i="43"/>
  <c r="B77" i="43"/>
  <c r="B76" i="43"/>
  <c r="C28" i="67"/>
  <c r="C21" i="68"/>
  <c r="C40" i="69"/>
  <c r="G13" i="3"/>
  <c r="G5" i="3" s="1"/>
  <c r="B3" i="3" s="1"/>
  <c r="E175" i="3" s="1"/>
  <c r="H111" i="9"/>
  <c r="B19" i="53"/>
  <c r="B37" i="72" s="1"/>
  <c r="E15" i="71"/>
  <c r="E14" i="71" s="1"/>
  <c r="E13" i="71" s="1"/>
  <c r="E12" i="71" s="1"/>
  <c r="V16" i="71"/>
  <c r="D126" i="9"/>
  <c r="D19" i="53"/>
  <c r="B38" i="72" s="1"/>
  <c r="D16" i="53"/>
  <c r="B34" i="72" s="1"/>
  <c r="U31" i="21"/>
  <c r="AB31" i="21"/>
  <c r="AC45" i="21"/>
  <c r="W45" i="21"/>
  <c r="V20" i="71"/>
  <c r="AZ557" i="3"/>
  <c r="W26" i="33"/>
  <c r="AC26" i="33"/>
  <c r="C16" i="71"/>
  <c r="D17" i="71"/>
  <c r="W17" i="21"/>
  <c r="AC15" i="21"/>
  <c r="U12" i="39"/>
  <c r="AA27" i="40"/>
  <c r="G28" i="6"/>
  <c r="F29" i="6"/>
  <c r="U43" i="33"/>
  <c r="AA41" i="34"/>
  <c r="U46" i="33"/>
  <c r="AA13" i="35"/>
  <c r="AZ439" i="3"/>
  <c r="AZ472" i="3"/>
  <c r="AZ475" i="3"/>
  <c r="AZ489" i="3"/>
  <c r="BL5" i="3"/>
  <c r="AC11" i="35"/>
  <c r="AZ398" i="3"/>
  <c r="AZ405" i="3"/>
  <c r="AZ407" i="3"/>
  <c r="AZ410" i="3"/>
  <c r="AZ415" i="3"/>
  <c r="AZ420" i="3"/>
  <c r="AZ426" i="3"/>
  <c r="AZ431" i="3"/>
  <c r="AZ448" i="3"/>
  <c r="AZ452" i="3"/>
  <c r="AZ461" i="3"/>
  <c r="AZ463" i="3"/>
  <c r="AZ468" i="3"/>
  <c r="AZ479" i="3"/>
  <c r="AZ485" i="3"/>
  <c r="AZ385" i="3"/>
  <c r="F25" i="37"/>
  <c r="J25" i="37"/>
  <c r="F26" i="37"/>
  <c r="H26" i="37"/>
  <c r="F44" i="39"/>
  <c r="H38" i="40"/>
  <c r="J38" i="40"/>
  <c r="H39" i="40"/>
  <c r="AZ395" i="3"/>
  <c r="AZ211" i="3"/>
  <c r="AZ216" i="3"/>
  <c r="AZ219" i="3"/>
  <c r="AZ278" i="3"/>
  <c r="AZ284" i="3"/>
  <c r="AZ292" i="3"/>
  <c r="AZ302" i="3"/>
  <c r="AZ113" i="3"/>
  <c r="AZ126" i="3"/>
  <c r="AZ129" i="3"/>
  <c r="AZ141" i="3"/>
  <c r="AZ205" i="3"/>
  <c r="AZ18" i="3"/>
  <c r="AZ23" i="3"/>
  <c r="AZ27" i="3"/>
  <c r="AZ226" i="3"/>
  <c r="AZ246" i="3"/>
  <c r="AZ252" i="3"/>
  <c r="AZ258" i="3"/>
  <c r="AZ267" i="3"/>
  <c r="AZ44" i="3"/>
  <c r="AZ56" i="3"/>
  <c r="AZ60" i="3"/>
  <c r="AZ64" i="3"/>
  <c r="AZ78" i="3"/>
  <c r="AZ91" i="3"/>
  <c r="AZ98" i="3"/>
  <c r="AZ104" i="3"/>
  <c r="AZ108" i="3"/>
  <c r="S21" i="37"/>
  <c r="C43" i="71"/>
  <c r="D42" i="71"/>
  <c r="C47" i="71"/>
  <c r="D47" i="71" s="1"/>
  <c r="D46" i="71"/>
  <c r="D54" i="71"/>
  <c r="C55" i="71"/>
  <c r="U18" i="36"/>
  <c r="Y10" i="71"/>
  <c r="Z10" i="71" s="1"/>
  <c r="Y9" i="71"/>
  <c r="Z9" i="71" s="1"/>
  <c r="AA9" i="71"/>
  <c r="AA10" i="71"/>
  <c r="AA24" i="71"/>
  <c r="X24" i="71"/>
  <c r="AA22" i="71"/>
  <c r="AA21" i="71"/>
  <c r="Y18" i="71"/>
  <c r="Z18" i="71" s="1"/>
  <c r="AB18" i="71"/>
  <c r="X17" i="71"/>
  <c r="AA17" i="71"/>
  <c r="X9" i="71"/>
  <c r="X10" i="71"/>
  <c r="Y39" i="71"/>
  <c r="Z39" i="71" s="1"/>
  <c r="AA39" i="71"/>
  <c r="AB9" i="71"/>
  <c r="V68" i="71"/>
  <c r="F67" i="71"/>
  <c r="AB24" i="71"/>
  <c r="Y24" i="71"/>
  <c r="Z24" i="71" s="1"/>
  <c r="AB21" i="71"/>
  <c r="X18" i="71"/>
  <c r="AA18" i="71"/>
  <c r="Y14" i="71"/>
  <c r="Z14" i="71" s="1"/>
  <c r="AB13" i="71"/>
  <c r="Y17" i="71"/>
  <c r="Z17" i="71" s="1"/>
  <c r="AB17" i="71"/>
  <c r="Y23" i="71"/>
  <c r="Z23" i="71" s="1"/>
  <c r="Y22" i="71"/>
  <c r="Z22" i="71" s="1"/>
  <c r="AA23" i="71"/>
  <c r="AB23" i="71"/>
  <c r="X22" i="71"/>
  <c r="Y21" i="71"/>
  <c r="Z21" i="71" s="1"/>
  <c r="X21" i="71"/>
  <c r="X15" i="71"/>
  <c r="AA15" i="71"/>
  <c r="AA11" i="71"/>
  <c r="AA12" i="71"/>
  <c r="AA14" i="71"/>
  <c r="X12" i="71"/>
  <c r="X13" i="71"/>
  <c r="AB11" i="71"/>
  <c r="AB12" i="71"/>
  <c r="Y12" i="71"/>
  <c r="Z12" i="71" s="1"/>
  <c r="Y13" i="71"/>
  <c r="Z13" i="71" s="1"/>
  <c r="AB15" i="71"/>
  <c r="AA13" i="71"/>
  <c r="X11" i="71"/>
  <c r="X14" i="71"/>
  <c r="AB10" i="71"/>
  <c r="AB14"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26" i="43" l="1"/>
  <c r="M11" i="81"/>
  <c r="J10" i="81" s="1"/>
  <c r="J5" i="81" s="1"/>
  <c r="F11" i="81"/>
  <c r="M11" i="80"/>
  <c r="J10" i="80" s="1"/>
  <c r="J5" i="80" s="1"/>
  <c r="F11" i="80"/>
  <c r="E26" i="43"/>
  <c r="H26" i="43"/>
  <c r="K16" i="1"/>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55" i="3"/>
  <c r="E388" i="3"/>
  <c r="E508" i="3"/>
  <c r="E305" i="3"/>
  <c r="E343" i="3"/>
  <c r="E530" i="3"/>
  <c r="AT6" i="3"/>
  <c r="E156" i="3"/>
  <c r="E434" i="3"/>
  <c r="E262" i="3"/>
  <c r="E177" i="3"/>
  <c r="Q6" i="3"/>
  <c r="E458" i="3"/>
  <c r="E527" i="3"/>
  <c r="E457" i="3"/>
  <c r="E562" i="3"/>
  <c r="E571" i="3"/>
  <c r="E450"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238" i="3"/>
  <c r="E128" i="3"/>
  <c r="E120" i="3"/>
  <c r="E330" i="3"/>
  <c r="E529" i="3"/>
  <c r="E474" i="3"/>
  <c r="E438" i="3"/>
  <c r="E288" i="3"/>
  <c r="W6" i="3"/>
  <c r="E537" i="3"/>
  <c r="E471"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96" i="3"/>
  <c r="E468" i="3"/>
  <c r="E429" i="3"/>
  <c r="E577" i="3"/>
  <c r="AE6" i="3"/>
  <c r="E587" i="3"/>
  <c r="E344" i="3"/>
  <c r="E465" i="3"/>
  <c r="E424" i="3"/>
  <c r="E406" i="3"/>
  <c r="E481" i="3"/>
  <c r="E472" i="3"/>
  <c r="E437" i="3"/>
  <c r="E560" i="3"/>
  <c r="K6" i="3"/>
  <c r="E133" i="3"/>
  <c r="E277" i="3"/>
  <c r="E228" i="3"/>
  <c r="AK6" i="3"/>
  <c r="E545" i="3"/>
  <c r="E181" i="3"/>
  <c r="E568" i="3"/>
  <c r="E77" i="3"/>
  <c r="E573" i="3"/>
  <c r="E532" i="3"/>
  <c r="E519" i="3"/>
  <c r="E313" i="3"/>
  <c r="E193" i="3"/>
  <c r="E224" i="3"/>
  <c r="E45" i="3"/>
  <c r="E157" i="3"/>
  <c r="E99" i="3"/>
  <c r="E306" i="3"/>
  <c r="E511" i="3"/>
  <c r="E352" i="3"/>
  <c r="E314" i="3"/>
  <c r="E136" i="3"/>
  <c r="E85" i="3"/>
  <c r="E461" i="3"/>
  <c r="E453" i="3"/>
  <c r="E122" i="3"/>
  <c r="E253" i="3"/>
  <c r="N370" i="46"/>
  <c r="G26" i="43"/>
  <c r="B15" i="71"/>
  <c r="B14" i="71" s="1"/>
  <c r="B13" i="71" s="1"/>
  <c r="B12" i="71" s="1"/>
  <c r="S16" i="71"/>
  <c r="F66" i="71"/>
  <c r="Q67" i="71"/>
  <c r="D55" i="71"/>
  <c r="C56" i="71"/>
  <c r="AC38" i="40"/>
  <c r="W38" i="40"/>
  <c r="AA44" i="39"/>
  <c r="S44" i="39"/>
  <c r="AA26" i="37"/>
  <c r="S26" i="37"/>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43" i="71"/>
  <c r="C44" i="71"/>
  <c r="U39" i="40"/>
  <c r="AB39" i="40"/>
  <c r="AB38" i="40"/>
  <c r="U38" i="40"/>
  <c r="AB26" i="37"/>
  <c r="U26" i="37"/>
  <c r="AC25" i="37"/>
  <c r="W25" i="37"/>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6" i="1"/>
  <c r="F41" i="81"/>
  <c r="AE7" i="1"/>
  <c r="F41" i="80"/>
  <c r="F41" i="67"/>
  <c r="F24" i="81" l="1"/>
  <c r="C24" i="81" s="1"/>
  <c r="L36" i="82"/>
  <c r="F69" i="81"/>
  <c r="C53" i="81"/>
  <c r="C48" i="81" s="1"/>
  <c r="C10" i="81"/>
  <c r="C5" i="81" s="1"/>
  <c r="J26" i="81"/>
  <c r="J29" i="81" s="1"/>
  <c r="J24" i="81"/>
  <c r="F69" i="80"/>
  <c r="C53" i="80"/>
  <c r="C48" i="80" s="1"/>
  <c r="C10" i="80"/>
  <c r="C5" i="80" s="1"/>
  <c r="L36" i="43"/>
  <c r="L37" i="43" s="1"/>
  <c r="F24" i="80"/>
  <c r="J24" i="80"/>
  <c r="J26" i="80"/>
  <c r="J29" i="80" s="1"/>
  <c r="E65" i="39"/>
  <c r="T44" i="71"/>
  <c r="D44" i="71"/>
  <c r="T56" i="71"/>
  <c r="D56" i="71"/>
  <c r="C14" i="71"/>
  <c r="D15" i="71"/>
  <c r="Q66" i="71"/>
  <c r="Q65"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F25" i="12"/>
  <c r="F22" i="69"/>
  <c r="F41" i="69" s="1"/>
  <c r="F24" i="67"/>
  <c r="C24" i="67" s="1"/>
  <c r="F22" i="11"/>
  <c r="F22" i="68"/>
  <c r="F24" i="15"/>
  <c r="C24" i="15" s="1"/>
  <c r="F41" i="15"/>
  <c r="M27" i="67"/>
  <c r="M27" i="15"/>
  <c r="D116" i="43" l="1"/>
  <c r="C23" i="81"/>
  <c r="C29" i="81" s="1"/>
  <c r="C57" i="81" s="1"/>
  <c r="C64" i="81" s="1"/>
  <c r="Q36" i="82"/>
  <c r="O36" i="82"/>
  <c r="M36" i="82"/>
  <c r="L37" i="82"/>
  <c r="P36" i="82"/>
  <c r="N36" i="82"/>
  <c r="C38" i="15"/>
  <c r="Q36" i="43"/>
  <c r="M36" i="43"/>
  <c r="P36" i="43"/>
  <c r="O36" i="43"/>
  <c r="N36" i="43"/>
  <c r="C66" i="81"/>
  <c r="C60" i="81"/>
  <c r="C38" i="81"/>
  <c r="C66" i="80"/>
  <c r="C60" i="80"/>
  <c r="C24" i="80"/>
  <c r="C23" i="80"/>
  <c r="C3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Q37" i="82" l="1"/>
  <c r="O37" i="82"/>
  <c r="M37" i="82"/>
  <c r="P37" i="82"/>
  <c r="N37" i="82"/>
  <c r="J14" i="81"/>
  <c r="J22" i="81" s="1"/>
  <c r="J59" i="81"/>
  <c r="J60" i="81" s="1"/>
  <c r="L46" i="81" s="1"/>
  <c r="Q49" i="81"/>
  <c r="C13" i="81"/>
  <c r="Q70" i="81" s="1"/>
  <c r="C36" i="81"/>
  <c r="C75" i="81"/>
  <c r="J13" i="81"/>
  <c r="J23" i="81" s="1"/>
  <c r="C29" i="80"/>
  <c r="C57" i="80" s="1"/>
  <c r="C64" i="80"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Q48" i="81" l="1"/>
  <c r="C37" i="81"/>
  <c r="J14" i="80"/>
  <c r="J22" i="80" s="1"/>
  <c r="C56" i="81"/>
  <c r="C65" i="81" s="1"/>
  <c r="J59" i="80"/>
  <c r="J60" i="80" s="1"/>
  <c r="L46" i="80" s="1"/>
  <c r="Q49" i="80"/>
  <c r="C13" i="80"/>
  <c r="Q70" i="80" s="1"/>
  <c r="C36" i="80"/>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F7" i="21"/>
  <c r="J48" i="35"/>
  <c r="C5" i="68" l="1"/>
  <c r="C23" i="68" s="1"/>
  <c r="Q48" i="80"/>
  <c r="J13" i="80"/>
  <c r="J23" i="80" s="1"/>
  <c r="C75" i="80"/>
  <c r="C56" i="80"/>
  <c r="C65" i="80" s="1"/>
  <c r="C37" i="80"/>
  <c r="J7" i="21"/>
  <c r="C10" i="71"/>
  <c r="D11"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9" i="68" l="1"/>
  <c r="C46" i="68" s="1"/>
  <c r="C45" i="68" s="1"/>
  <c r="C91" i="9"/>
  <c r="C20" i="68"/>
  <c r="C28" i="68" s="1"/>
  <c r="C27" i="68" s="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81"/>
  <c r="F35" i="80"/>
  <c r="F35" i="67"/>
  <c r="M21" i="67"/>
  <c r="F35" i="81"/>
  <c r="M21" i="80"/>
  <c r="F35" i="15"/>
  <c r="M21" i="15"/>
  <c r="C43" i="68" l="1"/>
  <c r="C41" i="68" s="1"/>
  <c r="C49" i="68" s="1"/>
  <c r="C51" i="68" s="1"/>
  <c r="C92" i="9"/>
  <c r="C94" i="9"/>
  <c r="C25" i="68"/>
  <c r="C22" i="68" s="1"/>
  <c r="C31" i="68" s="1"/>
  <c r="F63" i="81"/>
  <c r="C62" i="81" s="1"/>
  <c r="C59" i="81" s="1"/>
  <c r="C58" i="81" s="1"/>
  <c r="C67" i="81" s="1"/>
  <c r="C68" i="81" s="1"/>
  <c r="C34" i="81"/>
  <c r="C31" i="81" s="1"/>
  <c r="C30" i="81" s="1"/>
  <c r="C39" i="81" s="1"/>
  <c r="J20" i="81"/>
  <c r="J17" i="81" s="1"/>
  <c r="J16" i="81" s="1"/>
  <c r="J25" i="81" s="1"/>
  <c r="J20" i="80"/>
  <c r="J17" i="80" s="1"/>
  <c r="J16" i="80" s="1"/>
  <c r="J25" i="80" s="1"/>
  <c r="F63" i="80"/>
  <c r="C62" i="80" s="1"/>
  <c r="C59" i="80" s="1"/>
  <c r="C58" i="80" s="1"/>
  <c r="C67" i="80" s="1"/>
  <c r="C68" i="80" s="1"/>
  <c r="C34" i="80"/>
  <c r="C31" i="80" s="1"/>
  <c r="C30" i="80" s="1"/>
  <c r="C39" i="80"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Q69" i="81"/>
  <c r="Q68" i="81" s="1"/>
  <c r="C40" i="81"/>
  <c r="C46" i="81" s="1"/>
  <c r="C80" i="81"/>
  <c r="C79" i="81" s="1"/>
  <c r="C71" i="81"/>
  <c r="C71" i="80"/>
  <c r="Q69" i="80"/>
  <c r="Q68" i="80" s="1"/>
  <c r="C40" i="80"/>
  <c r="C80" i="80"/>
  <c r="C79" i="80"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34" i="9"/>
  <c r="L51" i="81"/>
  <c r="D2" i="21"/>
  <c r="D35" i="9"/>
  <c r="C20" i="9"/>
  <c r="L51" i="80"/>
  <c r="C102" i="9" l="1"/>
  <c r="C21" i="9"/>
  <c r="C103" i="9"/>
  <c r="Q67" i="81"/>
  <c r="Q47" i="81"/>
  <c r="Q53" i="81" s="1"/>
  <c r="Q65" i="81"/>
  <c r="Q75" i="81" s="1"/>
  <c r="Q56" i="81"/>
  <c r="Q62" i="81" s="1"/>
  <c r="C43" i="81"/>
  <c r="B2" i="81"/>
  <c r="B3" i="81" s="1"/>
  <c r="C83" i="81"/>
  <c r="C82" i="81" s="1"/>
  <c r="Q67" i="80"/>
  <c r="Q65" i="80"/>
  <c r="Q75" i="80" s="1"/>
  <c r="Q56" i="80"/>
  <c r="Q62" i="80" s="1"/>
  <c r="C43" i="80"/>
  <c r="Q47" i="80"/>
  <c r="Q53" i="80" s="1"/>
  <c r="B2" i="80"/>
  <c r="C83" i="80"/>
  <c r="C82" i="80" s="1"/>
  <c r="C46" i="80"/>
  <c r="C6" i="71"/>
  <c r="D7"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B3" i="80"/>
  <c r="I1" i="15"/>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7"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H118" i="9"/>
  <c r="C104" i="9" s="1"/>
  <c r="D118" i="9"/>
  <c r="D4" i="52" s="1"/>
  <c r="B47" i="72" s="1"/>
  <c r="F119" i="9" l="1"/>
  <c r="F5" i="52" s="1"/>
  <c r="B53" i="72" s="1"/>
  <c r="I118" i="9"/>
  <c r="C105" i="9" s="1"/>
  <c r="F4" i="52"/>
  <c r="B51" i="72" s="1"/>
  <c r="H102" i="9"/>
  <c r="D119" i="9"/>
  <c r="D5" i="52" s="1"/>
  <c r="B49" i="72" s="1"/>
  <c r="E118" i="9"/>
  <c r="E4" i="52" s="1"/>
  <c r="B48" i="72" s="1"/>
  <c r="H101" i="9"/>
  <c r="H119" i="9"/>
  <c r="H5" i="52" s="1"/>
  <c r="H4" i="52"/>
  <c r="I4" i="52" l="1"/>
  <c r="C5" i="74"/>
  <c r="D7" i="53"/>
  <c r="B21" i="72" s="1"/>
  <c r="M48" i="9"/>
  <c r="D45" i="9"/>
  <c r="D5" i="53"/>
  <c r="H107" i="9"/>
  <c r="D6" i="53" l="1"/>
  <c r="B22" i="72" s="1"/>
  <c r="B20" i="72"/>
  <c r="D13" i="53"/>
  <c r="H108" i="9"/>
  <c r="D122" i="9"/>
  <c r="M49" i="9"/>
  <c r="D53" i="9"/>
  <c r="D48" i="9" s="1"/>
  <c r="M52" i="9" s="1"/>
  <c r="D52" i="9"/>
  <c r="D55" i="9"/>
  <c r="M53" i="9" s="1"/>
  <c r="C78" i="9"/>
  <c r="C73" i="9" s="1"/>
  <c r="C93" i="9"/>
  <c r="C86" i="9" s="1"/>
  <c r="C72" i="9"/>
  <c r="C85" i="9"/>
  <c r="C64" i="9"/>
  <c r="C63" i="9" s="1"/>
  <c r="C67" i="9" s="1"/>
  <c r="C79" i="9" l="1"/>
  <c r="C95" i="9"/>
  <c r="C96" i="9" s="1"/>
  <c r="E96" i="9" s="1"/>
  <c r="E97" i="9" s="1"/>
  <c r="D59" i="9"/>
  <c r="M55" i="9" s="1"/>
  <c r="C68" i="9"/>
  <c r="D54" i="9" s="1"/>
  <c r="C80" i="9"/>
  <c r="E80" i="9" s="1"/>
  <c r="E81" i="9" s="1"/>
  <c r="L65" i="9"/>
  <c r="M65" i="9" s="1"/>
  <c r="L67" i="9"/>
  <c r="M67" i="9" s="1"/>
  <c r="L64" i="9"/>
  <c r="M64" i="9" s="1"/>
  <c r="L68" i="9"/>
  <c r="M68" i="9" s="1"/>
  <c r="L63" i="9"/>
  <c r="M63" i="9" s="1"/>
  <c r="L66" i="9"/>
  <c r="M66" i="9" s="1"/>
  <c r="C6" i="74"/>
  <c r="D15" i="53"/>
  <c r="B31" i="72" s="1"/>
  <c r="D123" i="9"/>
  <c r="D9" i="52" s="1"/>
  <c r="D8" i="52"/>
  <c r="B30" i="72"/>
  <c r="D14" i="53"/>
  <c r="B32" i="72" s="1"/>
  <c r="C97" i="9" l="1"/>
  <c r="D58" i="9" s="1"/>
  <c r="D56" i="9" s="1"/>
  <c r="M54" i="9" s="1"/>
  <c r="N57" i="9" s="1"/>
  <c r="N58" i="9" s="1"/>
  <c r="M69" i="9"/>
  <c r="N69" i="9" s="1"/>
  <c r="C81" i="9"/>
  <c r="N59" i="9" l="1"/>
  <c r="N61" i="9" s="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<sst xmlns="http://schemas.openxmlformats.org/spreadsheetml/2006/main" count="9043" uniqueCount="3460">
  <si>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</si>
  <si>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</si>
  <si>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</si>
  <si>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</si>
  <si>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</si>
  <si>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</si>
  <si>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</si>
  <si>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</si>
  <si>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</si>
  <si>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</si>
  <si>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</si>
  <si>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</si>
  <si>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</si>
  <si>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</si>
  <si>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</si>
  <si>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</si>
  <si>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</si>
  <si>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</si>
  <si>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</si>
  <si>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</si>
  <si>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</si>
  <si>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</si>
  <si>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</si>
  <si>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</si>
  <si>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</si>
  <si>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</si>
  <si>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</si>
  <si>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</si>
  <si>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</si>
  <si>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</si>
  <si>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</si>
  <si>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</si>
  <si>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</si>
  <si>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</si>
  <si>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</si>
  <si>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</si>
  <si>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</si>
  <si>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</si>
  <si>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</si>
  <si>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</si>
  <si>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</si>
  <si>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</si>
  <si>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</si>
  <si>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</si>
  <si>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</si>
  <si>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</si>
  <si>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</si>
  <si>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</si>
  <si>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</si>
  <si>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</si>
  <si>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</si>
  <si>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</si>
  <si>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</si>
  <si>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</si>
  <si>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</si>
  <si>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</si>
  <si>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</si>
  <si>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</si>
  <si>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</si>
  <si>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</si>
  <si>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</si>
  <si>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</si>
  <si>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</si>
  <si>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</si>
  <si>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</si>
  <si>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</si>
  <si>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</si>
  <si>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</si>
  <si>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</si>
  <si>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</si>
  <si>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</si>
  <si>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</si>
  <si>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</si>
  <si>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</si>
  <si>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</si>
  <si>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</si>
  <si>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</si>
  <si>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</si>
  <si>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</si>
  <si>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</si>
  <si>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</si>
  <si>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</si>
  <si>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</si>
  <si>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</si>
  <si>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</si>
  <si>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</si>
  <si>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</si>
  <si>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</si>
  <si>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</si>
  <si>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</si>
  <si>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</si>
  <si>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</si>
  <si>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</si>
  <si>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</si>
  <si>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</si>
  <si>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</si>
  <si>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</si>
  <si>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</si>
  <si>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</si>
  <si>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</si>
  <si>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</si>
  <si>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</si>
  <si>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</si>
  <si>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</si>
  <si>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</si>
  <si>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</si>
  <si>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</si>
  <si>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</si>
  <si>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</si>
  <si>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</si>
  <si>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</si>
  <si>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</si>
  <si>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</si>
  <si>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</si>
  <si>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</si>
  <si>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</si>
  <si>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</si>
  <si>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</si>
  <si>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</si>
  <si>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</si>
  <si>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</si>
  <si>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</si>
  <si>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</si>
  <si>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</si>
  <si>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</si>
  <si>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</si>
  <si>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</si>
  <si>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</si>
  <si>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</si>
  <si>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</si>
  <si>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</si>
  <si>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</si>
  <si>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</si>
  <si>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</si>
  <si>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</si>
  <si>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</si>
  <si>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</si>
  <si>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</si>
  <si>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</si>
  <si>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</si>
  <si>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</si>
  <si>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</si>
  <si>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</si>
  <si>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</si>
  <si>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</si>
  <si>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</si>
  <si>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</si>
  <si>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</si>
  <si>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</si>
  <si>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</si>
  <si>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</si>
  <si>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</si>
  <si>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</si>
  <si>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</si>
  <si>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</si>
  <si>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</si>
  <si>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</si>
  <si>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</si>
  <si>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</si>
  <si>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</si>
  <si>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</si>
  <si>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</si>
  <si>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</si>
  <si>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</si>
  <si>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</si>
  <si>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</si>
  <si>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</si>
  <si>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</si>
  <si>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</si>
  <si>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</si>
  <si>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</si>
  <si>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</si>
  <si>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</si>
  <si>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</si>
  <si>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</si>
  <si>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</si>
  <si>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</si>
  <si>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</si>
  <si>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</si>
  <si>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</si>
  <si>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</si>
  <si>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</si>
  <si>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</si>
  <si>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</si>
  <si>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</si>
  <si>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</si>
  <si>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</si>
  <si>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</si>
  <si>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</si>
  <si>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</si>
  <si>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</si>
  <si>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</si>
  <si>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</si>
  <si>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</si>
  <si>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</si>
  <si>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</si>
  <si>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</si>
  <si>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</si>
  <si>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</si>
  <si>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</si>
  <si>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</si>
  <si>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</si>
  <si>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</si>
  <si>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</si>
  <si>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</si>
  <si>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</si>
  <si>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</si>
  <si>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</si>
  <si>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</si>
  <si>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</si>
  <si>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</si>
  <si>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</si>
  <si>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</si>
  <si>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</si>
  <si>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</si>
  <si>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</si>
  <si>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</si>
  <si>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</si>
  <si>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</si>
  <si>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</si>
  <si>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</si>
  <si>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</si>
  <si>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</si>
  <si>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</si>
  <si>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</si>
  <si>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</si>
  <si>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</si>
  <si>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</si>
  <si>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</si>
  <si>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</si>
  <si>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</si>
  <si>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</si>
  <si>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</si>
  <si>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</si>
  <si>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</si>
  <si>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</si>
  <si>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</si>
  <si>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</si>
  <si>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</si>
  <si>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</si>
  <si>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</si>
  <si>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</si>
  <si>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</si>
  <si>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</si>
  <si>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</si>
  <si>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</si>
  <si>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</si>
  <si>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</si>
  <si>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</si>
  <si>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</si>
  <si>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</si>
  <si>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</si>
  <si>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</si>
  <si>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</si>
  <si>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</si>
  <si>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</si>
  <si>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</si>
  <si>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</si>
  <si>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</si>
  <si>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</si>
  <si>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</si>
  <si>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</si>
  <si>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</si>
  <si>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</si>
  <si>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</si>
  <si>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</si>
  <si>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</si>
  <si>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</si>
  <si>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</si>
  <si>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</si>
  <si>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</si>
  <si>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</si>
  <si>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</si>
  <si>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</si>
  <si>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</si>
  <si>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</si>
  <si>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</si>
  <si>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</si>
  <si>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</si>
  <si>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</si>
  <si>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</si>
  <si>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</si>
  <si>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</si>
  <si>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</si>
  <si>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</si>
  <si>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</si>
  <si>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</si>
  <si>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</si>
  <si>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</si>
  <si>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</si>
  <si>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</si>
  <si>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</si>
  <si>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</si>
  <si>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</si>
  <si>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</si>
  <si>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</si>
  <si>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</si>
  <si>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</si>
  <si>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</si>
  <si>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</si>
  <si>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</si>
  <si>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</si>
  <si>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</si>
  <si>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</si>
  <si>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</si>
  <si>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</si>
  <si>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</si>
  <si>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</si>
  <si>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</si>
  <si>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</si>
  <si>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</si>
  <si>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</si>
  <si>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</si>
  <si>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</si>
  <si>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</si>
  <si>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</si>
  <si>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</si>
  <si>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</si>
  <si>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</si>
  <si>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</si>
  <si>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</si>
  <si>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</si>
  <si>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</si>
  <si>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</si>
  <si>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</si>
  <si>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</si>
  <si>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</si>
  <si>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</si>
  <si>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</si>
  <si>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</si>
  <si>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</si>
  <si>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</si>
  <si>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</si>
  <si>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</si>
  <si>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</si>
  <si>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</si>
  <si>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</si>
  <si>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</si>
  <si>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</si>
  <si>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</si>
  <si>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</si>
  <si>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</si>
  <si>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</si>
  <si>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</si>
  <si>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</si>
  <si>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</si>
  <si>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</si>
  <si>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</si>
  <si>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</si>
  <si>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</si>
  <si>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</si>
  <si>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</si>
  <si>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</si>
  <si>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</si>
  <si>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</si>
  <si>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</si>
  <si>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</si>
  <si>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</si>
  <si>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</si>
  <si>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</si>
  <si>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</si>
  <si>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</si>
  <si>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</si>
  <si>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</si>
  <si>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</si>
  <si>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</si>
  <si>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</si>
  <si>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</si>
  <si>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</si>
  <si>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</si>
  <si>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</si>
  <si>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</si>
  <si>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</si>
  <si>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</si>
  <si>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</si>
  <si>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</si>
  <si>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</si>
  <si>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</si>
  <si>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</si>
  <si>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</si>
  <si>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</si>
  <si>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</si>
  <si>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</si>
  <si>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</si>
  <si>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</si>
  <si>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</si>
  <si>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</si>
  <si>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</si>
  <si>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</si>
  <si>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</si>
  <si>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</si>
  <si>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</si>
  <si>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</si>
  <si>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</si>
  <si>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</si>
  <si>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</si>
  <si>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</si>
  <si>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</si>
  <si>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</si>
  <si>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</si>
  <si>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</si>
  <si>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</si>
  <si>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</si>
  <si>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</si>
  <si>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</si>
  <si>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</si>
  <si>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</si>
  <si>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</si>
  <si>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</si>
  <si>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</si>
  <si>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</si>
  <si>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</si>
  <si>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</si>
  <si>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</si>
  <si>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</si>
  <si>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</si>
  <si>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</si>
  <si>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</si>
  <si>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</si>
  <si>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</si>
  <si>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</si>
  <si>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</si>
  <si>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</si>
  <si>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</si>
  <si>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</si>
  <si>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</si>
  <si>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</si>
  <si>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</si>
  <si>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</si>
  <si>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</si>
  <si>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</si>
  <si>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</si>
  <si>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</si>
  <si>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</si>
  <si>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</si>
  <si>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</si>
  <si>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</si>
  <si>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</si>
  <si>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</si>
  <si>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</si>
  <si>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</si>
  <si>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</si>
  <si>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</si>
  <si>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</si>
  <si>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</si>
  <si>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</si>
  <si>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</si>
  <si>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</si>
  <si>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</si>
  <si>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</si>
  <si>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</si>
  <si>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</si>
  <si>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</si>
  <si>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</si>
  <si>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</si>
  <si>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</si>
  <si>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</si>
  <si>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</si>
  <si>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</si>
  <si>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</si>
  <si>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</si>
  <si>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</si>
  <si>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</si>
  <si>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</si>
  <si>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</si>
  <si>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</si>
  <si>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</si>
  <si>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</si>
  <si>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</si>
  <si>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</si>
  <si>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</si>
  <si>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</si>
  <si>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</si>
  <si>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</si>
  <si>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</si>
  <si>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</si>
  <si>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</si>
  <si>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</si>
  <si>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</si>
  <si>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</si>
  <si>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</si>
  <si>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</si>
  <si>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</si>
  <si>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</si>
  <si>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</si>
  <si>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</si>
  <si>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</si>
  <si>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</si>
  <si>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</si>
  <si>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</si>
  <si>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</si>
  <si>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</si>
  <si>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</si>
  <si>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</si>
  <si>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</si>
  <si>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</si>
  <si>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</si>
  <si>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</si>
  <si>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</si>
  <si>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</si>
  <si>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</si>
  <si>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</si>
  <si>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</si>
  <si>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</si>
  <si>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</si>
  <si>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</si>
  <si>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</si>
  <si>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</si>
  <si>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</si>
  <si>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</si>
  <si>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</si>
  <si>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</si>
  <si>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</si>
  <si>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</si>
  <si>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</si>
  <si>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</si>
  <si>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</si>
  <si>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</si>
  <si>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</si>
  <si>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</si>
  <si>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</si>
  <si>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</si>
  <si>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</si>
  <si>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</si>
  <si>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</si>
  <si>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</si>
  <si>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</si>
  <si>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</si>
  <si>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</si>
  <si>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</si>
  <si>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</si>
  <si>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</si>
  <si>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</si>
  <si>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</si>
  <si>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</si>
  <si>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</si>
  <si>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</si>
  <si>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</si>
  <si>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</si>
  <si>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</si>
  <si>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</si>
  <si>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</si>
  <si>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</si>
  <si>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</si>
  <si>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</si>
  <si>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</si>
  <si>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</si>
  <si>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</si>
  <si>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</si>
  <si>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</si>
  <si>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</si>
  <si>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</si>
  <si>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</si>
  <si>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</si>
  <si>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</si>
  <si>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</si>
  <si>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</si>
  <si>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</si>
  <si>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</si>
  <si>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</si>
  <si>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</si>
  <si>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</si>
  <si>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</si>
  <si>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</si>
  <si>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</si>
  <si>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</si>
  <si>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</si>
  <si>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</si>
  <si>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</si>
  <si>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</si>
  <si>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</si>
  <si>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</si>
  <si>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</si>
  <si>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</si>
  <si>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</si>
  <si>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</si>
  <si>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</si>
  <si>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</si>
  <si>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</si>
  <si>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</si>
  <si>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</si>
  <si>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</si>
  <si>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</si>
  <si>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</si>
  <si>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</si>
  <si>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</si>
  <si>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</si>
  <si>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</si>
  <si>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</si>
  <si>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</si>
  <si>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</si>
  <si>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</si>
  <si>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</si>
  <si>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</si>
  <si>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</si>
  <si>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</si>
  <si>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</si>
  <si>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</si>
  <si>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</si>
  <si>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</si>
  <si>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</si>
  <si>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</si>
  <si>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</si>
  <si>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</si>
  <si>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</si>
  <si>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</si>
  <si>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</si>
  <si>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</si>
  <si>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</si>
  <si>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</si>
  <si>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</si>
  <si>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</si>
  <si>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</si>
  <si>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</si>
  <si>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</si>
  <si>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</si>
  <si>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</si>
  <si>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</si>
  <si>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</si>
  <si>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</si>
  <si>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</si>
  <si>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</si>
  <si>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</si>
  <si>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</si>
  <si>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</si>
  <si>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</si>
  <si>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</si>
  <si>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</si>
  <si>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</si>
  <si>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</si>
  <si>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</si>
  <si>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</si>
  <si>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</si>
  <si>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</si>
  <si>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</si>
  <si>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</si>
  <si>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</si>
  <si>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</si>
  <si>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</si>
  <si>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</si>
  <si>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</si>
  <si>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</si>
  <si>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</si>
  <si>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</si>
  <si>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</si>
  <si>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</si>
  <si>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</si>
  <si>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</si>
  <si>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</si>
  <si>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</si>
  <si>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</si>
  <si>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</si>
  <si>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</si>
  <si>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</si>
  <si>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</si>
  <si>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</si>
  <si>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</si>
  <si>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</si>
  <si>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</si>
  <si>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</si>
  <si>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</si>
  <si>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</si>
  <si>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</si>
  <si>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</si>
  <si>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</si>
  <si>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</si>
  <si>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</si>
  <si>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</si>
  <si>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</si>
  <si>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</si>
  <si>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</si>
  <si>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</si>
  <si>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</si>
  <si>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</si>
  <si>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</si>
  <si>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</si>
  <si>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</si>
  <si>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</si>
  <si>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</si>
  <si>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</si>
  <si>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</si>
  <si>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</si>
  <si>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</si>
  <si>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</si>
  <si>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</si>
  <si>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</si>
  <si>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</si>
  <si>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</si>
  <si>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</si>
  <si>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</si>
  <si>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</si>
  <si>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</si>
  <si>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</si>
  <si>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</si>
  <si>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</si>
  <si>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</si>
  <si>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</si>
  <si>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</si>
  <si>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</si>
  <si>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</si>
  <si>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</si>
  <si>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</si>
  <si>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</si>
  <si>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</si>
  <si>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</si>
  <si>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</si>
  <si>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</si>
  <si>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</si>
  <si>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</si>
  <si>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</si>
  <si>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</si>
  <si>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</si>
  <si>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</si>
  <si>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</si>
  <si>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</si>
  <si>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</si>
  <si>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</si>
  <si>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</si>
  <si>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</si>
  <si>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</si>
  <si>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</si>
  <si>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</si>
  <si>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</si>
  <si>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</si>
  <si>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</si>
  <si>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</si>
  <si>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</si>
  <si>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</si>
  <si>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</si>
  <si>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</si>
  <si>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</si>
  <si>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</si>
  <si>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</si>
  <si>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</si>
  <si>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</si>
  <si>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</si>
  <si>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</si>
  <si>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</si>
  <si>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</si>
  <si>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</si>
  <si>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</si>
  <si>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</si>
  <si>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</si>
  <si>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</si>
  <si>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</si>
  <si>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</si>
  <si>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</si>
  <si>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</si>
  <si>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</si>
  <si>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</si>
  <si>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</si>
  <si>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</si>
  <si>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</si>
  <si>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</si>
  <si>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</si>
  <si>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</si>
  <si>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</si>
  <si>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</si>
  <si>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</si>
  <si>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</si>
  <si>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</si>
  <si>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</si>
  <si>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</si>
  <si>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</si>
  <si>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</si>
  <si>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</si>
  <si>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</si>
  <si>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</si>
  <si>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</si>
  <si>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</si>
  <si>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</si>
  <si>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</si>
  <si>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</si>
  <si>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</si>
  <si>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</si>
  <si>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</si>
  <si>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</si>
  <si>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</si>
  <si>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</si>
  <si>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</si>
  <si>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</si>
  <si>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</si>
  <si>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</si>
  <si>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</si>
  <si>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</si>
  <si>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</si>
  <si>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</si>
  <si>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</si>
  <si>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</si>
  <si>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</si>
  <si>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</si>
  <si>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</si>
  <si>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</si>
  <si>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</si>
  <si>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</si>
  <si>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</si>
  <si>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</si>
  <si>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</si>
  <si>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</si>
  <si>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</si>
  <si>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</si>
  <si>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</si>
  <si>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</si>
  <si>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</si>
  <si>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</si>
  <si>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</si>
  <si>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</si>
  <si>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</si>
  <si>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</si>
  <si>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</si>
  <si>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</si>
  <si>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</si>
  <si>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</si>
  <si>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</si>
  <si>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</si>
  <si>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</si>
  <si>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</si>
  <si>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</si>
  <si>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</si>
  <si>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</si>
  <si>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</si>
  <si>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</si>
  <si>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</si>
  <si>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</si>
  <si>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</si>
  <si>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</si>
  <si>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</si>
  <si>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</si>
  <si>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</si>
  <si>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</si>
  <si>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</si>
  <si>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</si>
  <si>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</si>
  <si>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</si>
  <si>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</si>
  <si>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</si>
  <si>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</si>
  <si>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</si>
  <si>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</si>
  <si>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</si>
  <si>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</si>
  <si>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</si>
  <si>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</si>
  <si>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</si>
  <si>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</si>
  <si>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</si>
  <si>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</si>
  <si>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</si>
  <si>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</si>
  <si>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</si>
  <si>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</si>
  <si>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</si>
  <si>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</si>
  <si>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</si>
  <si>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</si>
  <si>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</si>
  <si>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</si>
  <si>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</si>
  <si>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</si>
  <si>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</si>
  <si>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</si>
  <si>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</si>
  <si>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</si>
  <si>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</si>
  <si>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</si>
  <si>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</si>
  <si>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</si>
  <si>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</si>
  <si>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</si>
  <si>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</si>
  <si>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</si>
  <si>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</si>
  <si>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</si>
  <si>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</si>
  <si>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</si>
  <si>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</si>
  <si>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</si>
  <si>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</si>
  <si>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</si>
  <si>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</si>
  <si>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</si>
  <si>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</si>
  <si>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</si>
  <si>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</si>
  <si>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</si>
  <si>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</si>
  <si>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</si>
  <si>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</si>
  <si>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</si>
  <si>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</si>
  <si>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</si>
  <si>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</si>
  <si>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</si>
  <si>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</si>
  <si>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</si>
  <si>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</si>
  <si>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</si>
  <si>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</si>
  <si>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</si>
  <si>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</si>
  <si>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</si>
  <si>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</si>
  <si>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</si>
  <si>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</si>
  <si>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</si>
  <si>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</si>
  <si>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</si>
  <si>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</si>
  <si>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</si>
  <si>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</si>
  <si>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</si>
  <si>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</si>
  <si>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</si>
  <si>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</si>
  <si>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</si>
  <si>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</si>
  <si>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</si>
  <si>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</si>
  <si>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</si>
  <si>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</si>
  <si>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</si>
  <si>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</si>
  <si>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</si>
  <si>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</si>
  <si>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</si>
  <si>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</si>
  <si>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</si>
  <si>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</si>
  <si>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</si>
  <si>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</si>
  <si>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</si>
  <si>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</si>
  <si>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</si>
  <si>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</si>
  <si>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</si>
  <si>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</si>
  <si>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</si>
  <si>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</si>
  <si>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</si>
  <si>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</si>
  <si>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</si>
  <si>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</si>
  <si>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</si>
  <si>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</si>
  <si>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</si>
  <si>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</si>
  <si>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</si>
  <si>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</si>
  <si>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</si>
  <si>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</si>
  <si>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</si>
  <si>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</si>
  <si>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</si>
  <si>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</si>
  <si>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</si>
  <si>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</si>
  <si>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</si>
  <si>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</si>
  <si>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</si>
  <si>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</si>
  <si>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</si>
  <si>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</si>
  <si>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</si>
  <si>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</si>
  <si>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</si>
  <si>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</si>
  <si>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</si>
  <si>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</si>
  <si>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</si>
  <si>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</si>
  <si>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</si>
  <si>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</si>
  <si>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</si>
  <si>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</si>
  <si>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</si>
  <si>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</si>
  <si>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</si>
  <si>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</si>
  <si>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</si>
  <si>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</si>
  <si>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</si>
  <si>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</si>
  <si>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</si>
  <si>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</si>
  <si>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</si>
  <si>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</si>
  <si>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</si>
  <si>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</si>
  <si>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</si>
  <si>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</si>
  <si>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</si>
  <si>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</si>
  <si>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</si>
  <si>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</si>
  <si>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</si>
  <si>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</si>
  <si>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</si>
  <si>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</si>
  <si>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</si>
  <si>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</si>
  <si>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</si>
  <si>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</si>
  <si>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</si>
  <si>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</si>
  <si>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</si>
  <si>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</si>
  <si>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</si>
  <si>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</si>
  <si>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</si>
  <si>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</si>
  <si>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</si>
  <si>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</si>
  <si>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</si>
  <si>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</si>
  <si>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</si>
  <si>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</si>
  <si>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</si>
  <si>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</si>
  <si>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</si>
  <si>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</si>
  <si>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</si>
  <si>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</si>
  <si>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</si>
  <si>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</si>
  <si>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</si>
  <si>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</si>
  <si>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</si>
  <si>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</si>
  <si>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</si>
  <si>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</si>
  <si>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</si>
  <si>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</si>
  <si>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</si>
  <si>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</si>
  <si>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</si>
  <si>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</si>
  <si>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</si>
  <si>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</si>
  <si>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</si>
  <si>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</si>
  <si>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</si>
  <si>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</si>
  <si>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</si>
  <si>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</si>
  <si>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</si>
  <si>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</si>
  <si>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</si>
  <si>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</si>
  <si>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</si>
  <si>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</si>
  <si>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</si>
  <si>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</si>
  <si>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</si>
  <si>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</si>
  <si>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</si>
  <si>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</si>
  <si>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</si>
  <si>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</si>
  <si>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</si>
  <si>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</si>
  <si>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</si>
  <si>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</si>
  <si>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</si>
  <si>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</si>
  <si>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</si>
  <si>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</si>
  <si>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</si>
  <si>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</si>
  <si>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</si>
  <si>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</si>
  <si>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</si>
  <si>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</si>
  <si>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</si>
  <si>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</si>
  <si>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</si>
  <si>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</si>
  <si>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</si>
  <si>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</si>
  <si>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</si>
  <si>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</si>
  <si>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</si>
  <si>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</si>
  <si>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</si>
  <si>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</si>
  <si>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</si>
  <si>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</si>
  <si>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</si>
  <si>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</si>
  <si>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</si>
  <si>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</si>
  <si>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</si>
  <si>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</si>
  <si>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</si>
  <si>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</si>
  <si>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</si>
  <si>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</si>
  <si>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</si>
  <si>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</si>
  <si>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</si>
  <si>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</si>
  <si>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</si>
  <si>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</si>
  <si>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</si>
  <si>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</si>
  <si>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</si>
  <si>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</si>
  <si>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</si>
  <si>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</si>
  <si>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</si>
  <si>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</si>
  <si>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</si>
  <si>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</si>
  <si>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</si>
  <si>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</si>
  <si>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</si>
  <si>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</si>
  <si>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</si>
  <si>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</si>
  <si>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</si>
  <si>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</si>
  <si>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</si>
  <si>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</si>
  <si>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</si>
  <si>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</si>
  <si>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</si>
  <si>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</si>
  <si>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</si>
  <si>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</si>
  <si>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</si>
  <si>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</si>
  <si>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</si>
  <si>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</si>
  <si>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</si>
  <si>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</si>
  <si>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</si>
  <si>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</si>
  <si>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</si>
  <si>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</si>
  <si>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</si>
  <si>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</si>
  <si>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</si>
  <si>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</si>
  <si>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</si>
  <si>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</si>
  <si>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</si>
  <si>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</si>
  <si>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</si>
  <si>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</si>
  <si>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</si>
  <si>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</si>
  <si>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</si>
  <si>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</si>
  <si>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</si>
  <si>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</si>
  <si>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</si>
  <si>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</si>
  <si>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</si>
  <si>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</si>
  <si>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</si>
  <si>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</si>
  <si>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</si>
  <si>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</si>
  <si>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</si>
  <si>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</si>
  <si>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</si>
  <si>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</si>
  <si>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</si>
  <si>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</si>
  <si>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</si>
  <si>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</si>
  <si>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</si>
  <si>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</si>
  <si>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</si>
  <si>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</si>
  <si>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</si>
  <si>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</si>
  <si>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</si>
  <si>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</si>
  <si>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</si>
  <si>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</si>
  <si>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</si>
  <si>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</si>
  <si>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</si>
  <si>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</si>
  <si>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</si>
  <si>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</si>
  <si>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</si>
  <si>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</si>
  <si>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</si>
  <si>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</si>
  <si>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</si>
  <si>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</si>
  <si>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</si>
  <si>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</si>
  <si>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</si>
  <si>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</si>
  <si>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</si>
  <si>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</si>
  <si>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</si>
  <si>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</si>
  <si>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</si>
  <si>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</si>
  <si>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</si>
  <si>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</si>
  <si>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</si>
  <si>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</si>
  <si>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</si>
  <si>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</si>
  <si>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</si>
  <si>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</si>
  <si>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</si>
  <si>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</si>
  <si>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</si>
  <si>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</si>
  <si>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</si>
  <si>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</si>
  <si>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</si>
  <si>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</si>
  <si>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</si>
  <si>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</si>
  <si>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</si>
  <si>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</si>
  <si>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</si>
  <si>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</si>
  <si>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</si>
  <si>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</si>
  <si>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</si>
  <si>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</si>
  <si>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</si>
  <si>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</si>
  <si>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</si>
  <si>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</si>
  <si>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</si>
  <si>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</si>
  <si>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</si>
  <si>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</si>
  <si>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</si>
  <si>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</si>
  <si>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</si>
  <si>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</si>
  <si>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</si>
  <si>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</si>
  <si>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</si>
  <si>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</si>
  <si>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</si>
  <si>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</si>
  <si>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</si>
  <si>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</si>
  <si>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</si>
  <si>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</si>
  <si>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</si>
  <si>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</si>
  <si>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</si>
  <si>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</si>
  <si>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</si>
  <si>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</si>
  <si>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</si>
  <si>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</si>
  <si>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</si>
  <si>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</si>
  <si>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</si>
  <si>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</si>
  <si>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</si>
  <si>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</si>
  <si>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</si>
  <si>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</si>
  <si>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</si>
  <si>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</si>
  <si>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</si>
  <si>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</si>
  <si>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</si>
  <si>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</si>
  <si>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</si>
  <si>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</si>
  <si>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</si>
  <si>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</si>
  <si>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</si>
  <si>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</si>
  <si>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</si>
  <si>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</si>
  <si>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</si>
  <si>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</si>
  <si>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</si>
  <si>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</si>
  <si>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</si>
  <si>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</si>
  <si>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</si>
  <si>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</si>
  <si>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</si>
  <si>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</si>
  <si>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</si>
  <si>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</si>
  <si>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</si>
  <si>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</si>
  <si>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</si>
  <si>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</si>
  <si>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</si>
  <si>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</si>
  <si>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</si>
  <si>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</si>
  <si>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</si>
  <si>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</si>
  <si>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</si>
  <si>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</si>
  <si>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</si>
  <si>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</si>
  <si>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</si>
  <si>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</si>
  <si>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</si>
  <si>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</si>
  <si>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</si>
  <si>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</si>
  <si>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</si>
  <si>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</si>
  <si>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</si>
  <si>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</si>
  <si>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</si>
  <si>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</si>
  <si>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</si>
  <si>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</si>
  <si>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</si>
  <si>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</si>
  <si>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</si>
  <si>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</si>
  <si>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</si>
  <si>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</si>
  <si>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</si>
  <si>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</si>
  <si>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</si>
  <si>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</si>
  <si>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</si>
  <si>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</si>
  <si>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</si>
  <si>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</si>
  <si>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</si>
  <si>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</si>
  <si>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</si>
  <si>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</si>
  <si>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</si>
  <si>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</si>
  <si>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</si>
  <si>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</si>
  <si>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</si>
  <si>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</si>
  <si>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</si>
  <si>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</si>
  <si>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</si>
  <si>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</si>
  <si>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</si>
  <si>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</si>
  <si>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</si>
  <si>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</si>
  <si>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</si>
  <si>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</si>
  <si>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</si>
  <si>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</si>
  <si>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</si>
  <si>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</si>
  <si>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</si>
  <si>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</si>
  <si>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</si>
  <si>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</si>
  <si>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</si>
  <si>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</si>
  <si>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</si>
  <si>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</si>
  <si>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</si>
  <si>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</si>
  <si>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</si>
  <si>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</si>
  <si>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</si>
  <si>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</si>
  <si>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</si>
  <si>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</si>
  <si>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</si>
  <si>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</si>
  <si>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</si>
  <si>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</si>
  <si>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</si>
  <si>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</si>
  <si>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</si>
  <si>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</si>
  <si>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</si>
  <si>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</si>
  <si>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</si>
  <si>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</si>
  <si>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</si>
  <si>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</si>
  <si>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</si>
  <si>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</si>
  <si>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</si>
  <si>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</si>
  <si>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</si>
  <si>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</si>
  <si>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</si>
  <si>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</si>
  <si>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</si>
  <si>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</si>
  <si>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</si>
  <si>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</si>
  <si>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</si>
  <si>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</si>
  <si>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</si>
  <si>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</si>
  <si>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</si>
  <si>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</si>
  <si>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</si>
  <si>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</si>
  <si>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</si>
  <si>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</si>
  <si>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</si>
  <si>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</si>
  <si>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</si>
  <si>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</si>
  <si>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</si>
  <si>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</si>
  <si>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</si>
  <si>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</si>
  <si>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</si>
  <si>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</si>
  <si>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</si>
  <si>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</si>
  <si>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</si>
  <si>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</si>
  <si>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</si>
  <si>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</si>
  <si>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</si>
  <si>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</si>
  <si>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</si>
  <si>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</si>
  <si>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</si>
  <si>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</si>
  <si>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</si>
  <si>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</si>
  <si>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</si>
  <si>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</si>
  <si>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</si>
  <si>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</si>
  <si>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</si>
  <si>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</si>
  <si>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</si>
  <si>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</si>
  <si>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</si>
  <si>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</si>
  <si>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</si>
  <si>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</si>
  <si>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</si>
  <si>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</si>
  <si>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</si>
  <si>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</si>
  <si>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</si>
  <si>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</si>
  <si>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</si>
  <si>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</si>
  <si>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</si>
  <si>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</si>
  <si>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</si>
  <si>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</si>
  <si>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</si>
  <si>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</si>
  <si>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</si>
  <si>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</si>
  <si>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</si>
  <si>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</si>
  <si>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</si>
  <si>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</si>
  <si>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</si>
  <si>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</si>
  <si>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</si>
  <si>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</si>
  <si>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</si>
  <si>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</si>
  <si>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</si>
  <si>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</si>
  <si>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</si>
  <si>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</si>
  <si>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</si>
  <si>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</si>
  <si>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</si>
  <si>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</si>
  <si>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</si>
  <si>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</si>
  <si>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</si>
  <si>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</si>
  <si>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</si>
  <si>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</si>
  <si>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</si>
  <si>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</si>
  <si>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</si>
  <si>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</si>
  <si>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</si>
  <si>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</si>
  <si>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</si>
  <si>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</si>
  <si>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</si>
  <si>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</si>
  <si>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</si>
  <si>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</si>
  <si>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</si>
  <si>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</si>
  <si>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</si>
  <si>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</si>
  <si>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</si>
  <si>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</si>
  <si>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</si>
  <si>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</si>
  <si>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</si>
  <si>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</si>
  <si>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</si>
  <si>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</si>
  <si>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</si>
  <si>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</si>
  <si>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</si>
  <si>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</si>
  <si>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</si>
  <si>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</si>
  <si>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</si>
  <si>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</si>
  <si>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</si>
  <si>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</si>
  <si>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</si>
  <si>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</si>
  <si>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</si>
  <si>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</si>
  <si>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</si>
  <si>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</si>
  <si>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</si>
  <si>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</si>
  <si>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</si>
  <si>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</si>
  <si>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</si>
  <si>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</si>
  <si>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</si>
  <si>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</si>
  <si>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</si>
  <si>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</si>
  <si>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</si>
  <si>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</si>
  <si>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</si>
  <si>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</si>
  <si>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</si>
  <si>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</si>
  <si>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</si>
  <si>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</si>
  <si>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</si>
  <si>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</si>
  <si>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</si>
  <si>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</si>
  <si>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</si>
  <si>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</si>
  <si>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</si>
  <si>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</si>
  <si>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</si>
  <si>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</si>
  <si>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</si>
  <si>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</si>
  <si>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</si>
  <si>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</si>
  <si>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</si>
  <si>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</si>
  <si>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</si>
  <si>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</si>
  <si>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</si>
  <si>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</si>
  <si>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</si>
  <si>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</si>
  <si>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</si>
  <si>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</si>
  <si>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</si>
  <si>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</si>
  <si>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</si>
  <si>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</si>
  <si>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</si>
  <si>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</si>
  <si>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</si>
  <si>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</si>
  <si>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</si>
  <si>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</si>
  <si>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</si>
  <si>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</si>
  <si>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</si>
  <si>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</si>
  <si>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</si>
  <si>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</si>
  <si>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</si>
  <si>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</si>
  <si>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</si>
  <si>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</si>
  <si>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</si>
  <si>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</si>
  <si>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</si>
  <si>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</si>
  <si>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</si>
  <si>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</si>
  <si>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</si>
  <si>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</si>
  <si>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</si>
  <si>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</si>
  <si>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</si>
  <si>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</si>
  <si>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</si>
  <si>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</si>
  <si>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</si>
  <si>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</si>
  <si>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</si>
  <si>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</si>
  <si>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</si>
  <si>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</si>
  <si>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</si>
  <si>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</si>
  <si>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</si>
  <si>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</si>
  <si>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</si>
  <si>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</si>
  <si>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</si>
  <si>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</si>
  <si>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</si>
  <si>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</si>
  <si>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</si>
  <si>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</si>
  <si>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</si>
  <si>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</si>
  <si>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</si>
  <si>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</si>
  <si>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</si>
  <si>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</si>
  <si>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</si>
  <si>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</si>
  <si>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</si>
  <si>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</si>
  <si>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</si>
  <si>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</si>
  <si>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</si>
  <si>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</si>
  <si>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</si>
  <si>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</si>
  <si>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</si>
  <si>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</si>
  <si>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</si>
  <si>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</si>
  <si>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</si>
  <si>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</si>
  <si>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</si>
  <si>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</si>
  <si>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</si>
  <si>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</si>
  <si>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</si>
  <si>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</si>
  <si>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</si>
  <si>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</si>
  <si>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</si>
  <si>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</si>
  <si>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</si>
  <si>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</si>
  <si>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</si>
  <si>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</si>
  <si>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</si>
  <si>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</si>
  <si>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</si>
  <si>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</si>
  <si>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</si>
  <si>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</si>
  <si>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</si>
  <si>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</si>
  <si>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</si>
  <si>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</si>
  <si>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</si>
  <si>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</si>
  <si>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</si>
  <si>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</si>
  <si>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</si>
  <si>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</si>
  <si>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</si>
  <si>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</si>
  <si>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</si>
  <si>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</si>
  <si>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</si>
  <si>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</si>
  <si>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</si>
  <si>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</si>
  <si>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</si>
  <si>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</si>
  <si>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</si>
  <si>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</si>
  <si>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</si>
  <si>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</si>
  <si>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</si>
  <si>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</si>
  <si>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</si>
  <si>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</si>
  <si>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</si>
  <si>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</si>
  <si>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</si>
  <si>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</si>
  <si>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</si>
  <si>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</si>
  <si>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</si>
  <si>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</si>
  <si>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</si>
  <si>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</si>
  <si>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</si>
  <si>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</si>
  <si>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</si>
  <si>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</si>
  <si>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</si>
  <si>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</si>
  <si>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</si>
  <si>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</si>
  <si>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</si>
  <si>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</si>
  <si>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</si>
  <si>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</si>
  <si>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</si>
  <si>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</si>
  <si>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</si>
  <si>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</si>
  <si>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</si>
  <si>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</si>
  <si>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</si>
  <si>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</si>
  <si>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</si>
  <si>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</si>
  <si>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</si>
  <si>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</si>
  <si>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</si>
  <si>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</si>
  <si>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</si>
  <si>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</si>
  <si>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</si>
  <si>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</si>
  <si>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</si>
  <si>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</si>
  <si>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</si>
  <si>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</si>
  <si>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</si>
  <si>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</si>
  <si>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</si>
  <si>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</si>
  <si>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</si>
  <si>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</si>
  <si>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</si>
  <si>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</si>
  <si>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</si>
  <si>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</si>
  <si>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</si>
  <si>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</si>
  <si>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</si>
  <si>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</si>
  <si>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</si>
  <si>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</si>
  <si>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</si>
  <si>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</si>
  <si>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</si>
  <si>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</si>
  <si>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</si>
  <si>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</si>
  <si>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</si>
  <si>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</si>
  <si>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</si>
  <si>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</si>
  <si>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</si>
  <si>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</si>
  <si>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</si>
  <si>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</si>
  <si>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</si>
  <si>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</si>
  <si>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</si>
  <si>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</si>
  <si>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</si>
  <si>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</si>
  <si>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</si>
  <si>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</si>
  <si>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</si>
  <si>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</si>
  <si>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</si>
  <si>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</si>
  <si>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</si>
  <si>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</si>
  <si>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</si>
  <si>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</si>
  <si>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</si>
  <si>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</si>
  <si>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</si>
  <si>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</si>
  <si>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</si>
  <si>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</si>
  <si>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</si>
  <si>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</si>
  <si>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</si>
  <si>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</si>
  <si>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</si>
  <si>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</si>
  <si>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</si>
  <si>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</si>
  <si>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</si>
  <si>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</si>
  <si>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</si>
  <si>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</si>
  <si>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</si>
  <si>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</si>
  <si>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</si>
  <si>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</si>
  <si>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</si>
  <si>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</si>
  <si>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</si>
  <si>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</si>
  <si>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</si>
  <si>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</si>
  <si>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</si>
  <si>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</si>
  <si>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</si>
  <si>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</si>
  <si>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</si>
  <si>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</si>
  <si>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</si>
  <si>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</si>
  <si>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</si>
  <si>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</si>
  <si>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</si>
  <si>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</si>
  <si>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</si>
  <si>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</si>
  <si>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</si>
  <si>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</si>
  <si>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</si>
  <si>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</si>
  <si>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</si>
  <si>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</si>
  <si>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</si>
  <si>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</si>
  <si>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</si>
  <si>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</si>
  <si>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</si>
  <si>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</si>
  <si>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</si>
  <si>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</si>
  <si>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</si>
  <si>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</si>
  <si>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</si>
  <si>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</si>
  <si>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</si>
  <si>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</si>
  <si>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</si>
  <si>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</si>
  <si>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</si>
  <si>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</si>
  <si>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</si>
  <si>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</si>
  <si>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</si>
  <si>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</si>
  <si>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</si>
  <si>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</si>
  <si>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</si>
  <si>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</si>
  <si>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</si>
  <si>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</si>
  <si>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</si>
  <si>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</si>
  <si>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</si>
  <si>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</si>
  <si>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</si>
  <si>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</si>
  <si>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</si>
  <si>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</si>
  <si>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</si>
  <si>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</si>
  <si>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</si>
  <si>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</si>
  <si>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</si>
  <si>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</si>
  <si>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</si>
  <si>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</si>
  <si>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</si>
  <si>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</si>
  <si>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</si>
  <si>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</si>
  <si>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</si>
  <si>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</si>
  <si>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</si>
  <si>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</si>
  <si>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</si>
  <si>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</si>
  <si>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</si>
  <si>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</si>
  <si>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</si>
  <si>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</si>
  <si>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</si>
  <si>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</si>
  <si>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</si>
  <si>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</si>
  <si>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</si>
  <si>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</si>
  <si>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</si>
  <si>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</si>
  <si>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</si>
  <si>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</si>
  <si>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</si>
  <si>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</si>
  <si>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</si>
  <si>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</si>
  <si>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</si>
  <si>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</si>
  <si>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</si>
  <si>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</si>
  <si>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</si>
  <si>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</si>
  <si>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</si>
  <si>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</si>
  <si>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</si>
  <si>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</si>
  <si>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</si>
  <si>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</si>
  <si>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</si>
  <si>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</si>
  <si>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</si>
  <si>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</si>
  <si>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</si>
  <si>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</si>
  <si>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</si>
  <si>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</si>
  <si>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</si>
  <si>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</si>
  <si>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</si>
  <si>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</si>
  <si>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</si>
  <si>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</si>
  <si>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</si>
  <si>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</si>
  <si>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</si>
  <si>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</si>
  <si>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</si>
  <si>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</si>
  <si>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</si>
  <si>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</si>
  <si>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</si>
  <si>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</si>
  <si>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</si>
  <si>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</si>
  <si>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</si>
  <si>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</si>
  <si>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</si>
  <si>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</si>
  <si>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</si>
  <si>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</si>
  <si>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</si>
  <si>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</si>
  <si>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</si>
  <si>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</si>
  <si>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</si>
  <si>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</si>
  <si>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</si>
  <si>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</si>
  <si>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</si>
  <si>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</si>
  <si>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</si>
  <si>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</si>
  <si>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</si>
  <si>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</si>
  <si>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</si>
  <si>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</si>
  <si>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</si>
  <si>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</si>
  <si>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</si>
  <si>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</si>
  <si>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</si>
  <si>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</si>
  <si>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</si>
  <si>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</si>
  <si>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</si>
  <si>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</si>
  <si>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</si>
  <si>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</si>
  <si>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</si>
  <si>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</si>
  <si>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</si>
  <si>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</si>
  <si>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</si>
  <si>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</si>
  <si>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</si>
  <si>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</si>
  <si>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</si>
  <si>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</si>
  <si>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</si>
  <si>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</si>
  <si>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</si>
  <si>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</si>
  <si>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</si>
  <si>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</si>
  <si>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</si>
  <si>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</si>
  <si>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</si>
  <si>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</si>
  <si>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</si>
  <si>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</si>
  <si>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</si>
  <si>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</si>
  <si>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</si>
  <si>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</si>
  <si>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</si>
  <si>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</si>
  <si>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</si>
  <si>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</si>
  <si>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</si>
  <si>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</si>
  <si>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</si>
  <si>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</si>
  <si>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</si>
  <si>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</si>
  <si>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</si>
  <si>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</si>
  <si>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</si>
  <si>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</si>
  <si>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</si>
  <si>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</si>
  <si>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</si>
  <si>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</si>
  <si>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</si>
  <si>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</si>
  <si>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</si>
  <si>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</si>
  <si>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</si>
  <si>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</si>
  <si>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</si>
  <si>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</si>
  <si>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</si>
  <si>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</si>
  <si>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</si>
  <si>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</si>
  <si>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</si>
  <si>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</si>
  <si>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</si>
  <si>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</si>
  <si>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</si>
  <si>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</si>
  <si>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</si>
  <si>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</si>
  <si>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</si>
  <si>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</si>
  <si>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</si>
  <si>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</si>
  <si>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</si>
  <si>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</si>
  <si>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</si>
  <si>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</si>
  <si>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</si>
  <si>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</si>
  <si>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</si>
  <si>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</si>
  <si>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</si>
  <si>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</si>
  <si>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</si>
  <si>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</si>
  <si>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</si>
  <si>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</si>
  <si>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</si>
  <si>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</si>
  <si>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</si>
  <si>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</si>
  <si>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</si>
  <si>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</si>
  <si>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</si>
  <si>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</si>
  <si>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</si>
  <si>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</si>
  <si>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</si>
  <si>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</si>
  <si>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</si>
  <si>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</si>
  <si>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</si>
  <si>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</si>
  <si>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</si>
  <si>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</si>
  <si>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</si>
  <si>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</si>
  <si>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</si>
  <si>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</si>
  <si>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</si>
  <si>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</si>
  <si>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</si>
  <si>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</si>
  <si>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</si>
  <si>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</si>
  <si>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</si>
  <si>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</si>
  <si>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</si>
  <si>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</si>
  <si>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</si>
  <si>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</si>
  <si>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</si>
  <si>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</si>
  <si>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</si>
  <si>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</si>
  <si>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</si>
  <si>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</si>
  <si>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</si>
  <si>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</si>
  <si>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</si>
  <si>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</si>
  <si>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</si>
  <si>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</si>
  <si>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</si>
  <si>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</si>
  <si>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</si>
  <si>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</si>
  <si>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</si>
  <si>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</si>
  <si>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</si>
  <si>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</si>
  <si>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</si>
  <si>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</si>
  <si>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</si>
  <si>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</si>
  <si>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</si>
  <si>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</si>
  <si>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</si>
  <si>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</si>
  <si>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</si>
  <si>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</si>
  <si>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</si>
  <si>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</si>
  <si>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</si>
  <si>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</si>
  <si>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</si>
  <si>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</si>
  <si>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</si>
  <si>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</si>
  <si>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</si>
  <si>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</si>
  <si>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</si>
  <si>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</si>
  <si>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</si>
  <si>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</si>
  <si>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</si>
  <si>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</si>
  <si>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</si>
  <si>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</si>
  <si>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</si>
  <si>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</si>
  <si>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</si>
  <si>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</si>
  <si>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</si>
  <si>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</si>
  <si>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</si>
  <si>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</si>
  <si>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</si>
  <si>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</si>
  <si>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</si>
  <si>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</si>
  <si>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</si>
  <si>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</si>
  <si>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</si>
  <si>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</si>
  <si>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</si>
  <si>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</si>
  <si>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</si>
  <si>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</si>
  <si>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</si>
  <si>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</si>
  <si>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</si>
  <si>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</si>
  <si>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</si>
  <si>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</si>
  <si>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</si>
  <si>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</si>
  <si>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</si>
  <si>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</si>
  <si>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</si>
  <si>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</si>
  <si>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</si>
  <si>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</si>
  <si>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</si>
  <si>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</si>
  <si>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</si>
  <si>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</si>
  <si>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</si>
  <si>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</si>
  <si>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</si>
  <si>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</si>
  <si>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</si>
  <si>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</si>
  <si>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</si>
  <si>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</si>
  <si>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</si>
  <si>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</si>
  <si>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</si>
  <si>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</si>
  <si>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</si>
  <si>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</si>
  <si>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</si>
  <si>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</si>
  <si>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</si>
  <si>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</si>
  <si>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</si>
  <si>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</si>
  <si>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</si>
  <si>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</si>
  <si>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</si>
  <si>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</si>
  <si>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</si>
  <si>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</si>
  <si>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</si>
  <si>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</si>
  <si>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</si>
  <si>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</si>
  <si>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</si>
  <si>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</si>
  <si>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</si>
  <si>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</si>
  <si>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</si>
  <si>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</si>
  <si>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</si>
  <si>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</si>
  <si>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</si>
  <si>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</si>
  <si>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</si>
  <si>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</si>
  <si>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</si>
  <si>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</si>
  <si>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</si>
  <si>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</si>
  <si>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</si>
  <si>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</si>
  <si>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</si>
  <si>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</si>
  <si>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</si>
  <si>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</si>
  <si>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</si>
  <si>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</si>
  <si>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</si>
  <si>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</si>
  <si>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</si>
  <si>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</si>
  <si>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</si>
  <si>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</si>
  <si>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</si>
  <si>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</si>
  <si>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</si>
  <si>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</si>
  <si>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</si>
  <si>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</si>
  <si>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</si>
  <si>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</si>
  <si>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</si>
  <si>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</si>
  <si>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</si>
  <si>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</si>
  <si>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</si>
  <si>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</si>
  <si>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</si>
  <si>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</si>
  <si>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</si>
  <si>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</si>
  <si>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</si>
  <si>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</si>
  <si>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</si>
  <si>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</si>
  <si>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</si>
  <si>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</si>
  <si>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</si>
  <si>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</si>
  <si>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</si>
  <si>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</si>
  <si>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</si>
  <si>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</si>
  <si>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</si>
  <si>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</si>
  <si>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</si>
  <si>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</si>
  <si>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</si>
  <si>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</si>
  <si>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</si>
  <si>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</si>
  <si>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</si>
  <si>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</si>
  <si>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</si>
  <si>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</si>
  <si>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</si>
  <si>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</si>
  <si>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</si>
  <si>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</si>
  <si>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</si>
  <si>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</si>
  <si>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</si>
  <si>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</si>
  <si>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</si>
  <si>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</si>
  <si>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</si>
  <si>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</si>
  <si>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</si>
  <si>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</si>
  <si>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</si>
  <si>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</si>
  <si>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</si>
  <si>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</si>
  <si>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</si>
  <si>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</si>
  <si>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</si>
  <si>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</si>
  <si>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</si>
  <si>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</si>
  <si>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</si>
  <si>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</si>
  <si>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</si>
  <si>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</si>
  <si>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</si>
  <si>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</si>
  <si>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</si>
  <si>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</si>
  <si>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</si>
  <si>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</si>
  <si>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</si>
  <si>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</si>
  <si>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</si>
  <si>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</si>
  <si>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</si>
  <si>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</si>
  <si>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</si>
  <si>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</si>
  <si>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</si>
  <si>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</si>
  <si>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</si>
  <si>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</si>
  <si>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</si>
  <si>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</si>
  <si>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</si>
  <si>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</si>
  <si>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</si>
  <si>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</si>
  <si>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</si>
  <si>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</si>
  <si>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</si>
  <si>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</si>
  <si>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</si>
  <si>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</si>
  <si>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</si>
  <si>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</si>
  <si>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</si>
  <si>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</si>
  <si>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</si>
  <si>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</si>
  <si>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</si>
  <si>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</si>
  <si>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</si>
  <si>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</si>
  <si>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</si>
  <si>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</si>
  <si>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</si>
  <si>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</si>
  <si>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</si>
  <si>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</si>
  <si>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</si>
  <si>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</si>
  <si>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</si>
  <si>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</si>
  <si>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</si>
  <si>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</si>
  <si>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</si>
  <si>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</si>
  <si>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</si>
  <si>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</si>
  <si>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</si>
  <si>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</si>
  <si>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</si>
  <si>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</si>
  <si>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</si>
  <si>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</si>
  <si>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</si>
  <si>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</si>
  <si>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</si>
  <si>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</si>
  <si>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</si>
  <si>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</si>
  <si>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</si>
  <si>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</si>
  <si>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</si>
  <si>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</si>
  <si>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</si>
  <si>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</si>
  <si>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</si>
  <si>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</si>
  <si>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</si>
  <si>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</si>
  <si>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</si>
  <si>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</si>
  <si>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</si>
  <si>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</si>
  <si>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</si>
  <si>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</si>
  <si>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</si>
  <si>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</si>
  <si>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</si>
  <si>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</si>
  <si>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</si>
  <si>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</si>
  <si>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</si>
  <si>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</si>
  <si>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</si>
  <si>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</si>
  <si>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</si>
  <si>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</si>
  <si>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</si>
  <si>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</si>
  <si>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</si>
  <si>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</si>
  <si>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</si>
  <si>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</si>
  <si>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</si>
  <si>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</si>
  <si>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</si>
  <si>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</si>
  <si>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</si>
  <si>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</si>
  <si>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</si>
  <si>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</si>
  <si>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</si>
  <si>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</si>
  <si>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</si>
  <si>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</si>
  <si>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</si>
  <si>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</si>
  <si>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</si>
  <si>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</si>
  <si>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</si>
  <si>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</si>
  <si>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</si>
  <si>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</si>
  <si>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</si>
  <si>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</si>
  <si>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</si>
  <si>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</si>
  <si>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</si>
  <si>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</si>
  <si>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</si>
  <si>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</si>
  <si>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</si>
  <si>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</si>
  <si>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</si>
  <si>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</si>
  <si>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</si>
  <si>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</si>
  <si>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</si>
  <si>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</si>
  <si>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</si>
  <si>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</si>
  <si>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</si>
  <si>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</si>
  <si>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</si>
  <si>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</si>
  <si>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</si>
  <si>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</si>
  <si>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</si>
  <si>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</si>
  <si>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</si>
  <si>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</si>
  <si>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</si>
  <si>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</si>
  <si>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</si>
  <si>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</si>
  <si>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</si>
  <si>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</si>
  <si>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</si>
  <si>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</si>
  <si>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</si>
  <si>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</si>
  <si>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</si>
  <si>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</si>
  <si>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</si>
  <si>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</si>
  <si>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</si>
  <si>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</si>
  <si>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</si>
  <si>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</si>
  <si>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</si>
  <si>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</si>
  <si>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</si>
  <si>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</si>
  <si>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</si>
  <si>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</si>
  <si>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</si>
  <si>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</si>
  <si>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</si>
  <si>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</si>
  <si>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</si>
  <si>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</si>
  <si>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</si>
  <si>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</si>
  <si>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</si>
  <si>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</si>
  <si>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</si>
  <si>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</si>
  <si>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</si>
  <si>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</si>
  <si>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</si>
  <si>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</si>
  <si>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</si>
  <si>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</si>
  <si>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</si>
  <si>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</si>
  <si>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</si>
  <si>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</si>
  <si>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</si>
  <si>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</si>
  <si>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</si>
  <si>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</si>
  <si>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</si>
  <si>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</si>
  <si>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</si>
  <si>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</si>
  <si>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</si>
  <si>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</si>
  <si>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</si>
  <si>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</si>
  <si>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</si>
  <si>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</si>
  <si>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</si>
  <si>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</si>
  <si>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</si>
  <si>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</si>
  <si>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</si>
  <si>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</si>
  <si>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</si>
  <si>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</si>
  <si>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</si>
  <si>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</si>
  <si>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</si>
  <si>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</si>
  <si>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</si>
  <si>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</si>
  <si>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</si>
  <si>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</si>
  <si>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</si>
  <si>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</si>
  <si>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</si>
  <si>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</si>
  <si>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</si>
  <si>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</si>
  <si>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</si>
  <si>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</si>
  <si>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</si>
  <si>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</si>
  <si>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</si>
  <si>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</si>
  <si>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</si>
  <si>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</si>
  <si>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</si>
  <si>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</si>
  <si>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</si>
  <si>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</si>
  <si>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</si>
  <si>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</si>
  <si>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</si>
  <si>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</si>
  <si>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</si>
  <si>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</si>
  <si>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</si>
  <si>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</si>
  <si>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</si>
  <si>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</si>
  <si>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</si>
  <si>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</si>
  <si>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</si>
  <si>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</si>
  <si>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</si>
  <si>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</si>
  <si>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</si>
  <si>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</si>
  <si>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</si>
  <si>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</si>
  <si>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</si>
  <si>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</si>
  <si>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</si>
  <si>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</si>
  <si>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</si>
  <si>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</si>
  <si>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</si>
  <si>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</si>
  <si>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</si>
  <si>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</si>
  <si>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</si>
  <si>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</si>
  <si>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</si>
  <si>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</si>
  <si>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</si>
  <si>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</si>
  <si>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</si>
  <si>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</si>
  <si>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</si>
  <si>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</si>
  <si>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</si>
  <si>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</si>
  <si>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</si>
  <si>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</si>
  <si>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</si>
  <si>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</si>
  <si>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</si>
  <si>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</si>
  <si>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</si>
  <si>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</si>
  <si>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</si>
  <si>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</si>
  <si>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</si>
  <si>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</si>
  <si>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</si>
  <si>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</si>
  <si>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</si>
  <si>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</si>
  <si>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</si>
  <si>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</si>
  <si>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</si>
  <si>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</si>
  <si>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</si>
  <si>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</si>
  <si>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</si>
  <si>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</si>
  <si>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</si>
  <si>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</si>
  <si>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</si>
  <si>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</si>
  <si>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</si>
  <si>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</si>
  <si>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</si>
  <si>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</si>
  <si>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</si>
  <si>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</si>
  <si>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</si>
  <si>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</si>
  <si>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</si>
  <si>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</si>
  <si>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</si>
  <si>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</si>
  <si>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</si>
  <si>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</si>
  <si>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</si>
  <si>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</si>
  <si>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</si>
  <si>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</si>
  <si>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</si>
  <si>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</si>
  <si>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</si>
  <si>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</si>
  <si>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</si>
  <si>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</si>
  <si>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</si>
  <si>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</si>
  <si>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</si>
  <si>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</si>
  <si>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</si>
  <si>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</si>
  <si>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</si>
  <si>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</si>
  <si>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</si>
  <si>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</si>
  <si>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</si>
  <si>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</si>
  <si>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</si>
  <si>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</si>
  <si>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</si>
  <si>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</si>
  <si>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</si>
  <si>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</si>
  <si>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</si>
  <si>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</si>
  <si>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</si>
  <si>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</si>
  <si>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</si>
  <si>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</si>
  <si>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</si>
  <si>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</si>
  <si>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</si>
  <si>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</si>
  <si>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</si>
  <si>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</si>
  <si>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</si>
  <si>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</si>
  <si>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</si>
  <si>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</si>
  <si>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</si>
  <si>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</si>
  <si>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</si>
  <si>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</si>
  <si>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</si>
  <si>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</si>
  <si>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</si>
  <si>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</si>
  <si>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</si>
  <si>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</si>
  <si>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</si>
  <si>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</si>
  <si>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</si>
  <si>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</si>
  <si>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</si>
  <si>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</si>
  <si>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</si>
  <si>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</si>
  <si>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</si>
  <si>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</si>
  <si>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</si>
  <si>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</si>
  <si>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</si>
  <si>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</si>
  <si>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</si>
  <si>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</si>
  <si>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</si>
  <si>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</si>
  <si>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</si>
  <si>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</si>
  <si>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</si>
  <si>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</si>
  <si>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</si>
  <si>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</si>
  <si>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</si>
  <si>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</si>
  <si>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</si>
  <si>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</si>
  <si>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</si>
  <si>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</si>
  <si>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</si>
  <si>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</si>
  <si>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</si>
  <si>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</si>
  <si>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</si>
  <si>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</si>
  <si>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</si>
  <si>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</si>
  <si>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</si>
  <si>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</si>
  <si>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</si>
  <si>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</si>
  <si>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</si>
  <si>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</si>
  <si>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</si>
  <si>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</si>
  <si>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</si>
  <si>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</si>
  <si>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</si>
  <si>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</si>
  <si>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</si>
  <si>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</si>
  <si>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</si>
  <si>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</si>
  <si>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</si>
  <si>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</si>
  <si>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</si>
  <si>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</si>
  <si>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</si>
  <si>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</si>
  <si>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</si>
  <si>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</si>
  <si>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</si>
  <si>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</si>
  <si>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</si>
  <si>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</si>
  <si>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</si>
  <si>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</si>
  <si>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</si>
  <si>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</si>
  <si>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</si>
  <si>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</si>
  <si>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</si>
  <si>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</si>
  <si>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</si>
  <si>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</si>
  <si>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</si>
  <si>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</si>
  <si>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</si>
  <si>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</si>
  <si>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</si>
  <si>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</si>
  <si>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</si>
  <si>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</si>
  <si>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</si>
  <si>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</si>
  <si>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</si>
  <si>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</si>
  <si>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</si>
  <si>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</si>
  <si>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</si>
  <si>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</si>
  <si>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</si>
  <si>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</si>
  <si>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</si>
  <si>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</si>
  <si>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</si>
  <si>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</si>
  <si>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</si>
  <si>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</si>
  <si>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</si>
  <si>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</si>
  <si>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</si>
  <si>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</si>
  <si>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</si>
  <si>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</si>
  <si>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</si>
  <si>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</si>
  <si>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</si>
  <si>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</si>
  <si>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</si>
  <si>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</si>
  <si>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</si>
  <si>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</si>
  <si>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</si>
  <si>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</si>
  <si>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</si>
  <si>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</si>
  <si>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</si>
  <si>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</si>
  <si>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</si>
  <si>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</si>
  <si>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</si>
  <si>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</si>
  <si>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</si>
  <si>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</si>
  <si>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</si>
  <si>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</si>
  <si>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</si>
  <si>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</si>
  <si>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</si>
  <si>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</si>
  <si>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</si>
  <si>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</si>
  <si>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</si>
  <si>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</si>
  <si>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</si>
  <si>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</si>
  <si>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</si>
  <si>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</si>
  <si>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</si>
  <si>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</si>
  <si>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</si>
  <si>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</si>
  <si>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</si>
  <si>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</si>
  <si>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</si>
  <si>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</si>
  <si>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</si>
  <si>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</si>
  <si>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</si>
  <si>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</si>
  <si>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</si>
  <si>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</si>
  <si>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</si>
  <si>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</si>
  <si>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</si>
  <si>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</si>
  <si>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</si>
  <si>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</si>
  <si>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</si>
  <si>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</si>
  <si>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</si>
  <si>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</si>
  <si>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</si>
  <si>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</si>
  <si>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</si>
  <si>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</si>
  <si>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</si>
  <si>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</si>
  <si>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</si>
  <si>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</si>
  <si>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</si>
  <si>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</si>
  <si>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</si>
  <si>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</si>
  <si>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</si>
  <si>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</si>
  <si>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</si>
  <si>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</si>
  <si>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</si>
  <si>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</si>
  <si>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</si>
  <si>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</si>
  <si>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</si>
  <si>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</si>
  <si>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</si>
  <si>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</si>
  <si>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</si>
  <si>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</si>
  <si>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</si>
  <si>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</si>
  <si>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</si>
  <si>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</si>
  <si>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</si>
  <si>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</si>
  <si>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</si>
  <si>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</si>
  <si>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</si>
  <si>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</si>
  <si>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</si>
  <si>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</si>
  <si>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</si>
  <si>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</si>
  <si>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</si>
  <si>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</si>
  <si>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</si>
  <si>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</si>
  <si>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</si>
  <si>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</si>
  <si>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</si>
  <si>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</si>
  <si>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</si>
  <si>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</si>
  <si>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</si>
  <si>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</si>
  <si>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</si>
  <si>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</si>
  <si>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</si>
  <si>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</si>
  <si>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</si>
  <si>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</si>
  <si>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</si>
  <si>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</si>
  <si>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</si>
  <si>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</si>
  <si>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</si>
  <si>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</si>
  <si>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</si>
  <si>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</si>
  <si>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</si>
  <si>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</si>
  <si>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</si>
  <si>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</si>
  <si>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</si>
  <si>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</si>
  <si>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</si>
  <si>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</si>
  <si>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</si>
  <si>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</si>
  <si>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</si>
  <si>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</si>
  <si>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</si>
  <si>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</si>
  <si>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</si>
  <si>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</si>
  <si>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</si>
  <si>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</si>
  <si>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</si>
  <si>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</si>
  <si>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</si>
  <si>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</si>
  <si>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</si>
  <si>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</si>
  <si>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</si>
  <si>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</si>
  <si>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</si>
  <si>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</si>
  <si>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</si>
  <si>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</si>
  <si>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</si>
  <si>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</si>
  <si>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</si>
  <si>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</si>
  <si>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</si>
  <si>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</si>
  <si>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</si>
  <si>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</si>
  <si>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</si>
  <si>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</si>
  <si>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</si>
  <si>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</si>
  <si>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</si>
  <si>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</si>
  <si>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</si>
  <si>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</si>
  <si>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</si>
  <si>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</si>
  <si>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</si>
  <si>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</si>
  <si>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</si>
  <si>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</si>
  <si>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</si>
  <si>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</si>
  <si>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</si>
  <si>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</si>
  <si>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</si>
  <si>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</si>
  <si>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</si>
  <si>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</si>
  <si>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</si>
  <si>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</si>
  <si>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</si>
  <si>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</si>
  <si>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</si>
  <si>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</si>
  <si>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</si>
  <si>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</si>
  <si>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</si>
  <si>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</si>
  <si>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</si>
  <si>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</si>
  <si>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</si>
  <si>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</si>
  <si>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</si>
  <si>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</si>
  <si>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</si>
  <si>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</si>
  <si>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</si>
  <si>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</si>
  <si>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</si>
  <si>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</si>
  <si>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</si>
  <si>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</si>
  <si>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</si>
  <si>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</si>
  <si>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</si>
  <si>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</si>
  <si>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</si>
  <si>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</si>
  <si>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</si>
  <si>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</si>
  <si>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</si>
  <si>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</si>
  <si>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</si>
  <si>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</si>
  <si>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</si>
  <si>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</si>
  <si>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</si>
  <si>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</si>
  <si>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</si>
  <si>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</si>
  <si>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</si>
  <si>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</si>
  <si>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</si>
  <si>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</si>
  <si>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</si>
  <si>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</si>
  <si>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</si>
  <si>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</si>
  <si>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</si>
  <si>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</si>
  <si>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</si>
  <si>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</si>
  <si>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</si>
  <si>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</si>
  <si>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</si>
  <si>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</si>
  <si>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</si>
  <si>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</si>
  <si>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</si>
  <si>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</si>
  <si>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</si>
  <si>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</si>
  <si>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</si>
  <si>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</si>
  <si>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</si>
  <si>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</si>
  <si>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</si>
  <si>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</si>
  <si>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</si>
  <si>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</si>
  <si>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</si>
  <si>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</si>
  <si>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</si>
  <si>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</si>
  <si>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</si>
  <si>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</si>
  <si>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</si>
  <si>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</si>
  <si>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</si>
  <si>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</si>
  <si>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</si>
  <si>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</si>
  <si>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</si>
  <si>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</si>
  <si>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</si>
  <si>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</si>
  <si>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</si>
  <si>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</si>
  <si>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</si>
  <si>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</si>
  <si>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</si>
  <si>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</si>
  <si>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</si>
  <si>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</si>
  <si>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</si>
  <si>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</si>
  <si>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</si>
  <si>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</si>
  <si>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</si>
  <si>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</si>
  <si>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</si>
  <si>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</si>
  <si>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</si>
  <si>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</si>
  <si>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</si>
  <si>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</si>
  <si>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</si>
  <si>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</si>
  <si>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</si>
  <si>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</si>
  <si>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</si>
  <si>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</si>
  <si>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</si>
  <si>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</si>
  <si>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</si>
  <si>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</si>
  <si>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</si>
  <si>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</si>
  <si>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</si>
  <si>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</si>
  <si>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</si>
  <si>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</si>
  <si>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</si>
  <si>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</si>
  <si>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</si>
  <si>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</si>
  <si>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</si>
  <si>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</si>
  <si>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</si>
  <si>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</si>
  <si>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</si>
  <si>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</si>
  <si>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</si>
  <si>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</si>
  <si>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</si>
  <si>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</si>
  <si>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</si>
  <si>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</si>
  <si>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</si>
  <si>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</si>
  <si>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</si>
  <si>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</si>
  <si>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</si>
  <si>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</si>
  <si>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</si>
  <si>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</si>
  <si>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</si>
  <si>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</si>
  <si>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</si>
  <si>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</si>
  <si>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</si>
  <si>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</si>
  <si>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</si>
  <si>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</si>
  <si>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</si>
  <si>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</si>
  <si>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</si>
  <si>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</si>
  <si>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</si>
  <si>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</si>
  <si>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</si>
  <si>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</si>
  <si>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</si>
  <si>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</si>
  <si>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</si>
  <si>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</si>
  <si>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</si>
  <si>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</si>
  <si>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</si>
  <si>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</si>
  <si>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</si>
  <si>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</si>
  <si>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</si>
  <si>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</si>
  <si>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</si>
  <si>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</si>
  <si>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</si>
  <si>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</si>
  <si>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</si>
  <si>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</si>
  <si>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</si>
  <si>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</si>
  <si>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</si>
  <si>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</si>
  <si>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</si>
  <si>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</si>
  <si>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</si>
  <si>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</si>
  <si>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</si>
  <si>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</si>
  <si>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</si>
  <si>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</si>
  <si>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</si>
  <si>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</si>
  <si>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</si>
  <si>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</si>
  <si>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</si>
  <si>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</si>
  <si>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</si>
  <si>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</si>
  <si>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</si>
  <si>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</si>
  <si>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</si>
  <si>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</si>
  <si>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</si>
  <si>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</si>
  <si>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</si>
  <si>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</si>
  <si>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</si>
  <si>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</si>
  <si>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</si>
  <si>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</si>
  <si>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</si>
  <si>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</si>
  <si>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</si>
  <si>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</si>
  <si>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</si>
  <si>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</si>
  <si>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</si>
  <si>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</si>
  <si>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</si>
  <si>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</si>
  <si>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</si>
  <si>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</si>
  <si>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</si>
  <si>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</si>
  <si>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</si>
  <si>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</si>
  <si>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</si>
  <si>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</si>
  <si>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</si>
  <si>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</si>
  <si>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</si>
  <si>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</si>
  <si>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</si>
  <si>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</si>
  <si>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</si>
  <si>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</si>
  <si>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</si>
  <si>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</si>
  <si>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</si>
  <si>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</si>
  <si>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</si>
  <si>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</si>
  <si>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</si>
  <si>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</si>
  <si>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</si>
  <si>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</si>
  <si>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</si>
  <si>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</si>
  <si>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</si>
  <si>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</si>
  <si>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</si>
  <si>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</si>
  <si>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</si>
  <si>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</si>
  <si>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</si>
  <si>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</si>
  <si>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</si>
  <si>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</si>
  <si>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</si>
  <si>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</si>
  <si>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</si>
  <si>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</si>
  <si>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</si>
  <si>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</si>
  <si>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</si>
  <si>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</si>
  <si>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</si>
  <si>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</si>
  <si>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</si>
  <si>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</si>
  <si>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</si>
  <si>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</si>
  <si>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</si>
  <si>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</si>
  <si>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</si>
  <si>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</si>
  <si>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</si>
  <si>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</si>
  <si>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</si>
  <si>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</si>
  <si>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</si>
  <si>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</si>
  <si>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</si>
  <si>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</si>
  <si>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</si>
  <si>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</si>
  <si>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</si>
  <si>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</si>
  <si>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</si>
  <si>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</si>
  <si>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</si>
  <si>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</si>
  <si>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</si>
  <si>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</si>
  <si>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</si>
  <si>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</si>
  <si>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</si>
  <si>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</si>
  <si>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</si>
  <si>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</si>
  <si>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</si>
  <si>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</si>
  <si>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</si>
  <si>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</si>
  <si>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</si>
  <si>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</si>
  <si>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</si>
  <si>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</si>
  <si>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</si>
  <si>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</si>
  <si>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</si>
  <si>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</si>
  <si>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</si>
  <si>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</si>
  <si>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</si>
  <si>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</si>
  <si>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</si>
  <si>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</si>
  <si>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</si>
  <si>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</si>
  <si>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</si>
  <si>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</si>
  <si>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</si>
  <si>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</si>
  <si>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</si>
  <si>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</si>
  <si>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</si>
  <si>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</si>
  <si>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</si>
  <si>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</si>
  <si>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</si>
  <si>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</si>
  <si>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</si>
  <si>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</si>
  <si>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</si>
  <si>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</si>
  <si>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</si>
  <si>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</si>
  <si>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</si>
  <si>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</si>
  <si>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</si>
  <si>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</si>
  <si>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</si>
  <si>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</si>
  <si>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</si>
  <si>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</si>
  <si>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</si>
  <si>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</si>
  <si>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</si>
  <si>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</si>
  <si>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</si>
  <si>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</si>
  <si>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</si>
  <si>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</si>
  <si>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</si>
  <si>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</si>
  <si>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</si>
  <si>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</si>
  <si>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</si>
  <si>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</si>
  <si>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</si>
  <si>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</si>
  <si>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</si>
  <si>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</si>
  <si>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</si>
  <si>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</si>
  <si>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</si>
  <si>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</si>
  <si>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</si>
  <si>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</si>
  <si>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</si>
  <si>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</si>
  <si>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</si>
  <si>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</si>
  <si>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</si>
  <si>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</si>
  <si>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</si>
  <si>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</si>
  <si>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</si>
  <si>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</si>
  <si>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</si>
  <si>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</si>
  <si>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</si>
  <si>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</si>
  <si>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</si>
  <si>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</si>
  <si>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</si>
  <si>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</si>
  <si>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</si>
  <si>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</si>
  <si>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</si>
  <si>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</si>
  <si>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</si>
  <si>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</si>
  <si>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</si>
  <si>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</si>
  <si>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</si>
  <si>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</si>
  <si>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r>
      <rPr>
        <sz val="10"/>
        <color theme="9" tint="-0.249977111117893"/>
        <rFont val="宋体"/>
        <family val="3"/>
        <charset val="134"/>
      </rPr>
      <t>朝阳区安定路</t>
    </r>
    <r>
      <rPr>
        <sz val="10"/>
        <color theme="9" tint="-0.249977111117893"/>
        <rFont val="Arial"/>
        <family val="2"/>
      </rPr>
      <t>5</t>
    </r>
    <r>
      <rPr>
        <sz val="10"/>
        <color theme="9" tint="-0.249977111117893"/>
        <rFont val="宋体"/>
        <family val="3"/>
        <charset val="134"/>
      </rPr>
      <t>号院</t>
    </r>
    <phoneticPr fontId="6" type="noConversion"/>
  </si>
  <si>
    <t>企业</t>
  </si>
  <si>
    <t>是</t>
  </si>
  <si>
    <t>地上</t>
  </si>
  <si>
    <t>办公楼</t>
  </si>
  <si>
    <t>底商</t>
  </si>
  <si>
    <t>地下</t>
  </si>
  <si>
    <t>成新度</t>
  </si>
  <si>
    <t>建成</t>
    <phoneticPr fontId="3" type="noConversion"/>
  </si>
  <si>
    <t>总面积</t>
    <phoneticPr fontId="3" type="noConversion"/>
  </si>
  <si>
    <t>地上</t>
    <phoneticPr fontId="3" type="noConversion"/>
  </si>
  <si>
    <t>测绘总面积</t>
    <phoneticPr fontId="3" type="noConversion"/>
  </si>
  <si>
    <t>地下</t>
    <phoneticPr fontId="3" type="noConversion"/>
  </si>
  <si>
    <t>3#</t>
    <phoneticPr fontId="3" type="noConversion"/>
  </si>
  <si>
    <t>4#</t>
    <phoneticPr fontId="3" type="noConversion"/>
  </si>
  <si>
    <t>附属</t>
    <phoneticPr fontId="3" type="noConversion"/>
  </si>
  <si>
    <t>办公</t>
    <phoneticPr fontId="7" type="noConversion"/>
  </si>
  <si>
    <t>商业</t>
    <phoneticPr fontId="7" type="noConversion"/>
  </si>
  <si>
    <t>车库</t>
    <phoneticPr fontId="7" type="noConversion"/>
  </si>
  <si>
    <t>毛坯</t>
    <phoneticPr fontId="3" type="noConversion"/>
  </si>
  <si>
    <t>简装</t>
    <phoneticPr fontId="3" type="noConversion"/>
  </si>
  <si>
    <t>精装</t>
    <phoneticPr fontId="3" type="noConversion"/>
  </si>
  <si>
    <t>直线</t>
    <phoneticPr fontId="3" type="noConversion"/>
  </si>
  <si>
    <t>利息：取LPR加浮动点数</t>
  </si>
  <si>
    <t>较好</t>
  </si>
  <si>
    <t>较好</t>
    <phoneticPr fontId="40" type="noConversion"/>
  </si>
  <si>
    <t>较好</t>
    <phoneticPr fontId="24" type="noConversion"/>
  </si>
  <si>
    <t>较好</t>
    <phoneticPr fontId="40" type="noConversion"/>
  </si>
  <si>
    <t>七通</t>
    <phoneticPr fontId="24" type="noConversion"/>
  </si>
  <si>
    <t>押一</t>
  </si>
  <si>
    <t>钢混</t>
  </si>
  <si>
    <t>非生产用房</t>
  </si>
  <si>
    <t>否</t>
  </si>
  <si>
    <t>收益法-办公</t>
  </si>
  <si>
    <t>收益法-办公</t>
    <phoneticPr fontId="16" type="noConversion"/>
  </si>
  <si>
    <t>收益法-商业</t>
  </si>
  <si>
    <t>收益法-商业</t>
    <phoneticPr fontId="16" type="noConversion"/>
  </si>
  <si>
    <t>收益法-车库</t>
  </si>
  <si>
    <t>收益法-车库</t>
    <phoneticPr fontId="16" type="noConversion"/>
  </si>
  <si>
    <t>38917</t>
    <phoneticPr fontId="3" type="noConversion"/>
  </si>
  <si>
    <t>年收入2022</t>
    <phoneticPr fontId="3" type="noConversion"/>
  </si>
  <si>
    <t>39543</t>
    <phoneticPr fontId="3" type="noConversion"/>
  </si>
  <si>
    <t>年收入2021</t>
    <phoneticPr fontId="3" type="noConversion"/>
  </si>
  <si>
    <t>商业</t>
    <phoneticPr fontId="3" type="noConversion"/>
  </si>
  <si>
    <t>地上</t>
    <phoneticPr fontId="3" type="noConversion"/>
  </si>
  <si>
    <t>地下</t>
    <phoneticPr fontId="3" type="noConversion"/>
  </si>
  <si>
    <t>面积</t>
    <phoneticPr fontId="3" type="noConversion"/>
  </si>
  <si>
    <t>租金</t>
    <phoneticPr fontId="3" type="noConversion"/>
  </si>
  <si>
    <t>系数</t>
    <phoneticPr fontId="3" type="noConversion"/>
  </si>
  <si>
    <t>商务金融用地</t>
  </si>
  <si>
    <t>估价对象容积率</t>
  </si>
  <si>
    <t>不临65条商业街</t>
  </si>
  <si>
    <t>通路</t>
  </si>
  <si>
    <t>通电</t>
  </si>
  <si>
    <t>通讯</t>
  </si>
  <si>
    <t>通上水</t>
  </si>
  <si>
    <t>通下水</t>
  </si>
  <si>
    <t>通热</t>
  </si>
  <si>
    <t>燃气</t>
  </si>
  <si>
    <t>平整</t>
  </si>
  <si>
    <t>与级别开发程度一致</t>
  </si>
  <si>
    <t>一般</t>
  </si>
  <si>
    <t>好</t>
  </si>
  <si>
    <t>楼层修正</t>
  </si>
  <si>
    <t>基准地价修正-办公</t>
  </si>
  <si>
    <t>基准地价修正-办公</t>
    <phoneticPr fontId="16" type="noConversion"/>
  </si>
  <si>
    <t>基准地价修正-商业</t>
  </si>
  <si>
    <t>基准地价修正-商业</t>
    <phoneticPr fontId="16" type="noConversion"/>
  </si>
  <si>
    <t>未包含在土地购买价格中</t>
  </si>
  <si>
    <t>已包含在土地取得成本中</t>
  </si>
  <si>
    <t>现房</t>
  </si>
  <si>
    <t>项目全部</t>
  </si>
  <si>
    <t>成本法</t>
  </si>
  <si>
    <t>收益法（汇总）</t>
  </si>
  <si>
    <t>总价</t>
  </si>
  <si>
    <t>成本比率</t>
  </si>
  <si>
    <t>正常操作</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</si>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</sst>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12" borderId="0" xfId="0" applyFont="1" applyFill="1" applyAlignment="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44" fillId="22" borderId="24" xfId="0"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49" fontId="13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389448</xdr:colOff>
      <xdr:row>46</xdr:row>
      <xdr:rowOff>113301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19048" cy="8000001"/>
        </a:xfrm>
        <a:prstGeom prst="rect">
          <a:avLst/>
        </a:prstGeom>
      </xdr:spPr>
    </xdr:pic>
    <xdr:clientData/>
  </xdr:twoCellAnchor>
  <xdr:twoCellAnchor editAs="oneCell">
    <xdr:from>
      <xdr:col>13</xdr:col>
      <xdr:colOff>0</xdr:colOff>
      <xdr:row>0</xdr:row>
      <xdr:rowOff>0</xdr:rowOff>
    </xdr:from>
    <xdr:to>
      <xdr:col>16</xdr:col>
      <xdr:colOff>333076</xdr:colOff>
      <xdr:row>22</xdr:row>
      <xdr:rowOff>170957</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390476" cy="3942857"/>
        </a:xfrm>
        <a:prstGeom prst="rect">
          <a:avLst/>
        </a:prstGeom>
      </xdr:spPr>
    </xdr:pic>
    <xdr:clientData/>
  </xdr:twoCellAnchor>
  <xdr:twoCellAnchor editAs="oneCell">
    <xdr:from>
      <xdr:col>16</xdr:col>
      <xdr:colOff>438149</xdr:colOff>
      <xdr:row>0</xdr:row>
      <xdr:rowOff>0</xdr:rowOff>
    </xdr:from>
    <xdr:to>
      <xdr:col>28</xdr:col>
      <xdr:colOff>17834</xdr:colOff>
      <xdr:row>27</xdr:row>
      <xdr:rowOff>59481</xdr:rowOff>
    </xdr:to>
    <xdr:pic>
      <xdr:nvPicPr>
        <xdr:cNvPr id="4" name="图片 3"/>
        <xdr:cNvPicPr>
          <a:picLocks noChangeAspect="1"/>
        </xdr:cNvPicPr>
      </xdr:nvPicPr>
      <xdr:blipFill>
        <a:blip xmlns:r="http://schemas.openxmlformats.org/officeDocument/2006/relationships" r:embed="rId3"/>
        <a:stretch>
          <a:fillRect/>
        </a:stretch>
      </xdr:blipFill>
      <xdr:spPr>
        <a:xfrm>
          <a:off x="11410949" y="0"/>
          <a:ext cx="7809285" cy="4688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北京市朝阳区安定路5号院房地产抵押价值预评估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受贵公司委托，我公司对北京市朝阳区安定路5号院房地产抵押价值进行了预评估。</v>
      </c>
    </row>
    <row r="7" spans="1:2" s="1200" customFormat="1">
      <c r="A7" s="1198" t="s">
        <v>566</v>
      </c>
      <c r="B7" s="1199" t="str">
        <f>'预评函-1'!A7</f>
        <v>估价对象为北京市朝阳区安定路5号院房地产，为所有。根据《国有土地使用证》[]，估价对象（分摊）出让国有建设用地使用权面积为19087.4平方米，建筑面积为132744.37平方米。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估价对象为北京市朝阳区安定路5号院房地产,为开发建设的，该项目尚在开发建设中。根据《国有土地使用证》[]，估价对象（分摊）出让国有建设用地使用权面积为19087.4平方米，规划建筑面积为132744.37平方米。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2023年7月11日（评估专业人员实地查勘之日）</v>
      </c>
    </row>
    <row r="13" spans="1:2" s="1200" customFormat="1">
      <c r="A13" s="1198" t="s">
        <v>529</v>
      </c>
      <c r="B13" s="1199"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497900</v>
      </c>
    </row>
    <row r="21" spans="1:2" s="1200" customFormat="1">
      <c r="A21" s="1198" t="s">
        <v>537</v>
      </c>
      <c r="B21" s="1199">
        <f ca="1">'预评函-2'!D7</f>
        <v>37508</v>
      </c>
    </row>
    <row r="22" spans="1:2" s="1200" customFormat="1">
      <c r="A22" s="1198" t="s">
        <v>538</v>
      </c>
      <c r="B22" s="1199" t="str">
        <f ca="1">'预评函-2'!D6</f>
        <v>肆拾玖亿柒仟玖佰万元整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497900</v>
      </c>
    </row>
    <row r="31" spans="1:2" s="1200" customFormat="1">
      <c r="A31" s="1198" t="s">
        <v>576</v>
      </c>
      <c r="B31" s="1199">
        <f ca="1">'预评函-2'!D15</f>
        <v>37508</v>
      </c>
    </row>
    <row r="32" spans="1:2" s="1200" customFormat="1">
      <c r="A32" s="1198" t="s">
        <v>543</v>
      </c>
      <c r="B32" s="1199" t="str">
        <f ca="1">'预评函-2'!D14</f>
        <v>肆拾玖亿柒仟玖佰万元整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北京市朝阳区安定路5号院房地产</v>
      </c>
    </row>
    <row r="42" spans="1:2" s="1200" customFormat="1">
      <c r="A42" s="1198" t="s">
        <v>590</v>
      </c>
      <c r="B42" s="1199" t="str">
        <f>'预评函-3'!B2</f>
        <v>建筑面积</v>
      </c>
    </row>
    <row r="43" spans="1:2" s="1200" customFormat="1">
      <c r="A43" s="1198" t="s">
        <v>591</v>
      </c>
      <c r="B43" s="1199">
        <f>'预评函-3'!B4</f>
        <v>132744.37</v>
      </c>
    </row>
    <row r="44" spans="1:2" s="1200" customFormat="1">
      <c r="A44" s="1198" t="s">
        <v>575</v>
      </c>
      <c r="B44" s="1199" t="str">
        <f>'预评函-3'!C2</f>
        <v>(分摊)土地面积</v>
      </c>
    </row>
    <row r="45" spans="1:2" s="1200" customFormat="1">
      <c r="A45" s="1198" t="s">
        <v>547</v>
      </c>
      <c r="B45" s="1199">
        <f>'预评函-3'!C4</f>
        <v>19087.400000000001</v>
      </c>
    </row>
    <row r="46" spans="1:2" s="1200" customFormat="1">
      <c r="A46" s="1198" t="s">
        <v>573</v>
      </c>
      <c r="B46" s="1199" t="str">
        <f>'预评函-3'!D2</f>
        <v>出让国有建设用地使用权价值</v>
      </c>
    </row>
    <row r="47" spans="1:2" s="1200" customFormat="1">
      <c r="A47" s="1198" t="s">
        <v>548</v>
      </c>
      <c r="B47" s="1199">
        <f ca="1">'预评函-3'!D4</f>
        <v>392843</v>
      </c>
    </row>
    <row r="48" spans="1:2" s="1200" customFormat="1">
      <c r="A48" s="1198" t="s">
        <v>549</v>
      </c>
      <c r="B48" s="1199">
        <f ca="1">'预评函-3'!E4</f>
        <v>29594</v>
      </c>
    </row>
    <row r="49" spans="1:2" s="1200" customFormat="1">
      <c r="A49" s="1198" t="s">
        <v>550</v>
      </c>
      <c r="B49" s="1199" t="str">
        <f ca="1">'预评函-3'!D5</f>
        <v>叁拾玖亿贰仟捌佰肆拾叁万元整</v>
      </c>
    </row>
    <row r="50" spans="1:2" s="1200" customFormat="1">
      <c r="A50" s="1198" t="s">
        <v>574</v>
      </c>
      <c r="B50" s="1199" t="str">
        <f>'预评函-3'!F2</f>
        <v>在建建筑物价值</v>
      </c>
    </row>
    <row r="51" spans="1:2" s="1200" customFormat="1">
      <c r="A51" s="1198" t="s">
        <v>551</v>
      </c>
      <c r="B51" s="1199">
        <f ca="1">'预评函-3'!F4</f>
        <v>105057</v>
      </c>
    </row>
    <row r="52" spans="1:2" s="1200" customFormat="1">
      <c r="A52" s="1198" t="s">
        <v>552</v>
      </c>
      <c r="B52" s="1199">
        <f ca="1">'预评函-3'!G4</f>
        <v>7914</v>
      </c>
    </row>
    <row r="53" spans="1:2" s="1200" customFormat="1">
      <c r="A53" s="1198" t="s">
        <v>580</v>
      </c>
      <c r="B53" s="1199" t="str">
        <f ca="1">'预评函-3'!F5</f>
        <v>壹拾亿伍仟零伍拾柒万元整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3350</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3336</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3337</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3338</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3339</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3340</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3341</v>
      </c>
    </row>
    <row r="8" spans="1:23">
      <c r="A8" s="1543" t="s">
        <v>1026</v>
      </c>
      <c r="B8" s="1543" t="s">
        <v>1027</v>
      </c>
      <c r="C8" s="1544" t="s">
        <v>319</v>
      </c>
      <c r="F8" s="1545" t="s">
        <v>1028</v>
      </c>
      <c r="H8" s="1545" t="s">
        <v>2574</v>
      </c>
      <c r="I8" s="1545" t="s">
        <v>3342</v>
      </c>
    </row>
    <row r="9" spans="1:23">
      <c r="A9" s="1543" t="s">
        <v>1029</v>
      </c>
      <c r="B9" s="1543" t="s">
        <v>1030</v>
      </c>
      <c r="C9" s="1544" t="s">
        <v>320</v>
      </c>
      <c r="F9" s="1545" t="s">
        <v>1031</v>
      </c>
      <c r="H9" s="1545"/>
      <c r="I9" s="1548" t="s">
        <v>3343</v>
      </c>
    </row>
    <row r="10" spans="1:23">
      <c r="A10" s="1543" t="s">
        <v>1032</v>
      </c>
      <c r="B10" s="1543" t="s">
        <v>1033</v>
      </c>
      <c r="C10" s="1544" t="s">
        <v>321</v>
      </c>
      <c r="F10" s="1545" t="s">
        <v>2575</v>
      </c>
      <c r="I10" s="1548" t="s">
        <v>3344</v>
      </c>
    </row>
    <row r="11" spans="1:23">
      <c r="A11" s="1543" t="s">
        <v>1034</v>
      </c>
      <c r="B11" s="1543" t="s">
        <v>1035</v>
      </c>
      <c r="C11" s="1544" t="s">
        <v>322</v>
      </c>
      <c r="F11" s="1545" t="s">
        <v>13</v>
      </c>
      <c r="I11" s="1548" t="s">
        <v>3345</v>
      </c>
    </row>
    <row r="12" spans="1:23">
      <c r="A12" s="1543" t="s">
        <v>1036</v>
      </c>
      <c r="B12" s="1543" t="s">
        <v>1037</v>
      </c>
      <c r="C12" s="1544" t="s">
        <v>323</v>
      </c>
      <c r="I12" s="1548" t="s">
        <v>3346</v>
      </c>
    </row>
    <row r="13" spans="1:23">
      <c r="A13" s="1543" t="s">
        <v>1038</v>
      </c>
      <c r="B13" s="1543" t="s">
        <v>1039</v>
      </c>
      <c r="C13" s="1544" t="s">
        <v>324</v>
      </c>
      <c r="I13" s="1548" t="s">
        <v>3347</v>
      </c>
    </row>
    <row r="14" spans="1:23">
      <c r="A14" s="1543" t="s">
        <v>1040</v>
      </c>
      <c r="B14" s="1543" t="s">
        <v>1041</v>
      </c>
      <c r="C14" s="1545" t="s">
        <v>13</v>
      </c>
      <c r="I14" s="1548" t="s">
        <v>3348</v>
      </c>
    </row>
    <row r="15" spans="1:23">
      <c r="A15" s="1543" t="s">
        <v>1042</v>
      </c>
      <c r="B15" s="1543" t="s">
        <v>1043</v>
      </c>
      <c r="C15" s="1544"/>
      <c r="I15" s="1548" t="s">
        <v>3349</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3412</v>
      </c>
      <c r="C19" s="1544"/>
    </row>
    <row r="20" spans="1:3">
      <c r="A20" s="1543" t="s">
        <v>1048</v>
      </c>
      <c r="B20" s="1543" t="s">
        <v>3414</v>
      </c>
      <c r="C20" s="1544"/>
    </row>
    <row r="21" spans="1:3">
      <c r="A21" s="1543" t="s">
        <v>1049</v>
      </c>
      <c r="B21" s="1543" t="s">
        <v>3416</v>
      </c>
      <c r="C21" s="1544"/>
    </row>
    <row r="22" spans="1:3">
      <c r="A22" s="1543" t="s">
        <v>1050</v>
      </c>
      <c r="B22" s="1543" t="s">
        <v>3443</v>
      </c>
      <c r="C22" s="1544"/>
    </row>
    <row r="23" spans="1:3">
      <c r="A23" s="1543" t="s">
        <v>1051</v>
      </c>
      <c r="B23" s="1543" t="s">
        <v>3445</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1" t="s">
        <v>385</v>
      </c>
      <c r="C54" s="1548" t="s">
        <v>583</v>
      </c>
    </row>
    <row r="55" spans="1:4">
      <c r="A55" s="3518"/>
      <c r="B55" s="1551" t="s">
        <v>386</v>
      </c>
      <c r="C55" s="1548" t="s">
        <v>584</v>
      </c>
    </row>
    <row r="56" spans="1:4">
      <c r="A56" s="3518"/>
      <c r="B56" s="1551" t="s">
        <v>387</v>
      </c>
      <c r="C56" s="1548" t="s">
        <v>588</v>
      </c>
    </row>
    <row r="57" spans="1:4">
      <c r="A57" s="351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2497</v>
      </c>
      <c r="B1" s="3009"/>
      <c r="C1" s="3009"/>
      <c r="D1" s="3009"/>
      <c r="E1" s="3009"/>
      <c r="F1" s="3010"/>
      <c r="I1" s="3432" t="s">
        <v>2590</v>
      </c>
      <c r="J1" s="3221"/>
      <c r="K1" s="3221"/>
      <c r="L1" s="3221"/>
      <c r="M1" s="3221"/>
      <c r="N1" s="3433"/>
      <c r="O1" s="3433"/>
      <c r="P1" s="3433"/>
      <c r="Q1" s="3433"/>
      <c r="R1" s="3433"/>
    </row>
    <row r="2" spans="1:18">
      <c r="A2" s="3012"/>
      <c r="B2" s="3013"/>
      <c r="C2" s="3013"/>
      <c r="D2" s="3013"/>
      <c r="E2" s="3013"/>
      <c r="F2" s="3014"/>
      <c r="I2" s="3519" t="s">
        <v>2577</v>
      </c>
      <c r="J2" s="3519"/>
      <c r="K2" s="3519"/>
      <c r="L2" s="3519"/>
      <c r="M2" s="3519"/>
      <c r="N2" s="3519"/>
      <c r="O2" s="3519"/>
      <c r="P2" s="3519"/>
      <c r="Q2" s="3519"/>
      <c r="R2" s="3519"/>
    </row>
    <row r="3" spans="1:18">
      <c r="A3" s="3015" t="s">
        <v>2498</v>
      </c>
      <c r="B3" s="3016">
        <f>项目基本情况!D3</f>
        <v>45118</v>
      </c>
      <c r="C3" s="3018"/>
      <c r="D3" s="3018"/>
      <c r="E3" s="3018"/>
      <c r="F3" s="3014"/>
      <c r="I3" s="3434"/>
      <c r="J3" s="3434" t="s">
        <v>2581</v>
      </c>
      <c r="K3" s="3434" t="s">
        <v>2582</v>
      </c>
      <c r="L3" s="3434" t="s">
        <v>2583</v>
      </c>
      <c r="M3" s="3434" t="s">
        <v>2584</v>
      </c>
      <c r="N3" s="3435" t="s">
        <v>2585</v>
      </c>
      <c r="O3" s="3435" t="s">
        <v>2586</v>
      </c>
      <c r="P3" s="3435" t="s">
        <v>2587</v>
      </c>
      <c r="Q3" s="3435" t="s">
        <v>2588</v>
      </c>
      <c r="R3" s="3435" t="s">
        <v>2589</v>
      </c>
    </row>
    <row r="4" spans="1:18">
      <c r="A4" s="3015" t="s">
        <v>2499</v>
      </c>
      <c r="B4" s="3018" t="s">
        <v>2500</v>
      </c>
      <c r="C4" s="3018" t="s">
        <v>2501</v>
      </c>
      <c r="D4" s="3018" t="s">
        <v>2502</v>
      </c>
      <c r="E4" s="3018" t="s">
        <v>2503</v>
      </c>
      <c r="F4" s="3014"/>
      <c r="I4" s="3434" t="s">
        <v>2578</v>
      </c>
      <c r="J4" s="3434">
        <v>80</v>
      </c>
      <c r="K4" s="3434">
        <v>70</v>
      </c>
      <c r="L4" s="3434">
        <v>20</v>
      </c>
      <c r="M4" s="3434">
        <v>30</v>
      </c>
      <c r="N4" s="3018">
        <v>45</v>
      </c>
      <c r="O4" s="3018">
        <v>60</v>
      </c>
      <c r="P4" s="3018">
        <v>50</v>
      </c>
      <c r="Q4" s="3018">
        <v>20</v>
      </c>
      <c r="R4" s="3018">
        <v>375</v>
      </c>
    </row>
    <row r="5" spans="1:18">
      <c r="A5" s="3019">
        <v>40</v>
      </c>
      <c r="B5" s="3016">
        <v>46375</v>
      </c>
      <c r="C5" s="3018">
        <f>ROUNDDOWN(MIN((B5-B3)/365,A5),2)</f>
        <v>3.44</v>
      </c>
      <c r="D5" s="3020">
        <f>IF(ISERROR(ROUND(POWER(1+E5,A5-C5)*(POWER(1+E5,C5)-1)/(POWER(1+E5,A5)-1),3)),0,ROUND(POWER(1+E5,A5-C5)*(POWER(1+E5,C5)-1)/(POWER(1+E5,A5)-1),4))</f>
        <v>0.15939999999999999</v>
      </c>
      <c r="E5" s="3021">
        <v>0.04</v>
      </c>
      <c r="F5" s="3014"/>
      <c r="I5" s="3434" t="s">
        <v>2579</v>
      </c>
      <c r="J5" s="3434">
        <v>70</v>
      </c>
      <c r="K5" s="3434">
        <v>60</v>
      </c>
      <c r="L5" s="3434">
        <v>15</v>
      </c>
      <c r="M5" s="3434">
        <v>25</v>
      </c>
      <c r="N5" s="3018">
        <v>40</v>
      </c>
      <c r="O5" s="3018">
        <v>50</v>
      </c>
      <c r="P5" s="3018">
        <v>40</v>
      </c>
      <c r="Q5" s="3018">
        <v>15</v>
      </c>
      <c r="R5" s="3018">
        <v>315</v>
      </c>
    </row>
    <row r="6" spans="1:18">
      <c r="A6" s="3019">
        <v>50</v>
      </c>
      <c r="B6" s="3016">
        <v>50028</v>
      </c>
      <c r="C6" s="3018">
        <f>ROUNDDOWN(MIN((B6-B3)/365,A6),2)</f>
        <v>13.45</v>
      </c>
      <c r="D6" s="3020">
        <f>IF(ISERROR(ROUND(POWER(1+E6,A6-C6)*(POWER(1+E6,C6)-1)/(POWER(1+E6,A6)-1),3)),0,ROUND(POWER(1+E6,A6-C6)*(POWER(1+E6,C6)-1)/(POWER(1+E6,A6)-1),4))</f>
        <v>0.47710000000000002</v>
      </c>
      <c r="E6" s="3021">
        <v>0.04</v>
      </c>
      <c r="F6" s="3014"/>
      <c r="I6" s="3434" t="s">
        <v>2580</v>
      </c>
      <c r="J6" s="3434">
        <v>60</v>
      </c>
      <c r="K6" s="3434">
        <v>50</v>
      </c>
      <c r="L6" s="3434">
        <v>10</v>
      </c>
      <c r="M6" s="3434">
        <v>20</v>
      </c>
      <c r="N6" s="3018">
        <v>35</v>
      </c>
      <c r="O6" s="3018">
        <v>40</v>
      </c>
      <c r="P6" s="3018">
        <v>30</v>
      </c>
      <c r="Q6" s="3018">
        <v>10</v>
      </c>
      <c r="R6" s="3018">
        <v>255</v>
      </c>
    </row>
    <row r="7" spans="1:18">
      <c r="A7" s="3019">
        <v>70</v>
      </c>
      <c r="B7" s="3016">
        <v>57333</v>
      </c>
      <c r="C7" s="3018">
        <f>ROUNDDOWN(MIN((B7-B3)/365,A7),2)</f>
        <v>33.46</v>
      </c>
      <c r="D7" s="3020">
        <f>IF(ISERROR(ROUND(POWER(1+E7,A7-C7)*(POWER(1+E7,C7)-1)/(POWER(1+E7,A7)-1),3)),0,ROUND(POWER(1+E7,A7-C7)*(POWER(1+E7,C7)-1)/(POWER(1+E7,A7)-1),4))</f>
        <v>0.78100000000000003</v>
      </c>
      <c r="E7" s="3021">
        <v>0.04</v>
      </c>
      <c r="F7" s="3014"/>
    </row>
    <row r="8" spans="1:18">
      <c r="A8" s="3012"/>
      <c r="B8" s="3013"/>
      <c r="C8" s="3013"/>
      <c r="D8" s="3013"/>
      <c r="E8" s="3013"/>
      <c r="F8" s="3014"/>
    </row>
    <row r="9" spans="1:18">
      <c r="A9" s="3015" t="s">
        <v>2504</v>
      </c>
      <c r="B9" s="3018"/>
      <c r="C9" s="3018"/>
      <c r="D9" s="3018"/>
      <c r="E9" s="3018"/>
      <c r="F9" s="3022"/>
    </row>
    <row r="10" spans="1:18">
      <c r="A10" s="3015" t="s">
        <v>2505</v>
      </c>
      <c r="B10" s="3018"/>
      <c r="C10" s="3018"/>
      <c r="D10" s="3018" t="s">
        <v>2503</v>
      </c>
      <c r="E10" s="3018"/>
      <c r="F10" s="3022" t="s">
        <v>2502</v>
      </c>
    </row>
    <row r="11" spans="1:18">
      <c r="A11" s="3015" t="s">
        <v>2506</v>
      </c>
      <c r="B11" s="3023">
        <v>70</v>
      </c>
      <c r="C11" s="3018" t="s">
        <v>2507</v>
      </c>
      <c r="D11" s="3024">
        <v>4.4999999999999998E-2</v>
      </c>
      <c r="E11" s="3018" t="s">
        <v>2508</v>
      </c>
      <c r="F11" s="3025">
        <f>ROUND(1-(1/(POWER(1+D11,B11))),4)</f>
        <v>0.95409999999999995</v>
      </c>
    </row>
    <row r="12" spans="1:18">
      <c r="A12" s="3015" t="s">
        <v>2509</v>
      </c>
      <c r="B12" s="3023">
        <v>40</v>
      </c>
      <c r="C12" s="3018" t="s">
        <v>2510</v>
      </c>
      <c r="D12" s="3024">
        <v>4.4999999999999998E-2</v>
      </c>
      <c r="E12" s="3018" t="s">
        <v>2511</v>
      </c>
      <c r="F12" s="3025">
        <f>ROUND(1-(1/(POWER(1+D12,B12))),4)</f>
        <v>0.82809999999999995</v>
      </c>
    </row>
    <row r="13" spans="1:18">
      <c r="A13" s="3015" t="s">
        <v>2512</v>
      </c>
      <c r="B13" s="3018"/>
      <c r="C13" s="3018"/>
      <c r="D13" s="3013"/>
      <c r="E13" s="3013"/>
      <c r="F13" s="3014"/>
    </row>
    <row r="14" spans="1:18">
      <c r="A14" s="3015" t="s">
        <v>2513</v>
      </c>
      <c r="B14" s="3023">
        <v>5000</v>
      </c>
      <c r="C14" s="3017"/>
      <c r="D14" s="3013"/>
      <c r="E14" s="3013"/>
      <c r="F14" s="3014"/>
    </row>
    <row r="15" spans="1:18">
      <c r="A15" s="3015" t="s">
        <v>2514</v>
      </c>
      <c r="B15" s="3018">
        <f>ROUND(B14*F12/F11,2)</f>
        <v>4339.6899999999996</v>
      </c>
      <c r="C15" s="3018">
        <f>ROUND(F12/F11,4)</f>
        <v>0.8679</v>
      </c>
      <c r="D15" s="3013"/>
      <c r="E15" s="3013"/>
      <c r="F15" s="3014"/>
    </row>
    <row r="16" spans="1:18">
      <c r="A16" s="3015" t="s">
        <v>2515</v>
      </c>
      <c r="B16" s="3018"/>
      <c r="C16" s="3018"/>
      <c r="D16" s="3013"/>
      <c r="E16" s="3013"/>
      <c r="F16" s="3014"/>
    </row>
    <row r="17" spans="1:13">
      <c r="A17" s="3015" t="s">
        <v>2514</v>
      </c>
      <c r="B17" s="3024">
        <v>4810</v>
      </c>
      <c r="C17" s="3017"/>
      <c r="D17" s="3013"/>
      <c r="E17" s="3013"/>
      <c r="F17" s="3014"/>
    </row>
    <row r="18" spans="1:13" ht="14.25" thickBot="1">
      <c r="A18" s="3026" t="s">
        <v>2513</v>
      </c>
      <c r="B18" s="3027">
        <f>ROUND(B17*F11/F12,2)</f>
        <v>5541.87</v>
      </c>
      <c r="C18" s="3027">
        <f>ROUND(F11/F12,4)</f>
        <v>1.1521999999999999</v>
      </c>
      <c r="D18" s="3028"/>
      <c r="E18" s="3028"/>
      <c r="F18" s="3029"/>
    </row>
    <row r="19" spans="1:13" ht="14.25" thickBot="1"/>
    <row r="20" spans="1:13" s="3064" customFormat="1" ht="14.25" thickTop="1">
      <c r="A20" s="3061" t="s">
        <v>2516</v>
      </c>
      <c r="B20" s="3062"/>
      <c r="C20" s="3062"/>
      <c r="D20" s="3062"/>
      <c r="E20" s="3062"/>
      <c r="F20" s="3062"/>
      <c r="G20" s="3063"/>
      <c r="I20" s="3065" t="s">
        <v>2561</v>
      </c>
      <c r="J20" s="3065" t="s">
        <v>2566</v>
      </c>
      <c r="K20" s="3065"/>
      <c r="L20" s="3065"/>
      <c r="M20" s="3065"/>
    </row>
    <row r="21" spans="1:13">
      <c r="A21" s="3030"/>
      <c r="B21" s="3031" t="s">
        <v>2517</v>
      </c>
      <c r="C21" s="3031" t="s">
        <v>2518</v>
      </c>
      <c r="D21" s="3031" t="s">
        <v>2519</v>
      </c>
      <c r="E21" s="3031" t="s">
        <v>2520</v>
      </c>
      <c r="F21" s="3031" t="s">
        <v>2521</v>
      </c>
      <c r="G21" s="3032" t="s">
        <v>2522</v>
      </c>
      <c r="I21" s="3053">
        <v>5</v>
      </c>
      <c r="J21" s="3053">
        <v>54.2</v>
      </c>
    </row>
    <row r="22" spans="1:13">
      <c r="A22" s="3030" t="s">
        <v>2523</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2524</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2564</v>
      </c>
      <c r="M23" s="3053" t="s">
        <v>2565</v>
      </c>
    </row>
    <row r="24" spans="1:13">
      <c r="A24" s="3030" t="s">
        <v>2525</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2563</v>
      </c>
      <c r="M24" s="3053">
        <v>10</v>
      </c>
    </row>
    <row r="25" spans="1:13">
      <c r="A25" s="3030" t="s">
        <v>2526</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2567</v>
      </c>
      <c r="M25" s="3053">
        <v>8</v>
      </c>
    </row>
    <row r="26" spans="1:13">
      <c r="A26" s="3035"/>
      <c r="B26" s="3036"/>
      <c r="C26" s="3036"/>
      <c r="D26" s="3036"/>
      <c r="E26" s="3036"/>
      <c r="F26" s="3036"/>
      <c r="G26" s="3037"/>
      <c r="I26" s="3053">
        <v>30</v>
      </c>
      <c r="J26" s="3053">
        <v>90.5</v>
      </c>
      <c r="K26" s="3053">
        <f t="shared" si="2"/>
        <v>4.2000000000000028</v>
      </c>
      <c r="L26" s="3053" t="s">
        <v>2568</v>
      </c>
      <c r="M26" s="3053">
        <v>5</v>
      </c>
    </row>
    <row r="27" spans="1:13">
      <c r="A27" s="3035" t="s">
        <v>2527</v>
      </c>
      <c r="B27" s="3036"/>
      <c r="C27" s="3036"/>
      <c r="D27" s="3036"/>
      <c r="E27" s="3036"/>
      <c r="F27" s="3036"/>
      <c r="G27" s="3037"/>
      <c r="I27" s="3053">
        <v>35</v>
      </c>
      <c r="J27" s="3053">
        <v>93.8</v>
      </c>
      <c r="K27" s="3053">
        <f t="shared" si="2"/>
        <v>3.2999999999999972</v>
      </c>
      <c r="L27" s="3053" t="s">
        <v>2569</v>
      </c>
      <c r="M27" s="3053">
        <v>3</v>
      </c>
    </row>
    <row r="28" spans="1:13">
      <c r="A28" s="3035" t="s">
        <v>2528</v>
      </c>
      <c r="B28" s="3036"/>
      <c r="C28" s="3036"/>
      <c r="D28" s="3036"/>
      <c r="E28" s="3036"/>
      <c r="F28" s="3036"/>
      <c r="G28" s="3037"/>
      <c r="I28" s="3053">
        <v>40</v>
      </c>
      <c r="J28" s="3053">
        <v>96.4</v>
      </c>
      <c r="K28" s="3053">
        <f t="shared" si="2"/>
        <v>2.6000000000000085</v>
      </c>
      <c r="L28" s="3053" t="s">
        <v>2570</v>
      </c>
      <c r="M28" s="3053">
        <v>2</v>
      </c>
    </row>
    <row r="29" spans="1:13">
      <c r="A29" s="3035" t="s">
        <v>2529</v>
      </c>
      <c r="B29" s="3036"/>
      <c r="C29" s="3036"/>
      <c r="D29" s="3036"/>
      <c r="E29" s="3036"/>
      <c r="F29" s="3036"/>
      <c r="G29" s="3037"/>
      <c r="I29" s="3053">
        <v>45</v>
      </c>
      <c r="J29" s="3053">
        <v>98.4</v>
      </c>
      <c r="K29" s="3053">
        <f t="shared" si="2"/>
        <v>2</v>
      </c>
    </row>
    <row r="30" spans="1:13">
      <c r="A30" s="3035" t="s">
        <v>2530</v>
      </c>
      <c r="B30" s="3036"/>
      <c r="C30" s="3036"/>
      <c r="D30" s="3036"/>
      <c r="E30" s="3036"/>
      <c r="F30" s="3036"/>
      <c r="G30" s="3037"/>
      <c r="I30" s="3053">
        <v>50</v>
      </c>
      <c r="J30" s="3053">
        <v>100</v>
      </c>
      <c r="K30" s="3053">
        <f t="shared" si="2"/>
        <v>1.5999999999999943</v>
      </c>
    </row>
    <row r="31" spans="1:13">
      <c r="A31" s="3035" t="s">
        <v>2531</v>
      </c>
      <c r="B31" s="3036"/>
      <c r="C31" s="3036"/>
      <c r="D31" s="3036"/>
      <c r="E31" s="3036"/>
      <c r="F31" s="3036"/>
      <c r="G31" s="3037"/>
      <c r="I31" s="3053" t="s">
        <v>2562</v>
      </c>
    </row>
    <row r="32" spans="1:13">
      <c r="A32" s="3035" t="s">
        <v>2532</v>
      </c>
      <c r="B32" s="3036"/>
      <c r="C32" s="3036"/>
      <c r="D32" s="3036"/>
      <c r="E32" s="3036"/>
      <c r="F32" s="3036"/>
      <c r="G32" s="3037"/>
    </row>
    <row r="33" spans="1:13">
      <c r="A33" s="3035" t="s">
        <v>2533</v>
      </c>
      <c r="B33" s="3036"/>
      <c r="C33" s="3036"/>
      <c r="D33" s="3036"/>
      <c r="E33" s="3036"/>
      <c r="F33" s="3036"/>
      <c r="G33" s="3037"/>
      <c r="I33" s="3053" t="s">
        <v>2561</v>
      </c>
      <c r="J33" s="3053" t="s">
        <v>2571</v>
      </c>
    </row>
    <row r="34" spans="1:13">
      <c r="A34" s="3035" t="s">
        <v>2534</v>
      </c>
      <c r="B34" s="3036"/>
      <c r="C34" s="3036"/>
      <c r="D34" s="3036"/>
      <c r="E34" s="3036"/>
      <c r="F34" s="3036"/>
      <c r="G34" s="3037"/>
      <c r="I34" s="3053">
        <v>5</v>
      </c>
      <c r="J34" s="3053">
        <v>55.1</v>
      </c>
    </row>
    <row r="35" spans="1:13">
      <c r="A35" s="3035" t="s">
        <v>2535</v>
      </c>
      <c r="B35" s="3036"/>
      <c r="C35" s="3036"/>
      <c r="D35" s="3036"/>
      <c r="E35" s="3036"/>
      <c r="F35" s="3036"/>
      <c r="G35" s="3037"/>
      <c r="I35" s="3053">
        <v>10</v>
      </c>
      <c r="J35" s="3053">
        <v>67</v>
      </c>
      <c r="K35" s="3053">
        <f>J35-J34</f>
        <v>11.899999999999999</v>
      </c>
    </row>
    <row r="36" spans="1:13">
      <c r="A36" s="3035" t="s">
        <v>2536</v>
      </c>
      <c r="B36" s="3036"/>
      <c r="C36" s="3036"/>
      <c r="D36" s="3036"/>
      <c r="E36" s="3036"/>
      <c r="F36" s="3036"/>
      <c r="G36" s="3037"/>
      <c r="I36" s="3053">
        <v>15</v>
      </c>
      <c r="J36" s="3053">
        <v>76.3</v>
      </c>
      <c r="K36" s="3053">
        <f t="shared" ref="K36:K41" si="3">J36-J35</f>
        <v>9.2999999999999972</v>
      </c>
      <c r="L36" s="3053" t="s">
        <v>2564</v>
      </c>
      <c r="M36" s="3053" t="s">
        <v>2565</v>
      </c>
    </row>
    <row r="37" spans="1:13">
      <c r="A37" s="3035" t="s">
        <v>2537</v>
      </c>
      <c r="B37" s="3036"/>
      <c r="C37" s="3036"/>
      <c r="D37" s="3036"/>
      <c r="E37" s="3036"/>
      <c r="F37" s="3036"/>
      <c r="G37" s="3037"/>
      <c r="I37" s="3053">
        <v>20</v>
      </c>
      <c r="J37" s="3053">
        <v>83.6</v>
      </c>
      <c r="K37" s="3053">
        <f t="shared" si="3"/>
        <v>7.2999999999999972</v>
      </c>
      <c r="L37" s="3053" t="s">
        <v>2563</v>
      </c>
      <c r="M37" s="3053">
        <v>10</v>
      </c>
    </row>
    <row r="38" spans="1:13">
      <c r="A38" s="3035" t="s">
        <v>2538</v>
      </c>
      <c r="B38" s="3036"/>
      <c r="C38" s="3036"/>
      <c r="D38" s="3036"/>
      <c r="E38" s="3036"/>
      <c r="F38" s="3036"/>
      <c r="G38" s="3037"/>
      <c r="I38" s="3053">
        <v>25</v>
      </c>
      <c r="J38" s="3053">
        <v>89.3</v>
      </c>
      <c r="K38" s="3053">
        <f t="shared" si="3"/>
        <v>5.7000000000000028</v>
      </c>
      <c r="L38" s="3053" t="s">
        <v>2567</v>
      </c>
      <c r="M38" s="3053">
        <v>8</v>
      </c>
    </row>
    <row r="39" spans="1:13">
      <c r="A39" s="3035"/>
      <c r="B39" s="3036"/>
      <c r="C39" s="3036"/>
      <c r="D39" s="3036"/>
      <c r="E39" s="3036"/>
      <c r="F39" s="3036"/>
      <c r="G39" s="3037"/>
      <c r="I39" s="3053">
        <v>30</v>
      </c>
      <c r="J39" s="3053">
        <v>93.8</v>
      </c>
      <c r="K39" s="3053">
        <f t="shared" si="3"/>
        <v>4.5</v>
      </c>
      <c r="L39" s="3053" t="s">
        <v>2568</v>
      </c>
      <c r="M39" s="3053">
        <v>6</v>
      </c>
    </row>
    <row r="40" spans="1:13">
      <c r="A40" s="3038" t="s">
        <v>2539</v>
      </c>
      <c r="B40" s="3039"/>
      <c r="C40" s="3039"/>
      <c r="D40" s="3039"/>
      <c r="E40" s="3039"/>
      <c r="F40" s="3039"/>
      <c r="G40" s="3040"/>
      <c r="I40" s="3053">
        <v>35</v>
      </c>
      <c r="J40" s="3053">
        <v>97.2</v>
      </c>
      <c r="K40" s="3053">
        <f t="shared" si="3"/>
        <v>3.4000000000000057</v>
      </c>
      <c r="L40" s="3053" t="s">
        <v>2569</v>
      </c>
      <c r="M40" s="3053">
        <v>3</v>
      </c>
    </row>
    <row r="41" spans="1:13">
      <c r="A41" s="3041" t="s">
        <v>2540</v>
      </c>
      <c r="B41" s="3042" t="s">
        <v>2541</v>
      </c>
      <c r="C41" s="3043" t="s">
        <v>2542</v>
      </c>
      <c r="D41" s="3043" t="s">
        <v>2543</v>
      </c>
      <c r="E41" s="3044"/>
      <c r="F41" s="3045"/>
      <c r="G41" s="3046"/>
      <c r="I41" s="3053">
        <v>40</v>
      </c>
      <c r="J41" s="3053">
        <v>100</v>
      </c>
      <c r="K41" s="3053">
        <f t="shared" si="3"/>
        <v>2.7999999999999972</v>
      </c>
    </row>
    <row r="42" spans="1:13">
      <c r="A42" s="3041" t="s">
        <v>2544</v>
      </c>
      <c r="B42" s="3042" t="s">
        <v>2545</v>
      </c>
      <c r="C42" s="3043" t="s">
        <v>2546</v>
      </c>
      <c r="D42" s="3047" t="s">
        <v>2547</v>
      </c>
      <c r="E42" s="3039" t="s">
        <v>2548</v>
      </c>
      <c r="F42" s="3039"/>
      <c r="G42" s="3040"/>
    </row>
    <row r="43" spans="1:13">
      <c r="A43" s="3041" t="s">
        <v>2549</v>
      </c>
      <c r="B43" s="3042" t="s">
        <v>2550</v>
      </c>
      <c r="C43" s="3043" t="s">
        <v>2551</v>
      </c>
      <c r="D43" s="3043" t="s">
        <v>2552</v>
      </c>
      <c r="E43" s="3044" t="s">
        <v>2553</v>
      </c>
      <c r="F43" s="3045"/>
      <c r="G43" s="3046"/>
      <c r="I43" s="3053" t="s">
        <v>2561</v>
      </c>
      <c r="J43" s="3053" t="s">
        <v>2572</v>
      </c>
    </row>
    <row r="44" spans="1:13">
      <c r="A44" s="3041" t="s">
        <v>2554</v>
      </c>
      <c r="B44" s="3042" t="s">
        <v>2555</v>
      </c>
      <c r="C44" s="3043" t="s">
        <v>2556</v>
      </c>
      <c r="D44" s="3047">
        <v>0.5</v>
      </c>
      <c r="E44" s="3044" t="s">
        <v>2557</v>
      </c>
      <c r="F44" s="3045"/>
      <c r="G44" s="3046"/>
      <c r="I44" s="3053">
        <v>30</v>
      </c>
      <c r="J44" s="3053">
        <v>81.7</v>
      </c>
    </row>
    <row r="45" spans="1:13" ht="14.25" thickBot="1">
      <c r="A45" s="3048" t="s">
        <v>2558</v>
      </c>
      <c r="B45" s="3049" t="s">
        <v>2545</v>
      </c>
      <c r="C45" s="3050" t="s">
        <v>2545</v>
      </c>
      <c r="D45" s="3050" t="s">
        <v>2559</v>
      </c>
      <c r="E45" s="3051" t="s">
        <v>2560</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3" sqref="E4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0" t="str">
        <f>IF(B10="北京市","北京市",C10)&amp;F10&amp;IF(结果表!G1="在建","出让国有建设用地使用权及在建建筑物",IF(结果表!G1="土地","出让国有建设用地使用权",))&amp;B9&amp;"预评估"</f>
        <v>北京市朝阳区安定路5号院房地产抵押价值预评估</v>
      </c>
      <c r="C1" s="3521"/>
      <c r="D1" s="3521"/>
      <c r="E1" s="3521"/>
      <c r="F1" s="3521"/>
      <c r="G1" s="3521"/>
      <c r="H1" s="3521"/>
      <c r="I1" s="3522"/>
      <c r="J1" s="2466"/>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北京市朝阳区安定路5号院房地产抵押价值</v>
      </c>
      <c r="T1" s="1742"/>
      <c r="U1" s="1742"/>
      <c r="V1" s="1742"/>
      <c r="W1" s="1742"/>
      <c r="X1" s="1742"/>
      <c r="Y1" s="1742"/>
      <c r="Z1" s="1742"/>
      <c r="AA1" s="1742"/>
      <c r="AB1" s="1742"/>
    </row>
    <row r="2" spans="1:30">
      <c r="A2" s="2364" t="s">
        <v>2167</v>
      </c>
      <c r="B2" s="2368"/>
      <c r="C2" s="2369"/>
      <c r="D2" s="2665"/>
      <c r="E2" s="2657"/>
      <c r="F2" s="2657"/>
      <c r="G2" s="2658"/>
      <c r="H2" s="2658"/>
      <c r="I2" s="2658"/>
      <c r="J2" s="2466"/>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北京市朝阳区安定路5号院房地产</v>
      </c>
      <c r="T2" s="1742"/>
      <c r="U2" s="1742"/>
      <c r="V2" s="1742"/>
      <c r="W2" s="1742"/>
      <c r="X2" s="1742"/>
      <c r="Y2" s="1742"/>
      <c r="Z2" s="1742"/>
      <c r="AA2" s="1742"/>
      <c r="AB2" s="1742"/>
    </row>
    <row r="3" spans="1:30">
      <c r="A3" s="302" t="s">
        <v>2168</v>
      </c>
      <c r="B3" s="2370">
        <v>45118</v>
      </c>
      <c r="C3" s="2371" t="s">
        <v>2169</v>
      </c>
      <c r="D3" s="2370">
        <f>B3</f>
        <v>45118</v>
      </c>
      <c r="E3" s="2658"/>
      <c r="F3" s="2658"/>
      <c r="G3" s="2658"/>
      <c r="H3" s="2658"/>
      <c r="I3" s="2658"/>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t="s">
        <v>3373</v>
      </c>
      <c r="C4" s="2373">
        <f ca="1">SUMIF(注册房地产估价师,B4,估价师及机构信息!B3:B24)</f>
        <v>1120100036</v>
      </c>
      <c r="D4" s="2372" t="s">
        <v>3374</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2173</v>
      </c>
      <c r="B7" s="2384"/>
      <c r="C7" s="2382"/>
      <c r="D7" s="2383"/>
      <c r="E7" s="2657"/>
      <c r="F7" s="2659"/>
      <c r="G7" s="2659"/>
      <c r="H7" s="2659"/>
      <c r="I7" s="2659"/>
      <c r="J7" s="2436"/>
      <c r="K7" s="2611"/>
      <c r="L7" s="2608"/>
      <c r="M7" s="2608"/>
      <c r="N7" s="2436"/>
      <c r="O7" s="2447"/>
      <c r="P7" s="2436"/>
      <c r="Q7" s="2436"/>
      <c r="R7" s="2436"/>
    </row>
    <row r="8" spans="1:30">
      <c r="A8" s="2385" t="s">
        <v>2174</v>
      </c>
      <c r="B8" s="2386" t="s">
        <v>3375</v>
      </c>
      <c r="C8" s="2387"/>
      <c r="D8" s="3523" t="s">
        <v>2175</v>
      </c>
      <c r="E8" s="2388" t="s">
        <v>3376</v>
      </c>
      <c r="F8" s="2389"/>
      <c r="G8" s="2658"/>
      <c r="H8" s="2658"/>
      <c r="I8" s="2658"/>
      <c r="J8" s="2436"/>
      <c r="K8" s="2609"/>
      <c r="L8" s="2608"/>
      <c r="M8" s="2608"/>
      <c r="N8" s="2436"/>
      <c r="O8" s="2447"/>
      <c r="P8" s="2436"/>
      <c r="Q8" s="2436"/>
      <c r="R8" s="2436"/>
    </row>
    <row r="9" spans="1:30" ht="13.5" thickBot="1">
      <c r="A9" s="2390" t="s">
        <v>2176</v>
      </c>
      <c r="B9" s="2391" t="s">
        <v>3376</v>
      </c>
      <c r="C9" s="2392"/>
      <c r="D9" s="3524"/>
      <c r="E9" s="2391" t="s">
        <v>43</v>
      </c>
      <c r="F9" s="2393"/>
      <c r="G9" s="2660"/>
      <c r="H9" s="2660"/>
      <c r="I9" s="2660"/>
      <c r="J9" s="2436"/>
      <c r="K9" s="2611"/>
      <c r="L9" s="2608"/>
      <c r="M9" s="2608"/>
      <c r="N9" s="2436"/>
      <c r="O9" s="2447"/>
      <c r="P9" s="2436"/>
      <c r="Q9" s="2436"/>
      <c r="R9" s="2436"/>
    </row>
    <row r="10" spans="1:30" ht="13.5" thickTop="1">
      <c r="A10" s="2394" t="s">
        <v>2177</v>
      </c>
      <c r="B10" s="2395" t="s">
        <v>3377</v>
      </c>
      <c r="C10" s="2396"/>
      <c r="D10" s="2379"/>
      <c r="E10" s="2397" t="s">
        <v>2178</v>
      </c>
      <c r="F10" s="2661" t="s">
        <v>3378</v>
      </c>
      <c r="G10" s="2662"/>
      <c r="H10" s="2663"/>
      <c r="I10" s="2664"/>
      <c r="J10" s="2436"/>
      <c r="K10" s="2611"/>
      <c r="L10" s="2608"/>
      <c r="M10" s="2608"/>
      <c r="N10" s="2436"/>
      <c r="O10" s="2447"/>
      <c r="P10" s="2436"/>
      <c r="Q10" s="2436"/>
      <c r="R10" s="2436"/>
    </row>
    <row r="11" spans="1:30">
      <c r="A11" s="2398" t="s">
        <v>2179</v>
      </c>
      <c r="B11" s="2399" t="s">
        <v>3379</v>
      </c>
      <c r="C11" s="2400"/>
      <c r="D11" s="2401"/>
      <c r="E11" s="2367"/>
      <c r="F11" s="2367"/>
      <c r="G11" s="2367"/>
      <c r="H11" s="2367"/>
      <c r="I11" s="2367"/>
      <c r="J11" s="3056"/>
      <c r="K11" s="3055"/>
      <c r="L11" s="2608"/>
      <c r="M11" s="2608"/>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4" t="s">
        <v>2573</v>
      </c>
      <c r="J12" s="3057"/>
      <c r="K12" s="2608"/>
      <c r="L12" s="2608"/>
      <c r="M12" s="2436"/>
      <c r="N12" s="2447"/>
      <c r="O12" s="2436"/>
      <c r="P12" s="2436"/>
      <c r="Q12" s="2436"/>
      <c r="AD12" s="1742"/>
    </row>
    <row r="13" spans="1:30">
      <c r="A13" s="3418" t="s">
        <v>3331</v>
      </c>
      <c r="B13" s="2404" t="s">
        <v>2188</v>
      </c>
      <c r="C13" s="853"/>
      <c r="D13" s="853">
        <v>54838</v>
      </c>
      <c r="E13" s="853">
        <v>58490</v>
      </c>
      <c r="F13" s="853">
        <f>E13</f>
        <v>58490</v>
      </c>
      <c r="G13" s="853">
        <f>F13</f>
        <v>58490</v>
      </c>
      <c r="H13" s="853"/>
      <c r="I13" s="853"/>
      <c r="J13" s="3057"/>
      <c r="K13" s="2608"/>
      <c r="L13" s="2608"/>
      <c r="M13" s="2436"/>
      <c r="N13" s="2447"/>
      <c r="O13" s="2436"/>
      <c r="P13" s="2436"/>
      <c r="Q13" s="2436"/>
      <c r="AD13" s="1742"/>
    </row>
    <row r="14" spans="1:30">
      <c r="A14" s="1078"/>
      <c r="B14" s="2404" t="s">
        <v>2189</v>
      </c>
      <c r="C14" s="2405"/>
      <c r="D14" s="2405">
        <v>40</v>
      </c>
      <c r="E14" s="2405">
        <v>50</v>
      </c>
      <c r="F14" s="2405">
        <v>50</v>
      </c>
      <c r="G14" s="2405">
        <v>50</v>
      </c>
      <c r="H14" s="2405"/>
      <c r="I14" s="2405"/>
      <c r="J14" s="3058"/>
      <c r="K14" s="2608"/>
      <c r="L14" s="2608"/>
      <c r="M14" s="2436"/>
      <c r="N14" s="2447"/>
      <c r="O14" s="2436"/>
      <c r="P14" s="2436"/>
      <c r="Q14" s="2436"/>
      <c r="AD14" s="1742"/>
    </row>
    <row r="15" spans="1:30">
      <c r="A15" s="320"/>
      <c r="B15" s="2406" t="s">
        <v>2190</v>
      </c>
      <c r="C15" s="2407" t="str">
        <f>IF(A13="出让",IF(C13="","",ROUNDDOWN(MIN((C13-$D$3)/365,C14),2)),C14)</f>
        <v/>
      </c>
      <c r="D15" s="2407">
        <f>IF(A13="出让",IF(D13="","",ROUNDDOWN(MIN((D13-$D$3)/365,D14),2)),D14)</f>
        <v>26.63</v>
      </c>
      <c r="E15" s="2407">
        <f>IF(A13="出让",IF(E13="","",ROUNDDOWN(MIN((E13-$D$3)/365,E14),2)),E14)</f>
        <v>36.630000000000003</v>
      </c>
      <c r="F15" s="2407">
        <f>IF(A13="出让",IF(F13="","",ROUNDDOWN(MIN((F13-$D$3)/365,F14),2)),F14)</f>
        <v>36.630000000000003</v>
      </c>
      <c r="G15" s="2407">
        <f>IF(A13="出让",IF(G13="","",ROUNDDOWN(MIN((G13-$D$3)/365,G14),2)),G14)</f>
        <v>36.630000000000003</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2191</v>
      </c>
      <c r="B16" s="3530"/>
      <c r="C16" s="3531"/>
      <c r="D16" s="3532"/>
      <c r="E16" s="2410" t="s">
        <v>2192</v>
      </c>
      <c r="F16" s="3533"/>
      <c r="G16" s="3534"/>
      <c r="H16" s="3534"/>
      <c r="I16" s="3535"/>
      <c r="J16" s="2436"/>
      <c r="K16" s="2612"/>
      <c r="L16" s="2448"/>
      <c r="M16" s="2448"/>
      <c r="N16" s="2504"/>
      <c r="O16" s="2448"/>
      <c r="P16" s="2504"/>
      <c r="Q16" s="2436"/>
      <c r="R16" s="2436"/>
    </row>
    <row r="17" spans="1:28">
      <c r="A17" s="313" t="s">
        <v>2193</v>
      </c>
      <c r="B17" s="302" t="s">
        <v>2194</v>
      </c>
      <c r="C17" s="8">
        <f>'数据-汇总表'!E3</f>
        <v>132744.37</v>
      </c>
      <c r="D17" s="2319" t="s">
        <v>2195</v>
      </c>
      <c r="E17" s="3536" t="s">
        <v>2196</v>
      </c>
      <c r="F17" s="3537"/>
      <c r="G17" s="3537"/>
      <c r="H17" s="3537"/>
      <c r="I17" s="3538"/>
      <c r="J17" s="2436"/>
      <c r="K17" s="2613"/>
      <c r="L17" s="2448"/>
      <c r="M17" s="2448"/>
      <c r="N17" s="2504"/>
      <c r="O17" s="2448"/>
      <c r="P17" s="2504"/>
      <c r="Q17" s="2436"/>
      <c r="R17" s="2436"/>
      <c r="S17" s="2436"/>
      <c r="T17" s="2436"/>
      <c r="U17" s="2436"/>
      <c r="V17" s="2436"/>
    </row>
    <row r="18" spans="1:28" ht="24.75" thickBot="1">
      <c r="A18" s="2411" t="s">
        <v>2197</v>
      </c>
      <c r="B18" s="1087" t="s">
        <v>2198</v>
      </c>
      <c r="C18" s="2412">
        <f>'数据-汇总表'!D3</f>
        <v>19087.400000000001</v>
      </c>
      <c r="D18" s="1089" t="s">
        <v>2199</v>
      </c>
      <c r="E18" s="3539" t="s">
        <v>2200</v>
      </c>
      <c r="F18" s="3540"/>
      <c r="G18" s="3540"/>
      <c r="H18" s="3540"/>
      <c r="I18" s="3541"/>
      <c r="J18" s="2436"/>
      <c r="K18" s="2613"/>
      <c r="L18" s="2448"/>
      <c r="M18" s="2448"/>
      <c r="N18" s="2504"/>
      <c r="O18" s="2448"/>
      <c r="P18" s="2504"/>
      <c r="Q18" s="2436"/>
      <c r="R18" s="2436"/>
      <c r="S18" s="2436"/>
      <c r="T18" s="2436"/>
      <c r="U18" s="2436"/>
      <c r="V18" s="2436"/>
    </row>
    <row r="19" spans="1:28" ht="37.5" thickTop="1" thickBot="1">
      <c r="A19" s="327" t="s">
        <v>1055</v>
      </c>
      <c r="B19" s="307" t="s">
        <v>2201</v>
      </c>
      <c r="C19" s="1560"/>
      <c r="D19" s="1561" t="s">
        <v>2202</v>
      </c>
      <c r="E19" s="1562"/>
      <c r="F19" s="1563" t="str">
        <f>IF(AND(C19="是",E19="否"),"是否提供他项权证或相关说明","")</f>
        <v/>
      </c>
      <c r="G19" s="1564"/>
      <c r="H19" s="2659"/>
      <c r="I19" s="2659"/>
      <c r="J19" s="2436"/>
      <c r="K19" s="2611"/>
      <c r="L19" s="2608"/>
      <c r="M19" s="2608"/>
      <c r="N19" s="2504"/>
      <c r="O19" s="2448"/>
      <c r="P19" s="2504"/>
      <c r="Q19" s="2436"/>
      <c r="R19" s="2436"/>
      <c r="S19" s="2436"/>
      <c r="T19" s="2436"/>
      <c r="U19" s="2436"/>
      <c r="V19" s="2436"/>
    </row>
    <row r="20" spans="1:28">
      <c r="A20" s="2627" t="s">
        <v>2203</v>
      </c>
      <c r="B20" s="3526" t="s">
        <v>2204</v>
      </c>
      <c r="C20" s="3527"/>
      <c r="D20" s="3528" t="s">
        <v>2205</v>
      </c>
      <c r="E20" s="3529"/>
      <c r="F20" s="2642" t="s">
        <v>1056</v>
      </c>
      <c r="G20" s="2659"/>
      <c r="H20" s="2659"/>
      <c r="I20" s="2659"/>
      <c r="J20" s="2436"/>
      <c r="K20" s="3525"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2207</v>
      </c>
      <c r="C21" s="2629" t="s">
        <v>1057</v>
      </c>
      <c r="D21" s="1565" t="s">
        <v>2208</v>
      </c>
      <c r="E21" s="2630" t="s">
        <v>1057</v>
      </c>
      <c r="F21" s="2643"/>
      <c r="G21" s="2659"/>
      <c r="H21" s="2659"/>
      <c r="I21" s="2659"/>
      <c r="J21" s="2436"/>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2209</v>
      </c>
      <c r="C22" s="2629" t="s">
        <v>1058</v>
      </c>
      <c r="D22" s="2658"/>
      <c r="E22" s="2658"/>
      <c r="F22" s="2658"/>
      <c r="G22" s="2659"/>
      <c r="H22" s="2659"/>
      <c r="I22" s="2659"/>
      <c r="J22" s="2436"/>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2210</v>
      </c>
      <c r="B23" s="2497" t="s">
        <v>2211</v>
      </c>
      <c r="C23" s="2633"/>
      <c r="D23" s="2634" t="s">
        <v>2211</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3" t="s">
        <v>2212</v>
      </c>
      <c r="B27" s="320" t="s">
        <v>2213</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3"/>
      <c r="B28" s="302" t="s">
        <v>2214</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3"/>
      <c r="B29" s="302" t="s">
        <v>2215</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44"/>
      <c r="B30" s="302" t="s">
        <v>2216</v>
      </c>
      <c r="C30" s="3545"/>
      <c r="D30" s="3546"/>
      <c r="E30" s="2659"/>
      <c r="F30" s="2659"/>
      <c r="G30" s="2659"/>
      <c r="H30" s="2659"/>
      <c r="I30" s="2659"/>
      <c r="J30" s="2436"/>
      <c r="K30" s="2611"/>
      <c r="L30" s="2608"/>
      <c r="M30" s="2608"/>
      <c r="N30" s="2436"/>
      <c r="O30" s="2447"/>
      <c r="P30" s="2436"/>
      <c r="Q30" s="2436"/>
      <c r="R30" s="2436"/>
      <c r="S30" s="2436"/>
      <c r="T30" s="2436"/>
      <c r="U30" s="2436"/>
      <c r="V30" s="2436"/>
    </row>
    <row r="31" spans="1:28">
      <c r="A31" s="3547" t="s">
        <v>2217</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48"/>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48"/>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2218</v>
      </c>
      <c r="B34" s="2023"/>
      <c r="C34" s="2023"/>
      <c r="D34" s="2023"/>
      <c r="E34" s="2023"/>
      <c r="F34" s="2023"/>
      <c r="G34" s="2023"/>
      <c r="H34" s="2023"/>
      <c r="I34" s="2659"/>
      <c r="J34" s="2436"/>
      <c r="K34" s="2424">
        <f>COUNTIF(B34:H34,"——")</f>
        <v>0</v>
      </c>
      <c r="L34" s="323" t="s">
        <v>2219</v>
      </c>
      <c r="M34" s="323" t="s">
        <v>2220</v>
      </c>
      <c r="N34" s="323" t="s">
        <v>2221</v>
      </c>
      <c r="O34" s="323" t="s">
        <v>2222</v>
      </c>
      <c r="P34" s="323" t="s">
        <v>2223</v>
      </c>
      <c r="Q34" s="323" t="s">
        <v>2224</v>
      </c>
      <c r="R34" s="323" t="s">
        <v>2225</v>
      </c>
      <c r="S34" s="3542" t="s">
        <v>2226</v>
      </c>
      <c r="T34" s="2425" t="str">
        <f>NUMBERSTRING(7-K34,1)&amp;"通"</f>
        <v>七通</v>
      </c>
      <c r="U34" s="2436"/>
      <c r="V34" s="2436"/>
    </row>
    <row r="35" spans="1:30">
      <c r="A35" s="2426"/>
      <c r="B35" s="3549" t="s">
        <v>2227</v>
      </c>
      <c r="C35" s="3549"/>
      <c r="D35" s="3549"/>
      <c r="E35" s="3549"/>
      <c r="F35" s="664">
        <f>C10</f>
        <v>0</v>
      </c>
      <c r="G35" s="2659"/>
      <c r="H35" s="2659"/>
      <c r="I35" s="2659"/>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6"/>
      <c r="V35" s="2436"/>
    </row>
    <row r="36" spans="1:30">
      <c r="A36" s="2427"/>
      <c r="B36" s="664" t="s">
        <v>2183</v>
      </c>
      <c r="C36" s="664" t="s">
        <v>2184</v>
      </c>
      <c r="D36" s="664" t="s">
        <v>2182</v>
      </c>
      <c r="E36" s="664" t="s">
        <v>2187</v>
      </c>
      <c r="F36" s="3060" t="s">
        <v>2576</v>
      </c>
      <c r="G36" s="2659"/>
      <c r="H36" s="2659"/>
      <c r="I36" s="2659"/>
      <c r="J36" s="2436"/>
      <c r="K36" s="2611"/>
      <c r="L36" s="2608"/>
      <c r="M36" s="2608"/>
      <c r="N36" s="2436"/>
      <c r="O36" s="2447"/>
      <c r="P36" s="2436"/>
      <c r="Q36" s="2436"/>
      <c r="R36" s="2436"/>
      <c r="S36" s="2436"/>
      <c r="T36" s="2436"/>
      <c r="U36" s="2436"/>
      <c r="V36" s="2436"/>
    </row>
    <row r="37" spans="1:30">
      <c r="A37" s="2625" t="s">
        <v>2228</v>
      </c>
      <c r="B37" s="2428" t="s">
        <v>296</v>
      </c>
      <c r="C37" s="2428" t="s">
        <v>296</v>
      </c>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2229</v>
      </c>
      <c r="B38" s="2429" t="s">
        <v>2936</v>
      </c>
      <c r="C38" s="2429" t="s">
        <v>2927</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2231</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1" t="s">
        <v>2241</v>
      </c>
      <c r="K42" s="2622" t="s">
        <v>2242</v>
      </c>
      <c r="L42" s="2622" t="s">
        <v>2243</v>
      </c>
      <c r="M42" s="2622" t="s">
        <v>2244</v>
      </c>
      <c r="N42" s="2615" t="s">
        <v>2245</v>
      </c>
      <c r="O42" s="2615" t="s">
        <v>2246</v>
      </c>
      <c r="P42" s="2615" t="s">
        <v>2247</v>
      </c>
      <c r="Q42" s="2616" t="s">
        <v>2248</v>
      </c>
      <c r="R42" s="2616"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1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19087.400000000001</v>
      </c>
      <c r="B3" s="11">
        <f>IF(C3="否",G5-AT5,G5)</f>
        <v>132744.37</v>
      </c>
      <c r="C3" s="1577" t="s">
        <v>3380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132744.37</v>
      </c>
      <c r="H5" s="13">
        <f t="shared" ref="H5:AT5" si="0">SUM(H13:H656)</f>
        <v>132256.81</v>
      </c>
      <c r="I5" s="13">
        <f t="shared" si="0"/>
        <v>93486.01</v>
      </c>
      <c r="J5" s="13">
        <f t="shared" si="0"/>
        <v>0</v>
      </c>
      <c r="K5" s="13">
        <f t="shared" si="0"/>
        <v>2784.03</v>
      </c>
      <c r="L5" s="13">
        <f t="shared" si="0"/>
        <v>0</v>
      </c>
      <c r="M5" s="13">
        <f t="shared" si="0"/>
        <v>3303.19</v>
      </c>
      <c r="N5" s="13">
        <f t="shared" si="0"/>
        <v>0</v>
      </c>
      <c r="O5" s="13">
        <f t="shared" si="0"/>
        <v>32683.579999999998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487.56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487.56</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132744.37</v>
      </c>
      <c r="BA5" s="15">
        <f t="shared" si="1"/>
        <v>132256.81</v>
      </c>
      <c r="BB5" s="15">
        <f t="shared" si="1"/>
        <v>93486.01</v>
      </c>
      <c r="BC5" s="15">
        <f t="shared" si="1"/>
        <v>2784.03</v>
      </c>
      <c r="BD5" s="15">
        <f t="shared" si="1"/>
        <v>3303.19</v>
      </c>
      <c r="BE5" s="15">
        <f t="shared" si="1"/>
        <v>32683.579999999998</v>
      </c>
      <c r="BF5" s="15">
        <f t="shared" si="1"/>
        <v>0</v>
      </c>
      <c r="BG5" s="15">
        <f t="shared" si="1"/>
        <v>0</v>
      </c>
      <c r="BH5" s="15">
        <f t="shared" si="1"/>
        <v>0</v>
      </c>
      <c r="BI5" s="15">
        <f t="shared" si="1"/>
        <v>0</v>
      </c>
      <c r="BJ5" s="15">
        <f t="shared" si="1"/>
        <v>0</v>
      </c>
      <c r="BK5" s="15">
        <f t="shared" si="1"/>
        <v>0</v>
      </c>
      <c r="BL5" s="15">
        <f t="shared" si="1"/>
        <v>487.56</v>
      </c>
      <c r="BM5" s="15">
        <f t="shared" si="1"/>
        <v>0</v>
      </c>
      <c r="BN5" s="15">
        <f t="shared" si="1"/>
        <v>0</v>
      </c>
      <c r="BO5" s="15">
        <f t="shared" si="1"/>
        <v>0</v>
      </c>
      <c r="BP5" s="15">
        <f t="shared" si="1"/>
        <v>0</v>
      </c>
      <c r="BQ5" s="15">
        <f t="shared" si="1"/>
        <v>487.56</v>
      </c>
      <c r="BR5" s="15">
        <f t="shared" si="1"/>
        <v>0</v>
      </c>
      <c r="BS5" s="15">
        <f t="shared" si="1"/>
        <v>0</v>
      </c>
      <c r="BT5" s="16">
        <f t="shared" si="1"/>
        <v>0</v>
      </c>
    </row>
    <row r="6" spans="1:72" s="1586" customFormat="1" ht="12.75">
      <c r="A6" s="12" t="s">
        <v>1071</v>
      </c>
      <c r="B6" s="1583"/>
      <c r="C6" s="1583"/>
      <c r="D6" s="1584"/>
      <c r="E6" s="13">
        <f>H6+AC6+AT6</f>
        <v>19087.400000000001</v>
      </c>
      <c r="F6" s="13" t="s">
        <v>0</v>
      </c>
      <c r="G6" s="13" t="s">
        <v>1</v>
      </c>
      <c r="H6" s="17">
        <f>SUMIF(I$12:AB$12,"总值",I6:AB6)</f>
        <v>19017.29</v>
      </c>
      <c r="I6" s="13">
        <f t="shared" ref="I6:AB6" si="2">ROUND($A$3*I5/$B$3,2)</f>
        <v>13442.41</v>
      </c>
      <c r="J6" s="13">
        <f t="shared" si="2"/>
        <v>0</v>
      </c>
      <c r="K6" s="13">
        <f t="shared" si="2"/>
        <v>400.32</v>
      </c>
      <c r="L6" s="13">
        <f t="shared" si="2"/>
        <v>0</v>
      </c>
      <c r="M6" s="13">
        <f t="shared" si="2"/>
        <v>474.97</v>
      </c>
      <c r="N6" s="13">
        <f t="shared" si="2"/>
        <v>0</v>
      </c>
      <c r="O6" s="13">
        <f t="shared" si="2"/>
        <v>4699.59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70.11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70.11</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19087.400000000001</v>
      </c>
      <c r="AZ6" s="13" t="s">
        <v>2</v>
      </c>
      <c r="BA6" s="13">
        <f>ROUND($AY$6*BA5/$AZ$5,2)</f>
        <v>19017.29</v>
      </c>
      <c r="BB6" s="13">
        <f>ROUND($AY$6*BB5/$AZ$5,2)</f>
        <v>13442.41</v>
      </c>
      <c r="BC6" s="13">
        <f t="shared" ref="BC6:BH6" si="4">ROUND($AY$6*BC5/$AZ$5,2)</f>
        <v>400.32</v>
      </c>
      <c r="BD6" s="13">
        <f t="shared" si="4"/>
        <v>474.97</v>
      </c>
      <c r="BE6" s="13">
        <f t="shared" si="4"/>
        <v>4699.59</v>
      </c>
      <c r="BF6" s="13">
        <f t="shared" si="4"/>
        <v>0</v>
      </c>
      <c r="BG6" s="13">
        <f t="shared" si="4"/>
        <v>0</v>
      </c>
      <c r="BH6" s="13">
        <f t="shared" si="4"/>
        <v>0</v>
      </c>
      <c r="BI6" s="13">
        <f t="shared" ref="BI6:BT6" si="5">ROUND($AY$6*BI5/$AZ$5,2)</f>
        <v>0</v>
      </c>
      <c r="BJ6" s="13">
        <f t="shared" si="5"/>
        <v>0</v>
      </c>
      <c r="BK6" s="13">
        <f t="shared" si="5"/>
        <v>0</v>
      </c>
      <c r="BL6" s="13">
        <f t="shared" si="5"/>
        <v>70.11</v>
      </c>
      <c r="BM6" s="13">
        <f t="shared" si="5"/>
        <v>0</v>
      </c>
      <c r="BN6" s="13">
        <f t="shared" si="5"/>
        <v>0</v>
      </c>
      <c r="BO6" s="13">
        <f t="shared" si="5"/>
        <v>0</v>
      </c>
      <c r="BP6" s="13">
        <f t="shared" si="5"/>
        <v>0</v>
      </c>
      <c r="BQ6" s="13">
        <f t="shared" si="5"/>
        <v>70.11</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3381</v>
      </c>
      <c r="J9" s="806"/>
      <c r="K9" s="1600" t="s">
        <v>3381</v>
      </c>
      <c r="L9" s="806"/>
      <c r="M9" s="1600" t="s">
        <v>3384</v>
      </c>
      <c r="N9" s="806"/>
      <c r="O9" s="1600" t="s">
        <v>3384</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673</v>
      </c>
      <c r="L10" s="806"/>
      <c r="M10" s="1606" t="s">
        <v>673</v>
      </c>
      <c r="N10" s="806"/>
      <c r="O10" s="1606" t="s">
        <v>3332</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3382</v>
      </c>
      <c r="J11" s="1612"/>
      <c r="K11" s="1611" t="s">
        <v>3383</v>
      </c>
      <c r="L11" s="1612"/>
      <c r="M11" s="1611" t="s">
        <v>3383</v>
      </c>
      <c r="N11" s="1612"/>
      <c r="O11" s="1611" t="s">
        <v>3332</v>
      </c>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商业</v>
      </c>
      <c r="BE11" s="1596" t="str">
        <f>O10</f>
        <v>车库</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t="str">
        <f>K11</f>
        <v>底商</v>
      </c>
      <c r="BD12" s="1621" t="str">
        <f>M11</f>
        <v>底商</v>
      </c>
      <c r="BE12" s="1596" t="str">
        <f>O11</f>
        <v>车库</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468" t="s">
        <v>3387</v>
      </c>
      <c r="B13" s="1048"/>
      <c r="C13" s="1048"/>
      <c r="D13" s="1622" t="s">
        <v>3380</v>
      </c>
      <c r="E13" s="13">
        <f>IF($C$3="是",ROUND($A$3*G13/$B$3,2),ROUND($A$3*(G13-AT13)/$B$3,2))</f>
        <v>19087.400000000001</v>
      </c>
      <c r="F13" s="29"/>
      <c r="G13" s="30">
        <f>H13+AC13+AT13</f>
        <v>132744.37</v>
      </c>
      <c r="H13" s="17">
        <f>SUMIF(I$12:AB$12,"总值",I13:AB13)</f>
        <v>132256.81</v>
      </c>
      <c r="I13" s="1623">
        <f>B16-K13+C16</f>
        <v>93486.01</v>
      </c>
      <c r="J13" s="1623"/>
      <c r="K13" s="1623">
        <v>2784.03</v>
      </c>
      <c r="L13" s="1623"/>
      <c r="M13" s="1623">
        <v>3303.19</v>
      </c>
      <c r="N13" s="1623"/>
      <c r="O13" s="1623">
        <f>B17-M13</f>
        <v>32683.579999999998</v>
      </c>
      <c r="P13" s="1623"/>
      <c r="Q13" s="1623"/>
      <c r="R13" s="1623"/>
      <c r="S13" s="1623"/>
      <c r="T13" s="1623"/>
      <c r="U13" s="1623"/>
      <c r="V13" s="1623"/>
      <c r="W13" s="1623"/>
      <c r="X13" s="1623"/>
      <c r="Y13" s="1623"/>
      <c r="Z13" s="1623"/>
      <c r="AA13" s="1623"/>
      <c r="AB13" s="1623"/>
      <c r="AC13" s="13">
        <f>SUMIF(AD$12:AS$12,"总值",AD13:AS13)</f>
        <v>487.56</v>
      </c>
      <c r="AD13" s="1624"/>
      <c r="AE13" s="1624"/>
      <c r="AF13" s="1624"/>
      <c r="AG13" s="1624"/>
      <c r="AH13" s="1624"/>
      <c r="AI13" s="1624"/>
      <c r="AJ13" s="1624"/>
      <c r="AK13" s="1624"/>
      <c r="AL13" s="1624">
        <f>B18</f>
        <v>487.56</v>
      </c>
      <c r="AM13" s="1624"/>
      <c r="AN13" s="1624"/>
      <c r="AO13" s="1624"/>
      <c r="AP13" s="1624"/>
      <c r="AQ13" s="1624"/>
      <c r="AR13" s="1624"/>
      <c r="AS13" s="1624"/>
      <c r="AT13" s="1625"/>
      <c r="AU13" s="1626"/>
      <c r="AV13" s="8" t="str">
        <f t="shared" ref="AV13:AX17" si="6">A13</f>
        <v>总面积</v>
      </c>
      <c r="AW13" s="8">
        <f t="shared" si="6"/>
        <v>0</v>
      </c>
      <c r="AX13" s="8">
        <f t="shared" si="6"/>
        <v>0</v>
      </c>
      <c r="AY13" s="1346">
        <f>ROUND($AY$6*AZ13/$AZ$5,2)</f>
        <v>19087.400000000001</v>
      </c>
      <c r="AZ13" s="13">
        <f>BA13+BL13</f>
        <v>132744.37</v>
      </c>
      <c r="BA13" s="13">
        <f>SUM(BB13:BK13)</f>
        <v>132256.81</v>
      </c>
      <c r="BB13" s="13">
        <f>IF($D13="是",I13-J13,0)</f>
        <v>93486.01</v>
      </c>
      <c r="BC13" s="13">
        <f>IF($D13="是",K13-L13,0)</f>
        <v>2784.03</v>
      </c>
      <c r="BD13" s="13">
        <f>IF($D13="是",M13-N13,0)</f>
        <v>3303.19</v>
      </c>
      <c r="BE13" s="13">
        <f>IF($D13="是",O13-P13,0)</f>
        <v>32683.579999999998</v>
      </c>
      <c r="BF13" s="13">
        <f>IF($D13="是",Q13-R13,0)</f>
        <v>0</v>
      </c>
      <c r="BG13" s="13">
        <f>IF($D13="是",S13-T13,0)</f>
        <v>0</v>
      </c>
      <c r="BH13" s="13">
        <f>IF($D13="是",U13-V13,0)</f>
        <v>0</v>
      </c>
      <c r="BI13" s="13">
        <f>IF($D13="是",W13-X13,0)</f>
        <v>0</v>
      </c>
      <c r="BJ13" s="13">
        <f>IF($D13="是",Y13-Z13,0)</f>
        <v>0</v>
      </c>
      <c r="BK13" s="13">
        <f>IF($D13="是",AA13-AB13,0)</f>
        <v>0</v>
      </c>
      <c r="BL13" s="13">
        <f>SUM(BM13:BT13)</f>
        <v>487.56</v>
      </c>
      <c r="BM13" s="13">
        <f>IF($D13="是",AD13-AE13,0)</f>
        <v>0</v>
      </c>
      <c r="BN13" s="13">
        <f>IF($D13="是",AF13-AG13,0)</f>
        <v>0</v>
      </c>
      <c r="BO13" s="13">
        <f>IF($D13="是",AH13-AI13,0)</f>
        <v>0</v>
      </c>
      <c r="BP13" s="13">
        <f>IF($D13="是",AJ13-AK13,0)</f>
        <v>0</v>
      </c>
      <c r="BQ13" s="13">
        <f>IF($D13="是",AL13-AM13,0)</f>
        <v>487.56</v>
      </c>
      <c r="BR13" s="13">
        <f>IF($D13="是",AN13-AO13,0)</f>
        <v>0</v>
      </c>
      <c r="BS13" s="13">
        <f>IF($D13="是",AP13-AQ13,0)</f>
        <v>0</v>
      </c>
      <c r="BT13" s="19">
        <f>IF($D13="是",AR13-AS13,0)</f>
        <v>0</v>
      </c>
    </row>
    <row r="14" spans="1:72" s="1576" customFormat="1" ht="12.75">
      <c r="A14" s="1048">
        <v>132744.37</v>
      </c>
      <c r="B14" s="1048" t="s">
        <v>3391</v>
      </c>
      <c r="C14" s="1567" t="s">
        <v>3392</v>
      </c>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132744.37</v>
      </c>
      <c r="AW14" s="8" t="str">
        <f t="shared" si="6"/>
        <v>3#</v>
      </c>
      <c r="AX14" s="8" t="str">
        <f t="shared" si="6"/>
        <v>4#</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3468" t="s">
        <v>3389</v>
      </c>
      <c r="B15" s="1048">
        <f>127689.95+C16</f>
        <v>132744.37</v>
      </c>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t="str">
        <f t="shared" si="6"/>
        <v>测绘总面积</v>
      </c>
      <c r="AW15" s="8">
        <f t="shared" si="6"/>
        <v>132744.37</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3468" t="s">
        <v>3388</v>
      </c>
      <c r="B16" s="1048">
        <v>91215.62</v>
      </c>
      <c r="C16" s="1567">
        <v>5054.42</v>
      </c>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t="str">
        <f t="shared" si="6"/>
        <v>地上</v>
      </c>
      <c r="AW16" s="8">
        <f t="shared" si="6"/>
        <v>91215.62</v>
      </c>
      <c r="AX16" s="8">
        <f t="shared" si="6"/>
        <v>5054.42</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3468" t="s">
        <v>3390</v>
      </c>
      <c r="B17" s="1048">
        <v>35986.769999999997</v>
      </c>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t="str">
        <f t="shared" si="6"/>
        <v>地下</v>
      </c>
      <c r="AW17" s="8">
        <f t="shared" si="6"/>
        <v>35986.769999999997</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469" t="s">
        <v>3393</v>
      </c>
      <c r="B18" s="31">
        <v>487.56</v>
      </c>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t="str">
        <f t="shared" ref="AV18:AV112" si="11">A18</f>
        <v>附属</v>
      </c>
      <c r="AW18" s="1340">
        <f t="shared" ref="AW18:AW112" si="12">B18</f>
        <v>487.56</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Normal="100" zoomScaleSheetLayoutView="100" workbookViewId="0">
      <selection activeCell="G22" sqref="G22"/>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9" t="s">
        <v>1130</v>
      </c>
      <c r="B2" s="3559"/>
      <c r="C2" s="3559"/>
      <c r="D2" s="793" t="s">
        <v>1106</v>
      </c>
      <c r="E2" s="1636" t="s">
        <v>1107</v>
      </c>
      <c r="F2" s="2654"/>
      <c r="G2" s="2645"/>
      <c r="H2" s="2646"/>
      <c r="I2" s="2322" t="s">
        <v>1131</v>
      </c>
      <c r="J2" s="2654"/>
      <c r="K2" s="2654"/>
      <c r="L2" s="2654"/>
      <c r="M2" s="2654"/>
      <c r="N2" s="2656"/>
      <c r="O2" s="2654"/>
      <c r="P2" s="2654"/>
    </row>
    <row r="3" spans="1:16" ht="15.75" thickBot="1">
      <c r="A3" s="3560" t="s">
        <v>1104</v>
      </c>
      <c r="B3" s="3560"/>
      <c r="C3" s="3560"/>
      <c r="D3" s="43">
        <f>'数据-基础表'!AY6</f>
        <v>19087.400000000001</v>
      </c>
      <c r="E3" s="43">
        <f>'数据-基础表'!AZ5</f>
        <v>132744.37</v>
      </c>
      <c r="F3" s="2654"/>
      <c r="G3" s="1142"/>
      <c r="H3" s="1023" t="s">
        <v>1105</v>
      </c>
      <c r="I3" s="852">
        <f>ROUND('数据-基础表'!B3/'数据-基础表'!A3,2)</f>
        <v>6.95</v>
      </c>
      <c r="J3" s="2654"/>
      <c r="K3" s="2654"/>
      <c r="L3" s="2654"/>
      <c r="M3" s="2654"/>
      <c r="N3" s="2656"/>
      <c r="O3" s="2654"/>
      <c r="P3" s="2654"/>
    </row>
    <row r="4" spans="1:16" ht="15">
      <c r="A4" s="3561"/>
      <c r="B4" s="3562"/>
      <c r="C4" s="3563"/>
      <c r="D4" s="1638" t="s">
        <v>1106</v>
      </c>
      <c r="E4" s="1639" t="s">
        <v>1107</v>
      </c>
      <c r="F4" s="2654"/>
      <c r="G4" s="2647" t="s">
        <v>1132</v>
      </c>
      <c r="H4" s="1023" t="s">
        <v>1112</v>
      </c>
      <c r="I4" s="852">
        <f>ROUND(SUMIF('数据-基础表'!I9:AS9,"地上",'数据-基础表'!I5:AS5)/'数据-基础表'!A3,2)</f>
        <v>5.07</v>
      </c>
      <c r="J4" s="2654"/>
      <c r="K4" s="2654"/>
      <c r="L4" s="2654"/>
      <c r="M4" s="2654"/>
      <c r="N4" s="2656"/>
      <c r="O4" s="2654"/>
      <c r="P4" s="2654"/>
    </row>
    <row r="5" spans="1:16">
      <c r="A5" s="44" t="s">
        <v>1108</v>
      </c>
      <c r="B5" s="3564" t="s">
        <v>1109</v>
      </c>
      <c r="C5" s="3564"/>
      <c r="D5" s="45">
        <f>ROUND($D$3*E5/$E$3,2)</f>
        <v>0</v>
      </c>
      <c r="E5" s="46">
        <f>SUMIF('数据-基础表'!$11:$11,"住宅",'数据-基础表'!$5:$5)</f>
        <v>0</v>
      </c>
      <c r="F5" s="2654"/>
      <c r="G5" s="1142"/>
      <c r="H5" s="1023" t="s">
        <v>1105</v>
      </c>
      <c r="I5" s="852">
        <f>ROUND(E31/D31,2)</f>
        <v>6.95</v>
      </c>
      <c r="J5" s="2654"/>
      <c r="K5" s="2654"/>
      <c r="L5" s="2654"/>
      <c r="M5" s="2654"/>
      <c r="N5" s="2654"/>
      <c r="O5" s="2654"/>
      <c r="P5" s="2654"/>
    </row>
    <row r="6" spans="1:16" ht="15" thickBot="1">
      <c r="A6" s="1641"/>
      <c r="B6" s="3564" t="s">
        <v>1110</v>
      </c>
      <c r="C6" s="3564"/>
      <c r="D6" s="45">
        <f>ROUND($D$3*E6/$E$3,2)</f>
        <v>19087.400000000001</v>
      </c>
      <c r="E6" s="46">
        <f>E3-E5</f>
        <v>132744.37</v>
      </c>
      <c r="F6" s="2654"/>
      <c r="G6" s="2648" t="s">
        <v>1111</v>
      </c>
      <c r="H6" s="1143" t="s">
        <v>1112</v>
      </c>
      <c r="I6" s="2649">
        <f>ROUND(F31/D31,2)</f>
        <v>5.07</v>
      </c>
      <c r="J6" s="2654"/>
      <c r="K6" s="2654"/>
      <c r="L6" s="2654"/>
      <c r="M6" s="2654"/>
      <c r="N6" s="2654"/>
      <c r="O6" s="2654"/>
      <c r="P6" s="2654"/>
    </row>
    <row r="7" spans="1:16" ht="15.75" thickBot="1">
      <c r="A7" s="3556"/>
      <c r="B7" s="3557"/>
      <c r="C7" s="3558"/>
      <c r="D7" s="1638" t="s">
        <v>1106</v>
      </c>
      <c r="E7" s="1642" t="s">
        <v>1113</v>
      </c>
      <c r="F7" s="2654"/>
      <c r="G7" s="2650" t="s">
        <v>1114</v>
      </c>
      <c r="H7" s="2651"/>
      <c r="I7" s="2652"/>
      <c r="J7" s="2654"/>
      <c r="K7" s="2654"/>
      <c r="L7" s="2654"/>
      <c r="M7" s="2654"/>
      <c r="N7" s="2654"/>
      <c r="O7" s="2654"/>
      <c r="P7" s="2654"/>
    </row>
    <row r="8" spans="1:16">
      <c r="A8" s="44" t="s">
        <v>1115</v>
      </c>
      <c r="B8" s="47" t="s">
        <v>1116</v>
      </c>
      <c r="C8" s="45" t="s">
        <v>1117</v>
      </c>
      <c r="D8" s="45">
        <f t="shared" ref="D8:D15" si="0">ROUND($D$3*E8/$E$3,2)</f>
        <v>13842.73</v>
      </c>
      <c r="E8" s="48">
        <f>SUMIF('数据-基础表'!BB10:BK10,"地上",'数据-基础表'!BB5:BK5)</f>
        <v>96270.04</v>
      </c>
      <c r="F8" s="2654"/>
      <c r="G8" s="2655"/>
      <c r="H8" s="2655"/>
      <c r="I8" s="2654"/>
      <c r="J8" s="2654"/>
      <c r="K8" s="2654"/>
      <c r="L8" s="2654"/>
      <c r="M8" s="2654"/>
      <c r="N8" s="2654"/>
      <c r="O8" s="2654"/>
      <c r="P8" s="2654"/>
    </row>
    <row r="9" spans="1:16">
      <c r="A9" s="1643"/>
      <c r="B9" s="1644"/>
      <c r="C9" s="45" t="s">
        <v>1118</v>
      </c>
      <c r="D9" s="45">
        <f t="shared" si="0"/>
        <v>0</v>
      </c>
      <c r="E9" s="49">
        <v>0</v>
      </c>
      <c r="F9" s="2654"/>
      <c r="G9" s="2655"/>
      <c r="H9" s="2655"/>
      <c r="I9" s="2654"/>
      <c r="J9" s="2654"/>
      <c r="K9" s="2654"/>
      <c r="L9" s="2654"/>
      <c r="M9" s="2654"/>
      <c r="N9" s="2654"/>
      <c r="O9" s="2654"/>
      <c r="P9" s="2654"/>
    </row>
    <row r="10" spans="1:16">
      <c r="A10" s="1643"/>
      <c r="B10" s="1644"/>
      <c r="C10" s="45" t="s">
        <v>1127</v>
      </c>
      <c r="D10" s="45">
        <f t="shared" si="0"/>
        <v>474.97</v>
      </c>
      <c r="E10" s="48">
        <f>SUMPRODUCT(('数据-基础表'!BB10:BK10="地下")*('数据-基础表'!BB11:BK11="商业")*('数据-基础表'!BB5:BK5))</f>
        <v>3303.19</v>
      </c>
      <c r="F10" s="2654"/>
      <c r="G10" s="2655"/>
      <c r="H10" s="2655"/>
      <c r="I10" s="2654"/>
      <c r="J10" s="2654"/>
      <c r="K10" s="2654"/>
      <c r="L10" s="2654"/>
      <c r="M10" s="2654"/>
      <c r="N10" s="2654"/>
      <c r="O10" s="2654"/>
      <c r="P10" s="2654"/>
    </row>
    <row r="11" spans="1:16">
      <c r="A11" s="1643"/>
      <c r="B11" s="1644"/>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1121</v>
      </c>
      <c r="D13" s="45">
        <f t="shared" si="0"/>
        <v>4699.59</v>
      </c>
      <c r="E13" s="48">
        <f>SUMPRODUCT(('数据-基础表'!BB10:BK10="地下")*('数据-基础表'!BB11:BK11="车库")*('数据-基础表'!BB5:BK5))</f>
        <v>32683.579999999998</v>
      </c>
      <c r="F13" s="2654"/>
      <c r="G13" s="2655"/>
      <c r="H13" s="2655"/>
      <c r="I13" s="2654"/>
      <c r="J13" s="2654"/>
      <c r="K13" s="2654"/>
      <c r="L13" s="2654"/>
      <c r="M13" s="2654"/>
      <c r="N13" s="2654"/>
      <c r="O13" s="2654"/>
      <c r="P13" s="2654"/>
    </row>
    <row r="14" spans="1:16">
      <c r="A14" s="1643"/>
      <c r="B14" s="1644"/>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1122</v>
      </c>
      <c r="D16" s="47">
        <f>SUM(D8:D15)</f>
        <v>19017.29</v>
      </c>
      <c r="E16" s="50">
        <f>SUM(E8:E15)</f>
        <v>132256.81</v>
      </c>
      <c r="F16" s="2654"/>
      <c r="G16" s="2655"/>
      <c r="H16" s="1645" t="s">
        <v>1134</v>
      </c>
      <c r="I16" s="1646"/>
      <c r="J16" s="1136"/>
      <c r="K16" s="3553" t="s">
        <v>1134</v>
      </c>
      <c r="L16" s="3554"/>
      <c r="M16" s="3554"/>
      <c r="N16" s="3554"/>
      <c r="O16" s="3554"/>
      <c r="P16" s="3555"/>
    </row>
    <row r="17" spans="1:19" ht="15">
      <c r="A17" s="1647" t="s">
        <v>1135</v>
      </c>
      <c r="B17" s="1648" t="s">
        <v>1136</v>
      </c>
      <c r="C17" s="1649" t="s">
        <v>1137</v>
      </c>
      <c r="D17" s="1650" t="s">
        <v>1125</v>
      </c>
      <c r="E17" s="1651" t="s">
        <v>1126</v>
      </c>
      <c r="F17" s="1652"/>
      <c r="G17" s="1653"/>
      <c r="H17" s="1654" t="s">
        <v>1138</v>
      </c>
      <c r="I17" s="1655" t="s">
        <v>1123</v>
      </c>
      <c r="J17" s="1136"/>
      <c r="K17" s="3550" t="s">
        <v>1139</v>
      </c>
      <c r="L17" s="3551"/>
      <c r="M17" s="3552"/>
      <c r="N17" s="3550" t="s">
        <v>1140</v>
      </c>
      <c r="O17" s="3551"/>
      <c r="P17" s="3552"/>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2" t="s">
        <v>1149</v>
      </c>
      <c r="N18" s="1038" t="s">
        <v>1147</v>
      </c>
      <c r="O18" s="1663" t="s">
        <v>1148</v>
      </c>
      <c r="P18" s="852" t="s">
        <v>1149</v>
      </c>
      <c r="R18" s="1023" t="s">
        <v>1150</v>
      </c>
      <c r="S18" s="1023" t="s">
        <v>1151</v>
      </c>
    </row>
    <row r="19" spans="1:19">
      <c r="A19" s="1664"/>
      <c r="B19" s="47" t="s">
        <v>1124</v>
      </c>
      <c r="C19" s="3412" t="s">
        <v>3394</v>
      </c>
      <c r="D19" s="45">
        <f>ROUND($D$3*E19/$E$3,2)</f>
        <v>13442.41</v>
      </c>
      <c r="E19" s="53">
        <f t="shared" ref="E19:E26" si="1">SUM(F19:G19)</f>
        <v>93486.01</v>
      </c>
      <c r="F19" s="2790">
        <f>'数据-基础表'!I5</f>
        <v>93486.01</v>
      </c>
      <c r="G19" s="2791"/>
      <c r="H19" s="670">
        <f>ROUND($D$3*I19/$E$3,2)</f>
        <v>49.55</v>
      </c>
      <c r="I19" s="48">
        <f t="shared" ref="I19:I26" si="2">IF($I$17="自定义",P19,M19)</f>
        <v>344.63</v>
      </c>
      <c r="J19" s="1136"/>
      <c r="K19" s="1135">
        <f t="shared" ref="K19:K26" si="3">ROUND(E$28*E19/E$27,2)</f>
        <v>344.63</v>
      </c>
      <c r="L19" s="1023">
        <f t="shared" ref="L19:L26" si="4">ROUND(IF(COUNTIF(C19,"*住宅*")&gt;0,E$29*E19/E$32,0),2)</f>
        <v>0</v>
      </c>
      <c r="M19" s="1147">
        <f>K19+L19</f>
        <v>344.63</v>
      </c>
      <c r="N19" s="1665"/>
      <c r="O19" s="1666"/>
      <c r="P19" s="1147">
        <f>N19+O19</f>
        <v>0</v>
      </c>
      <c r="R19" s="1023">
        <f t="shared" ref="R19:S26" si="5">D19+H19</f>
        <v>13491.96</v>
      </c>
      <c r="S19" s="1024">
        <f t="shared" si="5"/>
        <v>93830.64</v>
      </c>
    </row>
    <row r="20" spans="1:19">
      <c r="A20" s="1667"/>
      <c r="B20" s="47" t="s">
        <v>1152</v>
      </c>
      <c r="C20" s="3412" t="s">
        <v>3395</v>
      </c>
      <c r="D20" s="45">
        <f t="shared" ref="D20:D26" si="6">ROUND($D$3*E20/$E$3,2)</f>
        <v>875.29</v>
      </c>
      <c r="E20" s="53">
        <f t="shared" si="1"/>
        <v>6087.22</v>
      </c>
      <c r="F20" s="2790">
        <f>'数据-基础表'!K5</f>
        <v>2784.03</v>
      </c>
      <c r="G20" s="2791">
        <f>'数据-基础表'!M5</f>
        <v>3303.19</v>
      </c>
      <c r="H20" s="670">
        <f t="shared" ref="H20:H26" si="7">ROUND($D$3*I20/$E$3,2)</f>
        <v>3.23</v>
      </c>
      <c r="I20" s="48">
        <f t="shared" si="2"/>
        <v>22.44</v>
      </c>
      <c r="J20" s="1136"/>
      <c r="K20" s="1135">
        <f t="shared" si="3"/>
        <v>22.44</v>
      </c>
      <c r="L20" s="1023">
        <f t="shared" si="4"/>
        <v>0</v>
      </c>
      <c r="M20" s="1147">
        <f t="shared" ref="M20:M26" si="8">K20+L20</f>
        <v>22.44</v>
      </c>
      <c r="N20" s="1665"/>
      <c r="O20" s="1666"/>
      <c r="P20" s="1147">
        <f t="shared" ref="P20:P26" si="9">N20+O20</f>
        <v>0</v>
      </c>
      <c r="R20" s="1023">
        <f t="shared" si="5"/>
        <v>878.52</v>
      </c>
      <c r="S20" s="1024">
        <f t="shared" si="5"/>
        <v>6109.66</v>
      </c>
    </row>
    <row r="21" spans="1:19">
      <c r="A21" s="1667"/>
      <c r="B21" s="47" t="s">
        <v>1152</v>
      </c>
      <c r="C21" s="3412" t="s">
        <v>3396</v>
      </c>
      <c r="D21" s="45">
        <f t="shared" si="6"/>
        <v>4699.59</v>
      </c>
      <c r="E21" s="53">
        <f t="shared" si="1"/>
        <v>32683.579999999998</v>
      </c>
      <c r="F21" s="2790"/>
      <c r="G21" s="2791">
        <f>'数据-基础表'!O5</f>
        <v>32683.579999999998</v>
      </c>
      <c r="H21" s="670">
        <f t="shared" si="7"/>
        <v>17.329999999999998</v>
      </c>
      <c r="I21" s="48">
        <f t="shared" si="2"/>
        <v>120.49</v>
      </c>
      <c r="J21" s="1136"/>
      <c r="K21" s="1135">
        <f t="shared" si="3"/>
        <v>120.49</v>
      </c>
      <c r="L21" s="1023">
        <f t="shared" si="4"/>
        <v>0</v>
      </c>
      <c r="M21" s="1147">
        <f t="shared" si="8"/>
        <v>120.49</v>
      </c>
      <c r="N21" s="1665"/>
      <c r="O21" s="1666"/>
      <c r="P21" s="1147">
        <f t="shared" si="9"/>
        <v>0</v>
      </c>
      <c r="R21" s="1023">
        <f t="shared" si="5"/>
        <v>4716.92</v>
      </c>
      <c r="S21" s="1024">
        <f t="shared" si="5"/>
        <v>32804.07</v>
      </c>
    </row>
    <row r="22" spans="1:19">
      <c r="A22" s="1667"/>
      <c r="B22" s="47" t="s">
        <v>1152</v>
      </c>
      <c r="C22" s="3413"/>
      <c r="D22" s="45">
        <f t="shared" si="6"/>
        <v>0</v>
      </c>
      <c r="E22" s="53">
        <f t="shared" si="1"/>
        <v>0</v>
      </c>
      <c r="F22" s="2792"/>
      <c r="G22" s="2793"/>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3"/>
      <c r="D23" s="45">
        <f>ROUND($D$3*E23/$E$3,2)</f>
        <v>0</v>
      </c>
      <c r="E23" s="53">
        <f>SUM(F23:G23)</f>
        <v>0</v>
      </c>
      <c r="F23" s="2792"/>
      <c r="G23" s="2793"/>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3"/>
      <c r="D24" s="45">
        <f>ROUND($D$3*E24/$E$3,2)</f>
        <v>0</v>
      </c>
      <c r="E24" s="53">
        <f>SUM(F24:G24)</f>
        <v>0</v>
      </c>
      <c r="F24" s="2792"/>
      <c r="G24" s="2793"/>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19017.29</v>
      </c>
      <c r="E27" s="1138">
        <f>IF(SUM(E19:E26)='数据-基础表'!BA5,SUM(E19:E26),IF(F27="地上面积有误","面积有误","地下面积有误"))</f>
        <v>132256.81</v>
      </c>
      <c r="F27" s="1137">
        <f>IF(SUM(F19:F26)=E8,SUM(F19:F26),"地上面积有误")</f>
        <v>96270.04</v>
      </c>
      <c r="G27" s="1139">
        <f>SUM(G19:G26)</f>
        <v>35986.769999999997</v>
      </c>
      <c r="H27" s="1140">
        <f>SUM(H19:H26)</f>
        <v>70.109999999999985</v>
      </c>
      <c r="I27" s="1141">
        <f>SUM(I19:I26)</f>
        <v>487.56</v>
      </c>
      <c r="J27" s="1136"/>
      <c r="K27" s="1144">
        <f>SUM(K19:K26)</f>
        <v>487.56</v>
      </c>
      <c r="L27" s="1145">
        <f>SUM(L19:L26)</f>
        <v>0</v>
      </c>
      <c r="M27" s="1148">
        <f>SUM(M19:M26)</f>
        <v>487.56</v>
      </c>
      <c r="N27" s="1144">
        <f t="shared" ref="N27:O27" si="10">SUM(N19:N26)</f>
        <v>0</v>
      </c>
      <c r="O27" s="1145">
        <f t="shared" si="10"/>
        <v>0</v>
      </c>
      <c r="P27" s="1146">
        <f>SUM(P19:P26)</f>
        <v>0</v>
      </c>
      <c r="R27" s="1025">
        <f>IF(SUM(R19:R26)=$D$3,SUM(R19:R26),SUM(R19:R26)&amp;"误差"&amp;ROUND(SUM(R19:R26)-$D$3,2))</f>
        <v>19087.400000000001</v>
      </c>
      <c r="S27" s="1023">
        <f>IF(SUM(S19:S26)=$E$3,SUM(S19:S26),SUM(S19:S26)&amp;"误差"&amp;ROUND(SUM(S19:S26)-E3,2))</f>
        <v>132744.37</v>
      </c>
    </row>
    <row r="28" spans="1:19">
      <c r="A28" s="1667"/>
      <c r="B28" s="47" t="s">
        <v>1154</v>
      </c>
      <c r="C28" s="1035" t="s">
        <v>1155</v>
      </c>
      <c r="D28" s="45">
        <f>ROUND($D$3*E28/$E$3,2)</f>
        <v>70.11</v>
      </c>
      <c r="E28" s="53">
        <f>SUM(F28:G28)</f>
        <v>487.56</v>
      </c>
      <c r="F28" s="56">
        <f>'数据-基础表'!BQ5+'数据-基础表'!BS5</f>
        <v>487.56</v>
      </c>
      <c r="G28" s="57">
        <f>'数据-基础表'!BR5+'数据-基础表'!BT5</f>
        <v>0</v>
      </c>
      <c r="H28" s="2654"/>
      <c r="I28" s="2654"/>
      <c r="J28" s="2654"/>
      <c r="K28" s="2654"/>
      <c r="L28" s="2654"/>
      <c r="M28" s="2654"/>
      <c r="N28" s="2654"/>
      <c r="O28" s="2654"/>
      <c r="P28" s="2654"/>
    </row>
    <row r="29" spans="1:19">
      <c r="A29" s="1667"/>
      <c r="B29" s="47" t="s">
        <v>1154</v>
      </c>
      <c r="C29" s="1671"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1153</v>
      </c>
      <c r="D30" s="1137">
        <f>SUM(D28:D29)</f>
        <v>70.11</v>
      </c>
      <c r="E30" s="1137">
        <f>SUM(E28:E29)</f>
        <v>487.56</v>
      </c>
      <c r="F30" s="1137">
        <f>SUM(F28:F29)</f>
        <v>487.56</v>
      </c>
      <c r="G30" s="1139">
        <f>SUM(G28:G29)</f>
        <v>0</v>
      </c>
      <c r="H30" s="2654"/>
      <c r="I30" s="2654"/>
      <c r="J30" s="2654"/>
      <c r="K30" s="2654"/>
      <c r="L30" s="2654"/>
      <c r="M30" s="2654"/>
      <c r="N30" s="2654"/>
      <c r="O30" s="2654"/>
      <c r="P30" s="2654"/>
    </row>
    <row r="31" spans="1:19" ht="15.75" thickBot="1">
      <c r="A31" s="1673"/>
      <c r="B31" s="1674"/>
      <c r="C31" s="832" t="s">
        <v>1157</v>
      </c>
      <c r="D31" s="676">
        <f>D27+D30</f>
        <v>19087.400000000001</v>
      </c>
      <c r="E31" s="676">
        <f>E27+E30</f>
        <v>132744.37</v>
      </c>
      <c r="F31" s="677">
        <f>F27+F30</f>
        <v>96757.599999999991</v>
      </c>
      <c r="G31" s="678">
        <f>G27+G30</f>
        <v>35986.769999999997</v>
      </c>
      <c r="H31" s="2654"/>
      <c r="I31" s="2654"/>
      <c r="J31" s="2654"/>
      <c r="K31" s="2654"/>
      <c r="L31" s="2654"/>
      <c r="M31" s="2654"/>
      <c r="N31" s="2654"/>
      <c r="O31" s="2654"/>
      <c r="P31" s="2654"/>
    </row>
    <row r="32" spans="1:19">
      <c r="A32" s="1640"/>
      <c r="B32" s="1640" t="s">
        <v>1158</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V26" sqref="V2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1160</v>
      </c>
      <c r="B2" s="1042">
        <f>项目基本情况!D3</f>
        <v>45118</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3"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3385</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58490</v>
      </c>
      <c r="F6" s="64">
        <f>SUMIF(项目基本情况!C$12:I$12,C6,项目基本情况!C$15:I$15)</f>
        <v>36.630000000000003</v>
      </c>
      <c r="G6" s="65">
        <f>IF(ISERROR(ROUND(POWER(1+H6,D6-F6)*(POWER(1+H6,F6)-1)/(POWER(1+H6,D6)-1),3)),0,ROUND(POWER(1+H6,D6-F6)*(POWER(1+H6,F6)-1)/(POWER(1+H6,D6)-1),3))</f>
        <v>0.91200000000000003</v>
      </c>
      <c r="H6" s="732">
        <v>0.05</v>
      </c>
      <c r="I6" s="732">
        <v>5.5E-2</v>
      </c>
      <c r="J6" s="66">
        <v>7.0000000000000007E-2</v>
      </c>
      <c r="K6" s="1027">
        <f>SUMIF('数据-汇总表'!C$19:C$33,A6,'数据-汇总表'!E$19:E$33)</f>
        <v>93486.01</v>
      </c>
      <c r="L6" s="733">
        <f>L17+L19</f>
        <v>5200</v>
      </c>
      <c r="M6" s="67">
        <f t="shared" ref="M6:M14" si="0">ROUND(K6*L6/10000,0)</f>
        <v>48613</v>
      </c>
      <c r="N6" s="731">
        <f>N20</f>
        <v>0.88</v>
      </c>
      <c r="O6" s="67" t="str">
        <f>IF($N$5="成新度","——",ROUND(M6*N6,0))</f>
        <v>——</v>
      </c>
      <c r="P6" s="68" t="str">
        <f>IF($N$5="成新度","——",M6-O6)</f>
        <v>——</v>
      </c>
      <c r="Q6" s="734">
        <v>0.15</v>
      </c>
      <c r="R6" s="69">
        <f ca="1">SUMIF('数据-汇总表'!C$19:C$33,A6,'数据-汇总表'!R$19:R$27)</f>
        <v>13491.96</v>
      </c>
      <c r="S6" s="51">
        <f>IF('数据-汇总表'!$I$17="按面积比例",SUMIF('数据-汇总表'!C$19:C$33,A6,'数据-汇总表'!K$19:K$33),SUMIF('数据-汇总表'!C$19:C$33,A6,'数据-汇总表'!N$19:N$33))</f>
        <v>344.63</v>
      </c>
      <c r="T6" s="1169">
        <f>ROUND($L$14*S6/10000,0)</f>
        <v>145</v>
      </c>
      <c r="U6" s="3423">
        <v>10</v>
      </c>
      <c r="V6" s="70">
        <v>2.5000000000000001E-2</v>
      </c>
      <c r="W6" s="70">
        <v>0.1</v>
      </c>
      <c r="X6" s="1037"/>
      <c r="Y6" s="71">
        <f>N6</f>
        <v>0.88</v>
      </c>
      <c r="Z6" s="72"/>
      <c r="AA6" s="66"/>
      <c r="AB6" s="66"/>
      <c r="AC6" s="1037"/>
      <c r="AD6" s="73"/>
      <c r="AE6" s="1038">
        <f ca="1">IF(AN6="",0,SUMIF(INDIRECT("'"&amp;AN6&amp;"'"&amp;"!E:E"),$AE$5,INDIRECT("'"&amp;AN6&amp;"'"&amp;"!F:F")))</f>
        <v>36.630000000000003</v>
      </c>
      <c r="AF6" s="1345"/>
      <c r="AG6" s="138">
        <f>IF(AF6="",0,AE6-AF6)</f>
        <v>0</v>
      </c>
      <c r="AH6" s="74"/>
      <c r="AI6" s="76">
        <v>365</v>
      </c>
      <c r="AJ6" s="77"/>
      <c r="AK6" s="78">
        <v>0.01</v>
      </c>
      <c r="AL6" s="79">
        <v>1E-3</v>
      </c>
      <c r="AM6" s="80">
        <v>0.01</v>
      </c>
      <c r="AN6" s="1712" t="s">
        <v>3411</v>
      </c>
      <c r="AO6" s="52">
        <f ca="1">SUMIF(INDIRECT("'"&amp;AN6&amp;"'"&amp;"!A:A"),"总价",INDIRECT("'"&amp;AN6&amp;"'"&amp;"!B:B"))</f>
        <v>534832</v>
      </c>
      <c r="AP6" s="1713">
        <f>IF(C6="住宅",K6*L6,0)</f>
        <v>0</v>
      </c>
      <c r="AQ6" s="52">
        <f>ROUND($L$14*$N$14*S6/10000,0)</f>
        <v>127</v>
      </c>
      <c r="AR6" s="52">
        <f>ROUND($L$14*(1-$N$14)*S6/10000,0)</f>
        <v>17</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54838</v>
      </c>
      <c r="F7" s="64">
        <f>SUMIF(项目基本情况!C$12:I$12,C7,项目基本情况!C$15:I$15)</f>
        <v>26.63</v>
      </c>
      <c r="G7" s="65">
        <f t="shared" ref="G7:G11" si="2">IF(ISERROR(ROUND(POWER(1+H7,D7-F7)*(POWER(1+H7,F7)-1)/(POWER(1+H7,D7)-1),3)),0,ROUND(POWER(1+H7,D7-F7)*(POWER(1+H7,F7)-1)/(POWER(1+H7,D7)-1),3))</f>
        <v>0.86099999999999999</v>
      </c>
      <c r="H7" s="732">
        <v>5.5E-2</v>
      </c>
      <c r="I7" s="732">
        <v>0.06</v>
      </c>
      <c r="J7" s="66">
        <f>J6</f>
        <v>7.0000000000000007E-2</v>
      </c>
      <c r="K7" s="1027">
        <f>SUMIF('数据-汇总表'!C$19:C$33,A7,'数据-汇总表'!E$19:E$33)</f>
        <v>6087.22</v>
      </c>
      <c r="L7" s="733">
        <f>L17+L19</f>
        <v>5200</v>
      </c>
      <c r="M7" s="67">
        <f t="shared" si="0"/>
        <v>3165</v>
      </c>
      <c r="N7" s="731">
        <f>N6</f>
        <v>0.88</v>
      </c>
      <c r="O7" s="67" t="str">
        <f t="shared" ref="O7:O14" si="3">IF($N$5="成新度","——",ROUND(M7*N7,0))</f>
        <v>——</v>
      </c>
      <c r="P7" s="68" t="str">
        <f t="shared" ref="P7:P14" si="4">IF($N$5="成新度","——",M7-O7)</f>
        <v>——</v>
      </c>
      <c r="Q7" s="734">
        <v>0.15</v>
      </c>
      <c r="R7" s="69">
        <f ca="1">SUMIF('数据-汇总表'!C$19:C$33,A7,'数据-汇总表'!R$19:R$27)</f>
        <v>878.52</v>
      </c>
      <c r="S7" s="51">
        <f>IF('数据-汇总表'!$I$17="按面积比例",SUMIF('数据-汇总表'!C$19:C$33,A7,'数据-汇总表'!K$19:K$33),SUMIF('数据-汇总表'!C$19:C$33,A7,'数据-汇总表'!N$19:N$33))</f>
        <v>22.44</v>
      </c>
      <c r="T7" s="1169">
        <f t="shared" ref="T7:T13" si="5">ROUND($L$14*S7/10000,0)</f>
        <v>9</v>
      </c>
      <c r="U7" s="3423">
        <f>Y21</f>
        <v>5</v>
      </c>
      <c r="V7" s="70">
        <f>V6</f>
        <v>2.5000000000000001E-2</v>
      </c>
      <c r="W7" s="70">
        <v>0.1</v>
      </c>
      <c r="X7" s="1037"/>
      <c r="Y7" s="71">
        <f>N7</f>
        <v>0.88</v>
      </c>
      <c r="Z7" s="72"/>
      <c r="AA7" s="66"/>
      <c r="AB7" s="66"/>
      <c r="AC7" s="1037"/>
      <c r="AD7" s="73"/>
      <c r="AE7" s="1038">
        <f t="shared" ref="AE7:AE13" ca="1" si="6">IF(AN7="",0,SUMIF(INDIRECT("'"&amp;AN7&amp;"'"&amp;"!E:E"),$AE$5,INDIRECT("'"&amp;AN7&amp;"'"&amp;"!F:F")))</f>
        <v>26.63</v>
      </c>
      <c r="AF7" s="1345"/>
      <c r="AG7" s="138">
        <f t="shared" ref="AG7:AG13" si="7">IF(AF7="",0,AE7-AF7)</f>
        <v>0</v>
      </c>
      <c r="AH7" s="74"/>
      <c r="AI7" s="76">
        <v>365</v>
      </c>
      <c r="AJ7" s="77"/>
      <c r="AK7" s="78">
        <f t="shared" ref="AK7:AM8" si="8">AK6</f>
        <v>0.01</v>
      </c>
      <c r="AL7" s="78">
        <f t="shared" si="8"/>
        <v>1E-3</v>
      </c>
      <c r="AM7" s="78">
        <f t="shared" si="8"/>
        <v>0.01</v>
      </c>
      <c r="AN7" s="1712" t="s">
        <v>3413</v>
      </c>
      <c r="AO7" s="52">
        <f t="shared" ref="AO7:AO13" ca="1" si="9">SUMIF(INDIRECT("'"&amp;AN7&amp;"'"&amp;"!A:A"),"总价",INDIRECT("'"&amp;AN7&amp;"'"&amp;"!B:B"))</f>
        <v>13331</v>
      </c>
      <c r="AP7" s="1713">
        <f t="shared" ref="AP7:AP13" si="10">IF(C7="住宅",K7*L7,0)</f>
        <v>0</v>
      </c>
      <c r="AQ7" s="52">
        <f t="shared" ref="AQ7:AQ13" si="11">ROUND($L$14*$N$14*S7/10000,0)</f>
        <v>8</v>
      </c>
      <c r="AR7" s="52">
        <f t="shared" ref="AR7:AR13" si="12">ROUND($L$14*(1-$N$14)*S7/10000,0)</f>
        <v>1</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3332</v>
      </c>
      <c r="D8" s="855">
        <f>SUMIF(项目基本情况!C$12:I$12,C8,项目基本情况!C$14:I$14)</f>
        <v>50</v>
      </c>
      <c r="E8" s="854">
        <f>IF(B8="","",SUMIF(项目基本情况!C$12:I$12,C8,项目基本情况!C$13:I$13))</f>
        <v>58490</v>
      </c>
      <c r="F8" s="64">
        <f>SUMIF(项目基本情况!C$12:I$12,C8,项目基本情况!C$15:I$15)</f>
        <v>36.630000000000003</v>
      </c>
      <c r="G8" s="65">
        <f t="shared" si="2"/>
        <v>0.9</v>
      </c>
      <c r="H8" s="732">
        <v>4.4999999999999998E-2</v>
      </c>
      <c r="I8" s="732">
        <v>0.05</v>
      </c>
      <c r="J8" s="66">
        <f>J6</f>
        <v>7.0000000000000007E-2</v>
      </c>
      <c r="K8" s="1027">
        <f>SUMIF('数据-汇总表'!C$19:C$33,A8,'数据-汇总表'!E$19:E$33)</f>
        <v>32683.579999999998</v>
      </c>
      <c r="L8" s="733">
        <f>L17+L18</f>
        <v>4700</v>
      </c>
      <c r="M8" s="67">
        <f>ROUND(K8*L8/10000,0)</f>
        <v>15361</v>
      </c>
      <c r="N8" s="731">
        <f>N7</f>
        <v>0.88</v>
      </c>
      <c r="O8" s="67" t="str">
        <f t="shared" si="3"/>
        <v>——</v>
      </c>
      <c r="P8" s="68" t="str">
        <f t="shared" si="4"/>
        <v>——</v>
      </c>
      <c r="Q8" s="734">
        <v>0.1</v>
      </c>
      <c r="R8" s="69">
        <f ca="1">SUMIF('数据-汇总表'!C$19:C$33,A8,'数据-汇总表'!R$19:R$27)</f>
        <v>4716.92</v>
      </c>
      <c r="S8" s="51">
        <f>IF('数据-汇总表'!$I$17="按面积比例",SUMIF('数据-汇总表'!C$19:C$33,A8,'数据-汇总表'!K$19:K$33),SUMIF('数据-汇总表'!C$19:C$33,A8,'数据-汇总表'!N$19:N$33))</f>
        <v>120.49</v>
      </c>
      <c r="T8" s="1169">
        <f t="shared" si="5"/>
        <v>51</v>
      </c>
      <c r="U8" s="3424">
        <v>1000</v>
      </c>
      <c r="V8" s="735">
        <v>1.4999999999999999E-2</v>
      </c>
      <c r="W8" s="735">
        <v>0.15</v>
      </c>
      <c r="X8" s="1037"/>
      <c r="Y8" s="71">
        <f>N8</f>
        <v>0.88</v>
      </c>
      <c r="Z8" s="72"/>
      <c r="AA8" s="66"/>
      <c r="AB8" s="66"/>
      <c r="AC8" s="1037"/>
      <c r="AD8" s="73"/>
      <c r="AE8" s="1038">
        <f t="shared" ca="1" si="6"/>
        <v>36.630000000000003</v>
      </c>
      <c r="AF8" s="1345"/>
      <c r="AG8" s="138">
        <f t="shared" si="7"/>
        <v>0</v>
      </c>
      <c r="AH8" s="736">
        <v>1027</v>
      </c>
      <c r="AI8" s="76">
        <v>12</v>
      </c>
      <c r="AJ8" s="77"/>
      <c r="AK8" s="78">
        <f t="shared" si="8"/>
        <v>0.01</v>
      </c>
      <c r="AL8" s="78">
        <f t="shared" si="8"/>
        <v>1E-3</v>
      </c>
      <c r="AM8" s="78">
        <f t="shared" si="8"/>
        <v>0.01</v>
      </c>
      <c r="AN8" s="1712" t="s">
        <v>3415</v>
      </c>
      <c r="AO8" s="52">
        <f t="shared" ca="1" si="9"/>
        <v>13243</v>
      </c>
      <c r="AP8" s="1713">
        <f t="shared" si="10"/>
        <v>0</v>
      </c>
      <c r="AQ8" s="52">
        <f t="shared" si="11"/>
        <v>45</v>
      </c>
      <c r="AR8" s="52">
        <f t="shared" si="12"/>
        <v>6</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9"/>
        <v>#REF!</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5"/>
      <c r="E14" s="854"/>
      <c r="F14" s="64"/>
      <c r="G14" s="65"/>
      <c r="H14" s="1026"/>
      <c r="I14" s="1026"/>
      <c r="J14" s="1026"/>
      <c r="K14" s="1027">
        <f>SUMIF('数据-汇总表'!C$19:C$33,A14,'数据-汇总表'!E$19:E$33)</f>
        <v>487.56</v>
      </c>
      <c r="L14" s="82">
        <f>L17</f>
        <v>4200</v>
      </c>
      <c r="M14" s="67">
        <f t="shared" si="0"/>
        <v>205</v>
      </c>
      <c r="N14" s="83">
        <f>N6</f>
        <v>0.88</v>
      </c>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0"/>
      <c r="D16" s="1717"/>
      <c r="E16" s="88"/>
      <c r="F16" s="88"/>
      <c r="G16" s="89">
        <f>ROUND(SUMPRODUCT(G6:G13,K6:K13)/SUMPRODUCT((G6:G13&gt;0)*(K6:K13)),3)</f>
        <v>0.90700000000000003</v>
      </c>
      <c r="H16" s="90">
        <f>ROUND(SUMPRODUCT(H6:H13,K6:K13)/SUMPRODUCT((H6:H13&gt;0)*(K6:K13)),3)</f>
        <v>4.9000000000000002E-2</v>
      </c>
      <c r="I16" s="91"/>
      <c r="J16" s="91"/>
      <c r="K16" s="92">
        <f>SUM(K6:K15)</f>
        <v>132744.37</v>
      </c>
      <c r="L16" s="93">
        <f>ROUND(M16*10000/SUM(K6:K14),0)</f>
        <v>5073</v>
      </c>
      <c r="M16" s="93">
        <f>SUM(M6:M14)</f>
        <v>67344</v>
      </c>
      <c r="N16" s="94">
        <f>ROUND(SUMPRODUCT(M6:M14,N6:N14)/M16,3)</f>
        <v>0.88</v>
      </c>
      <c r="O16" s="93">
        <f>SUM(O6:O14)</f>
        <v>0</v>
      </c>
      <c r="P16" s="93">
        <f>SUM(P6:P14)</f>
        <v>0</v>
      </c>
      <c r="Q16" s="95">
        <f>ROUND(SUMPRODUCT(Q6:Q13,K6:K13)/SUMPRODUCT((Q6:Q13&gt;0)*(K6:K13)),2)</f>
        <v>0.14000000000000001</v>
      </c>
      <c r="R16" s="1031">
        <f ca="1">SUM(R6:R13)</f>
        <v>19087.400000000001</v>
      </c>
      <c r="S16" s="96">
        <f>SUM(S6:S13)</f>
        <v>487.56</v>
      </c>
      <c r="T16" s="97">
        <f>IF(SUMIF(T6:T13,"&lt;9E307")=M14,SUMIF(T6:T13,"&lt;9E307"),"有误，请检查")</f>
        <v>205</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3470" t="s">
        <v>3397</v>
      </c>
      <c r="L17" s="2667">
        <v>4200</v>
      </c>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3470" t="s">
        <v>3398</v>
      </c>
      <c r="L18" s="2667">
        <v>500</v>
      </c>
      <c r="M18" s="2666"/>
      <c r="N18" s="2666"/>
      <c r="O18" s="2666"/>
      <c r="P18" s="2666"/>
      <c r="Q18" s="2666"/>
      <c r="R18" s="2666"/>
      <c r="S18" s="2666"/>
      <c r="T18" s="2666"/>
      <c r="U18" s="2666"/>
      <c r="V18" s="2666"/>
      <c r="W18" s="3467" t="s">
        <v>3424</v>
      </c>
      <c r="X18" s="3467" t="s">
        <v>3426</v>
      </c>
      <c r="Y18" s="3467" t="s">
        <v>3425</v>
      </c>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1210</v>
      </c>
      <c r="B19" s="103">
        <v>0</v>
      </c>
      <c r="C19" s="2794" t="s">
        <v>2299</v>
      </c>
      <c r="D19" s="2671"/>
      <c r="E19" s="2668"/>
      <c r="F19" s="2668"/>
      <c r="G19" s="2668"/>
      <c r="H19" s="2668"/>
      <c r="I19" s="2668"/>
      <c r="J19" s="2668"/>
      <c r="K19" s="3470" t="s">
        <v>3399</v>
      </c>
      <c r="L19" s="2667">
        <v>1000</v>
      </c>
      <c r="M19" s="3467" t="s">
        <v>3386</v>
      </c>
      <c r="N19" s="2666">
        <v>2016</v>
      </c>
      <c r="O19" s="2666"/>
      <c r="P19" s="2666"/>
      <c r="Q19" s="2666"/>
      <c r="R19" s="2666"/>
      <c r="S19" s="2666"/>
      <c r="T19" s="2666"/>
      <c r="U19" s="3467" t="s">
        <v>3421</v>
      </c>
      <c r="V19" s="3467" t="s">
        <v>3422</v>
      </c>
      <c r="W19" s="2666">
        <f>'数据-汇总表'!F20</f>
        <v>2784.03</v>
      </c>
      <c r="X19" s="2666">
        <v>1</v>
      </c>
      <c r="Y19" s="2666">
        <v>8</v>
      </c>
      <c r="Z19" s="2666">
        <f>Y19*W19</f>
        <v>22272.240000000002</v>
      </c>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1211</v>
      </c>
      <c r="B20" s="104">
        <v>2</v>
      </c>
      <c r="C20" s="2795" t="s">
        <v>2297</v>
      </c>
      <c r="D20" s="2671"/>
      <c r="E20" s="2668"/>
      <c r="F20" s="2668"/>
      <c r="G20" s="2668"/>
      <c r="H20" s="2668"/>
      <c r="I20" s="2668"/>
      <c r="J20" s="2668"/>
      <c r="K20" s="2667"/>
      <c r="L20" s="2667"/>
      <c r="M20" s="3467" t="s">
        <v>3400</v>
      </c>
      <c r="N20" s="2666">
        <f>ROUND(1-(1-0%)*(2023-N19)/60,2)</f>
        <v>0.88</v>
      </c>
      <c r="O20" s="2666"/>
      <c r="P20" s="2666"/>
      <c r="Q20" s="2666"/>
      <c r="R20" s="2666"/>
      <c r="S20" s="2666"/>
      <c r="T20" s="2666"/>
      <c r="U20" s="2666"/>
      <c r="V20" s="3467" t="s">
        <v>3423</v>
      </c>
      <c r="W20" s="2666">
        <f>'数据-汇总表'!G20</f>
        <v>3303.19</v>
      </c>
      <c r="X20" s="2666">
        <v>0.3</v>
      </c>
      <c r="Y20" s="2666">
        <f>Y19*X20</f>
        <v>2.4</v>
      </c>
      <c r="Z20" s="2666">
        <f>Y20*W20</f>
        <v>7927.6559999999999</v>
      </c>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1212</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f>W20+W19</f>
        <v>6087.22</v>
      </c>
      <c r="X21" s="2666"/>
      <c r="Y21" s="2666">
        <f>ROUND(Z21/W21,1)</f>
        <v>5</v>
      </c>
      <c r="Z21" s="2666">
        <f>Z20+Z19</f>
        <v>30199.896000000001</v>
      </c>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1213</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1216</v>
      </c>
      <c r="B26" s="1723"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1219</v>
      </c>
      <c r="B27" s="107">
        <v>160</v>
      </c>
      <c r="C27" s="2796" t="s">
        <v>2301</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1220</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1221</v>
      </c>
      <c r="B29" s="112">
        <f ca="1">成本法!C10</f>
        <v>2655</v>
      </c>
      <c r="C29" s="2797" t="s">
        <v>2288</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1225</v>
      </c>
      <c r="B33" s="673">
        <v>0.05</v>
      </c>
      <c r="C33" s="2798" t="s">
        <v>2289</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1226</v>
      </c>
      <c r="B34" s="113">
        <v>0</v>
      </c>
      <c r="C34" s="2798" t="s">
        <v>2290</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1227</v>
      </c>
      <c r="B35" s="110">
        <f>B30</f>
        <v>200</v>
      </c>
      <c r="C35" s="2798" t="s">
        <v>2291</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1228</v>
      </c>
      <c r="B36" s="114">
        <v>1.4999999999999999E-2</v>
      </c>
      <c r="C36" s="2798" t="s">
        <v>2292</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1229</v>
      </c>
      <c r="B37" s="115">
        <v>0.02</v>
      </c>
      <c r="C37" s="2798"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1230</v>
      </c>
      <c r="B38" s="113">
        <v>0.02</v>
      </c>
      <c r="C38" s="2798"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3401</v>
      </c>
      <c r="B40" s="1075">
        <f ca="1">IF(A40="利息：取LPR",存贷款利率!G1,存贷款利率!G1+C40)</f>
        <v>3.5499999999999997E-2</v>
      </c>
      <c r="C40" s="2809">
        <v>0</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1235</v>
      </c>
      <c r="B44" s="119">
        <v>7.0000000000000007E-2</v>
      </c>
      <c r="C44" s="2798"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1236</v>
      </c>
      <c r="B45" s="117">
        <v>0.03</v>
      </c>
      <c r="C45" s="2797"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1237</v>
      </c>
      <c r="B46" s="117">
        <v>0.02</v>
      </c>
      <c r="C46" s="2797"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1238</v>
      </c>
      <c r="B47" s="120">
        <v>0</v>
      </c>
      <c r="C47" s="2800"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1239</v>
      </c>
      <c r="B48" s="121">
        <v>0.03</v>
      </c>
      <c r="C48" s="2797"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1240</v>
      </c>
      <c r="B49" s="117">
        <v>5.0000000000000001E-4</v>
      </c>
      <c r="C49" s="2797"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1243</v>
      </c>
      <c r="B52" s="124">
        <f>SUMIF(A54:A63,B53,B54:B63)</f>
        <v>18</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1244</v>
      </c>
      <c r="B53" s="1735" t="s">
        <v>296</v>
      </c>
      <c r="C53" s="2656" t="s">
        <v>1245</v>
      </c>
      <c r="D53" s="2799"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1247</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1248</v>
      </c>
      <c r="B56" s="3471">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65" t="s">
        <v>2280</v>
      </c>
      <c r="B1" s="3566"/>
      <c r="C1" s="3566"/>
      <c r="D1" s="3566"/>
      <c r="E1" s="3566"/>
      <c r="F1" s="3566"/>
      <c r="G1" s="356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2276</v>
      </c>
      <c r="D2" s="2458"/>
      <c r="E2" s="2455"/>
      <c r="F2" s="2459"/>
      <c r="G2" s="2457" t="s">
        <v>2277</v>
      </c>
      <c r="H2" s="796"/>
      <c r="I2" s="796"/>
      <c r="J2" s="796"/>
      <c r="K2" s="796"/>
      <c r="L2" s="796"/>
      <c r="M2" s="796"/>
      <c r="N2" s="796"/>
      <c r="O2" s="796"/>
      <c r="P2" s="796"/>
      <c r="Q2" s="796"/>
      <c r="R2" s="796"/>
    </row>
    <row r="3" spans="1:29" ht="25.5">
      <c r="A3" s="2438" t="s">
        <v>2278</v>
      </c>
      <c r="B3" s="2460" t="s">
        <v>2250</v>
      </c>
      <c r="C3" s="3472" t="s">
        <v>3403</v>
      </c>
      <c r="D3" s="2461"/>
      <c r="E3" s="2439" t="s">
        <v>2278</v>
      </c>
      <c r="F3" s="2462" t="s">
        <v>2251</v>
      </c>
      <c r="G3" s="2463" t="s">
        <v>2279</v>
      </c>
      <c r="H3" s="796"/>
      <c r="I3" s="796"/>
      <c r="J3" s="796"/>
      <c r="K3" s="796"/>
      <c r="L3" s="796"/>
      <c r="M3" s="796"/>
      <c r="N3" s="796"/>
      <c r="O3" s="796"/>
      <c r="P3" s="796"/>
      <c r="Q3" s="796"/>
      <c r="R3" s="796"/>
    </row>
    <row r="4" spans="1:29" ht="36">
      <c r="A4" s="2439"/>
      <c r="B4" s="323" t="s">
        <v>2252</v>
      </c>
      <c r="C4" s="3473" t="s">
        <v>3404</v>
      </c>
      <c r="D4" s="2461"/>
      <c r="E4" s="2464"/>
      <c r="F4" s="1370" t="s">
        <v>2253</v>
      </c>
      <c r="G4" s="2465" t="s">
        <v>2254</v>
      </c>
      <c r="H4" s="796"/>
      <c r="I4" s="796"/>
      <c r="J4" s="796"/>
      <c r="K4" s="796"/>
      <c r="L4" s="796"/>
      <c r="M4" s="796"/>
      <c r="N4" s="796"/>
      <c r="O4" s="796"/>
      <c r="P4" s="796"/>
      <c r="Q4" s="796"/>
      <c r="R4" s="796"/>
    </row>
    <row r="5" spans="1:29" ht="24">
      <c r="A5" s="2439"/>
      <c r="B5" s="323" t="s">
        <v>2255</v>
      </c>
      <c r="C5" s="3473" t="s">
        <v>3404</v>
      </c>
      <c r="D5" s="2461"/>
      <c r="E5" s="2464"/>
      <c r="F5" s="323" t="s">
        <v>2256</v>
      </c>
      <c r="G5" s="2465" t="s">
        <v>2257</v>
      </c>
      <c r="H5" s="796"/>
      <c r="I5" s="796"/>
      <c r="J5" s="796"/>
      <c r="K5" s="796"/>
      <c r="L5" s="796"/>
      <c r="M5" s="796"/>
      <c r="N5" s="796"/>
      <c r="O5" s="796"/>
      <c r="P5" s="796"/>
      <c r="Q5" s="796"/>
      <c r="R5" s="796"/>
    </row>
    <row r="6" spans="1:29">
      <c r="A6" s="2439"/>
      <c r="B6" s="323" t="s">
        <v>2258</v>
      </c>
      <c r="C6" s="3474" t="s">
        <v>3405</v>
      </c>
      <c r="D6" s="2461"/>
      <c r="E6" s="2464"/>
      <c r="F6" s="323" t="s">
        <v>2259</v>
      </c>
      <c r="G6" s="2465" t="s">
        <v>2260</v>
      </c>
      <c r="H6" s="796"/>
      <c r="I6" s="796"/>
      <c r="J6" s="796"/>
      <c r="K6" s="796"/>
      <c r="L6" s="796"/>
      <c r="M6" s="796"/>
      <c r="N6" s="796"/>
      <c r="O6" s="796"/>
      <c r="P6" s="796"/>
      <c r="Q6" s="796"/>
      <c r="R6" s="796"/>
    </row>
    <row r="7" spans="1:29" ht="24.75" thickBot="1">
      <c r="A7" s="2439"/>
      <c r="B7" s="323" t="s">
        <v>2256</v>
      </c>
      <c r="C7" s="3474" t="s">
        <v>3405</v>
      </c>
      <c r="D7" s="2466"/>
      <c r="E7" s="2467"/>
      <c r="F7" s="2468" t="s">
        <v>2261</v>
      </c>
      <c r="G7" s="2469" t="s">
        <v>2262</v>
      </c>
      <c r="H7" s="796"/>
      <c r="I7" s="796"/>
      <c r="J7" s="796"/>
      <c r="K7" s="796"/>
      <c r="L7" s="796"/>
      <c r="M7" s="796"/>
      <c r="N7" s="796"/>
      <c r="O7" s="796"/>
      <c r="P7" s="796"/>
      <c r="Q7" s="796"/>
      <c r="R7" s="796"/>
    </row>
    <row r="8" spans="1:29">
      <c r="A8" s="2439"/>
      <c r="B8" s="323" t="s">
        <v>2259</v>
      </c>
      <c r="C8" s="3474" t="s">
        <v>3406</v>
      </c>
      <c r="D8" s="2466"/>
      <c r="E8" s="2466"/>
      <c r="F8" s="2470"/>
      <c r="G8" s="2470"/>
      <c r="H8" s="796"/>
      <c r="I8" s="796"/>
      <c r="J8" s="796"/>
      <c r="K8" s="796"/>
      <c r="L8" s="796"/>
      <c r="M8" s="796"/>
      <c r="N8" s="796"/>
      <c r="O8" s="796"/>
      <c r="P8" s="796"/>
      <c r="Q8" s="796"/>
      <c r="R8" s="796"/>
    </row>
    <row r="9" spans="1:29">
      <c r="A9" s="2439"/>
      <c r="B9" s="323" t="s">
        <v>2263</v>
      </c>
      <c r="C9" s="3473" t="s">
        <v>3405</v>
      </c>
      <c r="D9" s="2461"/>
      <c r="E9" s="2466"/>
      <c r="F9" s="2470"/>
      <c r="G9" s="2470"/>
      <c r="H9" s="796"/>
      <c r="I9" s="796"/>
      <c r="J9" s="796"/>
      <c r="K9" s="796"/>
      <c r="L9" s="796"/>
      <c r="M9" s="796"/>
      <c r="N9" s="796"/>
      <c r="O9" s="796"/>
      <c r="P9" s="796"/>
      <c r="Q9" s="796"/>
      <c r="R9" s="796"/>
    </row>
    <row r="10" spans="1:29" s="2476" customFormat="1" ht="15" thickBot="1">
      <c r="A10" s="2440"/>
      <c r="B10" s="2471" t="s">
        <v>2264</v>
      </c>
      <c r="C10" s="2472"/>
      <c r="D10" s="2461"/>
      <c r="E10" s="2461"/>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2281</v>
      </c>
      <c r="B13" s="2479"/>
      <c r="C13" s="2479"/>
      <c r="D13" s="2477"/>
      <c r="E13" s="2479"/>
      <c r="F13" s="2479"/>
      <c r="G13" s="2479"/>
    </row>
    <row r="14" spans="1:29" ht="15" thickBot="1">
      <c r="A14" s="2489"/>
      <c r="B14" s="2489"/>
      <c r="C14" s="2490" t="s">
        <v>2265</v>
      </c>
      <c r="D14" s="2461"/>
      <c r="E14" s="2491"/>
      <c r="F14" s="2491"/>
      <c r="G14" s="2457" t="s">
        <v>2266</v>
      </c>
    </row>
    <row r="15" spans="1:29" ht="25.5">
      <c r="A15" s="2441" t="s">
        <v>2267</v>
      </c>
      <c r="B15" s="2492" t="s">
        <v>2250</v>
      </c>
      <c r="C15" s="2493" t="str">
        <f>C3</f>
        <v>较好</v>
      </c>
      <c r="D15" s="2461"/>
      <c r="E15" s="2442" t="s">
        <v>2268</v>
      </c>
      <c r="F15" s="2492" t="s">
        <v>2269</v>
      </c>
      <c r="G15" s="2494" t="str">
        <f>G3</f>
        <v>估价对象位于XX开发区，园区建设成熟度XX，产业集聚程度XX</v>
      </c>
    </row>
    <row r="16" spans="1:29" ht="38.25">
      <c r="A16" s="2443"/>
      <c r="B16" s="2495" t="s">
        <v>2252</v>
      </c>
      <c r="C16" s="2496" t="str">
        <f>C4</f>
        <v>较好</v>
      </c>
      <c r="D16" s="2461"/>
      <c r="E16" s="2444"/>
      <c r="F16" s="2497" t="s">
        <v>2253</v>
      </c>
      <c r="G16" s="2498" t="str">
        <f>G4</f>
        <v>估价对象周边道路状况、公共交通通达情况、停车便捷程度，综合评价交通便捷度较好</v>
      </c>
    </row>
    <row r="17" spans="1:18">
      <c r="A17" s="2443"/>
      <c r="B17" s="2495" t="s">
        <v>2255</v>
      </c>
      <c r="C17" s="2496" t="str">
        <f>C5</f>
        <v>较好</v>
      </c>
      <c r="D17" s="2466"/>
      <c r="E17" s="2444"/>
      <c r="F17" s="2497" t="s">
        <v>2270</v>
      </c>
      <c r="G17" s="2499"/>
    </row>
    <row r="18" spans="1:18" ht="25.5">
      <c r="A18" s="2443"/>
      <c r="B18" s="2497" t="s">
        <v>2258</v>
      </c>
      <c r="C18" s="2498" t="str">
        <f>C6</f>
        <v>较好</v>
      </c>
      <c r="D18" s="2466"/>
      <c r="E18" s="2444"/>
      <c r="F18" s="2497" t="s">
        <v>2261</v>
      </c>
      <c r="G18" s="2498" t="str">
        <f>G7</f>
        <v>该园区内是否有污染型企业，绿化情况，卫生条件，整体环境状况判断</v>
      </c>
    </row>
    <row r="19" spans="1:18" ht="25.5">
      <c r="A19" s="2443"/>
      <c r="B19" s="2497" t="s">
        <v>2271</v>
      </c>
      <c r="C19" s="2499"/>
      <c r="D19" s="2461"/>
      <c r="E19" s="2444"/>
      <c r="F19" s="323" t="s">
        <v>2256</v>
      </c>
      <c r="G19" s="2498" t="str">
        <f>G5</f>
        <v>估价对象所在区域公共配套设施齐备情况</v>
      </c>
    </row>
    <row r="20" spans="1:18">
      <c r="A20" s="2443"/>
      <c r="B20" s="2497" t="s">
        <v>2272</v>
      </c>
      <c r="C20" s="2496" t="str">
        <f>C9</f>
        <v>较好</v>
      </c>
      <c r="D20" s="2466"/>
      <c r="E20" s="2444"/>
      <c r="F20" s="323" t="s">
        <v>2259</v>
      </c>
      <c r="G20" s="2498" t="str">
        <f>G6</f>
        <v>估价对象所在区域基础设施水平</v>
      </c>
    </row>
    <row r="21" spans="1:18">
      <c r="A21" s="2443"/>
      <c r="B21" s="323" t="s">
        <v>2256</v>
      </c>
      <c r="C21" s="2498" t="str">
        <f>C7</f>
        <v>较好</v>
      </c>
      <c r="D21" s="2461"/>
      <c r="E21" s="2444"/>
      <c r="F21" s="2497" t="s">
        <v>2273</v>
      </c>
      <c r="G21" s="2500"/>
    </row>
    <row r="22" spans="1:18" ht="13.5" customHeight="1">
      <c r="A22" s="2443"/>
      <c r="B22" s="323" t="s">
        <v>2259</v>
      </c>
      <c r="C22" s="2498" t="str">
        <f>C8</f>
        <v>七通</v>
      </c>
      <c r="D22" s="2461"/>
      <c r="E22" s="2444"/>
      <c r="F22" s="2497" t="s">
        <v>2264</v>
      </c>
      <c r="G22" s="2499"/>
    </row>
    <row r="23" spans="1:18" s="796" customFormat="1" ht="15" thickBot="1">
      <c r="A23" s="2443"/>
      <c r="B23" s="2497" t="s">
        <v>2273</v>
      </c>
      <c r="C23" s="2500"/>
      <c r="D23" s="1738"/>
      <c r="E23" s="2445"/>
      <c r="F23" s="2501" t="s">
        <v>2274</v>
      </c>
      <c r="G23" s="2502"/>
      <c r="H23" s="2486"/>
      <c r="I23" s="2487"/>
      <c r="J23" s="2486"/>
      <c r="K23" s="2486"/>
      <c r="L23" s="2487"/>
      <c r="M23" s="2486"/>
      <c r="N23" s="2486"/>
      <c r="O23" s="2487"/>
      <c r="P23" s="2486"/>
      <c r="Q23" s="2486"/>
      <c r="R23" s="2488"/>
    </row>
    <row r="24" spans="1:18" s="796" customFormat="1" ht="15" thickBot="1">
      <c r="A24" s="2446"/>
      <c r="B24" s="2501" t="s">
        <v>2275</v>
      </c>
      <c r="C24" s="2503">
        <f>C10</f>
        <v>0</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0</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45118</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SUM(D14:D23)</f>
        <v>0</v>
      </c>
      <c r="C5" s="2507">
        <f ca="1">IF(B5=D14,结果表!H102,ROUND(B5*10000/$B$1,0))</f>
        <v>37508</v>
      </c>
      <c r="D5" s="2507" t="e">
        <f>ROUND(B5*10000/$B$2,0)</f>
        <v>#DIV/0!</v>
      </c>
      <c r="E5" s="2681"/>
      <c r="F5" s="2682"/>
      <c r="G5" s="2682"/>
      <c r="H5" s="2683"/>
      <c r="I5" s="2683"/>
      <c r="J5" s="2683"/>
      <c r="K5" s="2683"/>
    </row>
    <row r="6" spans="1:11" ht="16.5">
      <c r="A6" s="2507" t="s">
        <v>656</v>
      </c>
      <c r="B6" s="2507">
        <f>SUM(G14:G23)</f>
        <v>0</v>
      </c>
      <c r="C6" s="2507">
        <f ca="1">IF(B6=G14,结果表!H108,ROUND(B6*10000/$B$1,0))</f>
        <v>37508</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3355</v>
      </c>
      <c r="D10" s="2507" t="s">
        <v>3356</v>
      </c>
      <c r="E10" s="3436"/>
      <c r="F10" s="3440" t="s">
        <v>3357</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c r="C14" s="2513"/>
      <c r="D14" s="2513"/>
      <c r="E14" s="2513" t="e">
        <f>ROUND(D14*10000/B14,0)</f>
        <v>#DIV/0!</v>
      </c>
      <c r="F14" s="2513" t="e">
        <f>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1261</v>
      </c>
      <c r="B1" s="1744"/>
      <c r="C1" s="1745"/>
      <c r="D1" s="1744"/>
      <c r="E1" s="1744"/>
      <c r="F1" s="1746" t="s">
        <v>1262</v>
      </c>
      <c r="G1" s="1558" t="s">
        <v>3448</v>
      </c>
      <c r="H1" s="1747" t="str">
        <f>IF(G1="现房","——","估价对象范围")</f>
        <v>——</v>
      </c>
      <c r="I1" s="1748" t="s">
        <v>3449</v>
      </c>
    </row>
    <row r="2" spans="1:12" ht="21.75" customHeight="1" thickBot="1">
      <c r="A2" s="3634" t="str">
        <f>项目基本情况!S2</f>
        <v>北京市朝阳区安定路5号院房地产</v>
      </c>
      <c r="B2" s="3635"/>
      <c r="C2" s="3635"/>
      <c r="D2" s="3635"/>
      <c r="E2" s="3635"/>
      <c r="F2" s="3635"/>
      <c r="G2" s="3635"/>
      <c r="H2" s="3635"/>
      <c r="I2" s="3636"/>
    </row>
    <row r="3" spans="1:12" ht="12.75">
      <c r="A3" s="3638" t="s">
        <v>1263</v>
      </c>
      <c r="B3" s="3639"/>
      <c r="C3" s="3639"/>
      <c r="D3" s="3639"/>
      <c r="E3" s="3639"/>
      <c r="F3" s="3639"/>
      <c r="G3" s="3639"/>
      <c r="H3" s="3639"/>
      <c r="I3" s="3639"/>
    </row>
    <row r="4" spans="1:12" ht="14.25">
      <c r="A4" s="1751" t="s">
        <v>1264</v>
      </c>
      <c r="B4" s="1752" t="s">
        <v>1265</v>
      </c>
      <c r="C4" s="1753" t="s">
        <v>3450</v>
      </c>
      <c r="D4" s="1753" t="s">
        <v>3451</v>
      </c>
      <c r="E4" s="3643" t="s">
        <v>1266</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1267</v>
      </c>
      <c r="B5" s="3637">
        <v>25</v>
      </c>
      <c r="C5" s="3640"/>
      <c r="D5" s="3628"/>
      <c r="E5" s="131" t="s">
        <v>1268</v>
      </c>
      <c r="F5" s="1754"/>
      <c r="G5" s="1754"/>
      <c r="H5" s="1754"/>
      <c r="I5" s="1370"/>
    </row>
    <row r="6" spans="1:12" ht="12.75">
      <c r="A6" s="3582"/>
      <c r="B6" s="3637"/>
      <c r="C6" s="3642"/>
      <c r="D6" s="3628"/>
      <c r="E6" s="131" t="s">
        <v>1269</v>
      </c>
      <c r="F6" s="1754"/>
      <c r="G6" s="1754"/>
      <c r="H6" s="1754"/>
      <c r="I6" s="1370"/>
    </row>
    <row r="7" spans="1:12" ht="12.75">
      <c r="A7" s="3582"/>
      <c r="B7" s="3637"/>
      <c r="C7" s="3641"/>
      <c r="D7" s="3628"/>
      <c r="E7" s="131" t="s">
        <v>1270</v>
      </c>
      <c r="F7" s="1754"/>
      <c r="G7" s="1754"/>
      <c r="H7" s="1754"/>
      <c r="I7" s="1370"/>
    </row>
    <row r="8" spans="1:12" ht="12.75">
      <c r="A8" s="3582" t="s">
        <v>1271</v>
      </c>
      <c r="B8" s="3637">
        <v>15</v>
      </c>
      <c r="C8" s="3640"/>
      <c r="D8" s="3628"/>
      <c r="E8" s="131" t="s">
        <v>1272</v>
      </c>
      <c r="F8" s="1754"/>
      <c r="G8" s="1754"/>
      <c r="H8" s="1754"/>
      <c r="I8" s="1370"/>
    </row>
    <row r="9" spans="1:12" ht="12.75">
      <c r="A9" s="3582"/>
      <c r="B9" s="3637"/>
      <c r="C9" s="3641"/>
      <c r="D9" s="3628"/>
      <c r="E9" s="131" t="s">
        <v>1273</v>
      </c>
      <c r="F9" s="1754"/>
      <c r="G9" s="1754"/>
      <c r="H9" s="1754"/>
      <c r="I9" s="1370"/>
    </row>
    <row r="10" spans="1:12" ht="12.75">
      <c r="A10" s="3582" t="s">
        <v>1274</v>
      </c>
      <c r="B10" s="3637">
        <v>15</v>
      </c>
      <c r="C10" s="3640"/>
      <c r="D10" s="3628"/>
      <c r="E10" s="131" t="s">
        <v>1275</v>
      </c>
      <c r="F10" s="1754"/>
      <c r="G10" s="1754"/>
      <c r="H10" s="1754"/>
      <c r="I10" s="1370"/>
    </row>
    <row r="11" spans="1:12" ht="12.75">
      <c r="A11" s="3582"/>
      <c r="B11" s="3637"/>
      <c r="C11" s="3641"/>
      <c r="D11" s="3628"/>
      <c r="E11" s="131" t="s">
        <v>1276</v>
      </c>
      <c r="F11" s="1754"/>
      <c r="G11" s="1754"/>
      <c r="H11" s="1754"/>
      <c r="I11" s="1370"/>
    </row>
    <row r="12" spans="1:12" ht="12.75">
      <c r="A12" s="3582" t="s">
        <v>1277</v>
      </c>
      <c r="B12" s="3637">
        <v>15</v>
      </c>
      <c r="C12" s="3640"/>
      <c r="D12" s="3628"/>
      <c r="E12" s="131" t="s">
        <v>1278</v>
      </c>
      <c r="F12" s="1754"/>
      <c r="G12" s="1754"/>
      <c r="H12" s="1754"/>
      <c r="I12" s="1370"/>
    </row>
    <row r="13" spans="1:12" ht="12.75">
      <c r="A13" s="3582"/>
      <c r="B13" s="3637"/>
      <c r="C13" s="3641"/>
      <c r="D13" s="3628"/>
      <c r="E13" s="131" t="s">
        <v>1279</v>
      </c>
      <c r="F13" s="1754"/>
      <c r="G13" s="1754"/>
      <c r="H13" s="1754"/>
      <c r="I13" s="1370"/>
    </row>
    <row r="14" spans="1:12" ht="12.75">
      <c r="A14" s="3582" t="s">
        <v>1280</v>
      </c>
      <c r="B14" s="3637">
        <v>30</v>
      </c>
      <c r="C14" s="3640">
        <v>4</v>
      </c>
      <c r="D14" s="3628">
        <v>6</v>
      </c>
      <c r="E14" s="131" t="s">
        <v>1281</v>
      </c>
      <c r="F14" s="1754"/>
      <c r="G14" s="1754"/>
      <c r="H14" s="1754"/>
      <c r="I14" s="1370"/>
    </row>
    <row r="15" spans="1:12" ht="12.75">
      <c r="A15" s="3582"/>
      <c r="B15" s="3637"/>
      <c r="C15" s="3642"/>
      <c r="D15" s="3628"/>
      <c r="E15" s="131" t="s">
        <v>1282</v>
      </c>
      <c r="F15" s="1754"/>
      <c r="G15" s="1754"/>
      <c r="H15" s="1754"/>
      <c r="I15" s="1370"/>
    </row>
    <row r="16" spans="1:12" ht="12.75">
      <c r="A16" s="3582"/>
      <c r="B16" s="3637"/>
      <c r="C16" s="3641"/>
      <c r="D16" s="3628"/>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row>
    <row r="18" spans="1:36" ht="31.9" customHeight="1" thickBot="1">
      <c r="A18" s="1756" t="s">
        <v>1287</v>
      </c>
      <c r="B18" s="1757"/>
      <c r="C18" s="133">
        <f>ROUND(C17/SUM(C17:D17),2)</f>
        <v>0.4</v>
      </c>
      <c r="D18" s="133">
        <f>1-C18</f>
        <v>0.6</v>
      </c>
      <c r="E18" s="3659" t="s">
        <v>2129</v>
      </c>
      <c r="F18" s="3660"/>
      <c r="G18" s="3660"/>
      <c r="H18" s="3660"/>
      <c r="I18" s="3660"/>
      <c r="K18" s="302" t="s">
        <v>1288</v>
      </c>
      <c r="L18" s="302">
        <f>IF(C1="",'数据-汇总表'!E3,SUMIF(项目类型,C1,'数据-汇总表'!E17:E26)+SUMIF(项目类型,C1,'数据-汇总表'!I17:I26))</f>
        <v>132744.37</v>
      </c>
      <c r="M18" s="302">
        <f>IF(C1="",'数据-汇总表'!E3,SUMIF(项目类型,C1,'数据-汇总表'!E17:E26))</f>
        <v>132744.37</v>
      </c>
    </row>
    <row r="19" spans="1:36" ht="15">
      <c r="A19" s="1758" t="s">
        <v>1289</v>
      </c>
      <c r="B19" s="1759" t="s">
        <v>1290</v>
      </c>
      <c r="C19" s="134">
        <f ca="1">SUMIF(INDIRECT("'"&amp;C4&amp;"'"&amp;"!A:A"),结果表!B19,INDIRECT("'"&amp;C4&amp;"'"&amp;"!B:B"))</f>
        <v>402640</v>
      </c>
      <c r="D19" s="135">
        <f ca="1">SUMIF(INDIRECT("'"&amp;D4&amp;"'"&amp;"!A:A"),结果表!B19,INDIRECT("'"&amp;D4&amp;"'"&amp;"!B:B"))</f>
        <v>561406</v>
      </c>
      <c r="E19" s="1758" t="s">
        <v>1291</v>
      </c>
      <c r="F19" s="1759" t="s">
        <v>1290</v>
      </c>
      <c r="G19" s="136">
        <f ca="1">ROUND(C19*$C$18+D19*$D$18,0)</f>
        <v>497900</v>
      </c>
      <c r="H19" s="1760" t="s">
        <v>1292</v>
      </c>
      <c r="I19" s="129"/>
      <c r="K19" s="302" t="s">
        <v>1293</v>
      </c>
      <c r="L19" s="302">
        <f>IF(C1="",'数据-汇总表'!D3,SUMIF(项目类型,C1,'数据-汇总表'!D17:D26)+SUMIF(项目类型,C1,'数据-汇总表'!H17:H27))</f>
        <v>19087.400000000001</v>
      </c>
      <c r="M19" s="302">
        <f>IF(C1="",'数据-汇总表'!D3,SUMIF(项目类型,C1,'数据-汇总表'!D17:D26))</f>
        <v>19087.400000000001</v>
      </c>
    </row>
    <row r="20" spans="1:36" ht="15">
      <c r="A20" s="1761"/>
      <c r="B20" s="1023" t="s">
        <v>1294</v>
      </c>
      <c r="C20" s="137">
        <f ca="1">SUMIF(INDIRECT("'"&amp;C4&amp;"'"&amp;"!A:A"),结果表!B20,INDIRECT("'"&amp;C4&amp;"'"&amp;"!B:B"))</f>
        <v>30332</v>
      </c>
      <c r="D20" s="138">
        <f ca="1">SUMIF(INDIRECT("'"&amp;D4&amp;"'"&amp;"!A:A"),结果表!B20,INDIRECT("'"&amp;D4&amp;"'"&amp;"!B:B"))</f>
        <v>42292</v>
      </c>
      <c r="E20" s="1761"/>
      <c r="F20" s="1023" t="s">
        <v>1294</v>
      </c>
      <c r="G20" s="139">
        <f ca="1">ROUND(C20*$C$18+D20*$D$18,0)</f>
        <v>37508</v>
      </c>
      <c r="H20" s="805" t="s">
        <v>1295</v>
      </c>
      <c r="I20" s="129"/>
    </row>
    <row r="21" spans="1:36" ht="15" customHeight="1" thickBot="1">
      <c r="A21" s="825"/>
      <c r="B21" s="1762" t="s">
        <v>1296</v>
      </c>
      <c r="C21" s="719">
        <f ca="1">ROUND(C19*10000/L19,0)</f>
        <v>210945</v>
      </c>
      <c r="D21" s="720">
        <f ca="1">ROUND(D19*10000/L19,0)</f>
        <v>294124</v>
      </c>
      <c r="E21" s="825"/>
      <c r="F21" s="1762" t="s">
        <v>1296</v>
      </c>
      <c r="G21" s="140">
        <f ca="1">ROUND(G19*10000/L19,0)</f>
        <v>260853</v>
      </c>
      <c r="H21" s="1763" t="s">
        <v>1295</v>
      </c>
      <c r="I21" s="129"/>
    </row>
    <row r="22" spans="1:36" ht="15" thickBot="1">
      <c r="A22" s="1685" t="s">
        <v>1297</v>
      </c>
      <c r="B22" s="1764"/>
      <c r="C22" s="1765"/>
      <c r="D22" s="721">
        <f ca="1">IF(C19&lt;D19,D19/C19-1,C19/D19-1)</f>
        <v>0.39431253725412274</v>
      </c>
      <c r="E22" s="129"/>
      <c r="F22" s="129"/>
      <c r="G22" s="129"/>
      <c r="H22" s="129"/>
      <c r="I22" s="129"/>
    </row>
    <row r="23" spans="1:36" ht="13.5" thickBot="1">
      <c r="A23" s="1744"/>
      <c r="B23" s="1744"/>
      <c r="C23" s="1744"/>
      <c r="D23" s="1744"/>
      <c r="E23" s="129"/>
      <c r="F23" s="129"/>
      <c r="G23" s="129"/>
      <c r="H23" s="129"/>
      <c r="I23" s="129"/>
    </row>
    <row r="24" spans="1:36" ht="14.25">
      <c r="A24" s="3652" t="s">
        <v>1298</v>
      </c>
      <c r="B24" s="1759" t="s">
        <v>1290</v>
      </c>
      <c r="C24" s="136">
        <f>IF(B30=0,0,D30)</f>
        <v>0</v>
      </c>
      <c r="D24" s="1766"/>
      <c r="E24" s="129"/>
      <c r="F24" s="129"/>
      <c r="G24" s="129"/>
      <c r="H24" s="129"/>
      <c r="I24" s="129"/>
    </row>
    <row r="25" spans="1:36" ht="14.25">
      <c r="A25" s="3653"/>
      <c r="B25" s="1023" t="s">
        <v>1294</v>
      </c>
      <c r="C25" s="141">
        <f>IF(B30=0,0,C30)</f>
        <v>0</v>
      </c>
      <c r="D25" s="1767"/>
      <c r="E25" s="129"/>
      <c r="F25" s="129"/>
      <c r="G25" s="129"/>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f ca="1">G19/'数据-汇总表'!F31</f>
        <v>5.1458490082432808</v>
      </c>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497900</v>
      </c>
      <c r="D32" s="1772" t="s">
        <v>3452</v>
      </c>
      <c r="E32" s="129"/>
      <c r="F32" s="129"/>
      <c r="G32" s="129"/>
      <c r="H32" s="129"/>
      <c r="I32" s="129"/>
    </row>
    <row r="33" spans="1:15" ht="15">
      <c r="A33" s="783" t="s">
        <v>1305</v>
      </c>
      <c r="B33" s="1773"/>
      <c r="C33" s="1774" t="s">
        <v>3453</v>
      </c>
      <c r="D33" s="1775" t="s">
        <v>3450</v>
      </c>
      <c r="E33" s="1776" t="s">
        <v>1306</v>
      </c>
      <c r="F33" s="1777" t="str">
        <f>IF(D32="楼面单价","取值（单价）","取值（总价）")</f>
        <v>取值（总价）</v>
      </c>
      <c r="G33" s="129"/>
      <c r="H33" s="129"/>
      <c r="I33" s="129"/>
    </row>
    <row r="34" spans="1:15" ht="15">
      <c r="A34" s="1778"/>
      <c r="B34" s="1779" t="s">
        <v>1307</v>
      </c>
      <c r="C34" s="148">
        <f ca="1">IF(C33="自定义",F34,C32-C35)</f>
        <v>392843</v>
      </c>
      <c r="D34" s="858">
        <f ca="1">IF(C33="自定义",ROUND(C34/C32,3),IF(C33="收益比率",SUMIF(INDIRECT("'"&amp;D33&amp;"'"&amp;"!b:b"),"土地收益比率",INDIRECT("'"&amp;D33&amp;"'"&amp;"!c:c")),SUMIF(INDIRECT("'"&amp;D33&amp;"'"&amp;"!b:b"),"土地成本比率",INDIRECT("'"&amp;D33&amp;"'"&amp;"!c:c"))))</f>
        <v>0.78900000000000003</v>
      </c>
      <c r="E34" s="1780" t="s">
        <v>1308</v>
      </c>
      <c r="F34" s="1327"/>
      <c r="G34" s="129"/>
      <c r="H34" s="129"/>
      <c r="I34" s="129"/>
    </row>
    <row r="35" spans="1:15" ht="15.75" thickBot="1">
      <c r="A35" s="1781"/>
      <c r="B35" s="1782" t="s">
        <v>1309</v>
      </c>
      <c r="C35" s="1167">
        <f ca="1">IF(C33="自定义",F35,ROUND(C32*D35,0))</f>
        <v>105057</v>
      </c>
      <c r="D35" s="1168">
        <f ca="1">IF(C33="自定义",ROUND(C35/C32,3),IF(C33="收益比率",SUMIF(INDIRECT("'"&amp;D33&amp;"'"&amp;"!b:b"),"建筑物收益比率",INDIRECT("'"&amp;D33&amp;"'"&amp;"!c:c")),SUMIF(INDIRECT("'"&amp;D33&amp;"'"&amp;"!b:b"),"建筑物成本比率",INDIRECT("'"&amp;D33&amp;"'"&amp;"!c:c"))))</f>
        <v>0.21099999999999999</v>
      </c>
      <c r="E35" s="1783" t="s">
        <v>1310</v>
      </c>
      <c r="F35" s="154"/>
      <c r="G35" s="129"/>
      <c r="H35" s="129"/>
      <c r="I35" s="129"/>
    </row>
    <row r="36" spans="1:15" ht="15.75" thickBot="1">
      <c r="A36" s="3629" t="s">
        <v>1311</v>
      </c>
      <c r="B36" s="1784" t="s">
        <v>1312</v>
      </c>
      <c r="C36" s="145"/>
      <c r="D36" s="1785" t="s">
        <v>3454</v>
      </c>
      <c r="E36" s="1786"/>
      <c r="F36" s="1787"/>
      <c r="G36" s="129"/>
      <c r="H36" s="129"/>
      <c r="I36" s="129"/>
    </row>
    <row r="37" spans="1:15" ht="15.75" thickBot="1">
      <c r="A37" s="3630"/>
      <c r="B37" s="1671" t="s">
        <v>1313</v>
      </c>
      <c r="C37" s="147"/>
      <c r="D37" s="1136"/>
      <c r="E37" s="1136"/>
      <c r="F37" s="1787"/>
      <c r="G37" s="129"/>
      <c r="H37" s="129"/>
      <c r="I37" s="129"/>
    </row>
    <row r="38" spans="1:15" ht="15.75" thickBot="1">
      <c r="A38" s="3631"/>
      <c r="B38" s="1788" t="s">
        <v>1314</v>
      </c>
      <c r="C38" s="674"/>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649" t="s">
        <v>1325</v>
      </c>
      <c r="B45" s="3650"/>
      <c r="C45" s="3651"/>
      <c r="D45" s="155">
        <f ca="1">ROUND(H101*F45,0)</f>
        <v>497900</v>
      </c>
      <c r="E45" s="156" t="s">
        <v>1326</v>
      </c>
      <c r="F45" s="157">
        <v>1</v>
      </c>
      <c r="G45" s="158" t="s">
        <v>1327</v>
      </c>
      <c r="H45" s="129"/>
      <c r="I45" s="129"/>
      <c r="J45" s="3569" t="s">
        <v>1328</v>
      </c>
      <c r="K45" s="3569"/>
      <c r="L45" s="3569"/>
      <c r="M45" s="3569"/>
      <c r="N45" s="3569"/>
      <c r="O45" s="3569"/>
    </row>
    <row r="46" spans="1:15" ht="14.25" customHeight="1">
      <c r="A46" s="3646" t="s">
        <v>1329</v>
      </c>
      <c r="B46" s="3647"/>
      <c r="C46" s="3647"/>
      <c r="D46" s="3647"/>
      <c r="E46" s="3647"/>
      <c r="F46" s="3647"/>
      <c r="G46" s="3648"/>
      <c r="H46" s="1803"/>
      <c r="I46" s="159"/>
      <c r="J46" s="2518">
        <v>1</v>
      </c>
      <c r="K46" s="3570" t="s">
        <v>1330</v>
      </c>
      <c r="L46" s="3570"/>
      <c r="M46" s="3571"/>
      <c r="N46" s="3571"/>
      <c r="O46" s="3571"/>
    </row>
    <row r="47" spans="1:15" ht="12" customHeight="1">
      <c r="A47" s="160" t="s">
        <v>1331</v>
      </c>
      <c r="B47" s="161"/>
      <c r="C47" s="162"/>
      <c r="D47" s="1084" t="s">
        <v>1332</v>
      </c>
      <c r="E47" s="302" t="s">
        <v>1333</v>
      </c>
      <c r="F47" s="163" t="s">
        <v>1334</v>
      </c>
      <c r="G47" s="2541" t="s">
        <v>1335</v>
      </c>
      <c r="H47" s="2542"/>
      <c r="I47" s="159"/>
      <c r="J47" s="2518">
        <v>2</v>
      </c>
      <c r="K47" s="3570" t="s">
        <v>1336</v>
      </c>
      <c r="L47" s="3570"/>
      <c r="M47" s="3572">
        <f>'数据-取费表'!B2</f>
        <v>45118</v>
      </c>
      <c r="N47" s="3572"/>
      <c r="O47" s="3572"/>
    </row>
    <row r="48" spans="1:15" ht="25.5">
      <c r="A48" s="3632" t="s">
        <v>1337</v>
      </c>
      <c r="B48" s="3633"/>
      <c r="C48" s="3633"/>
      <c r="D48" s="2321">
        <f ca="1">IF(H48="情况1",0,IF(H48="情况2",D52,IF(H48="情况3",D53,IF(H48="情况4",D54))))</f>
        <v>26555</v>
      </c>
      <c r="E48" s="2331" t="str">
        <f>IF(H48="情况4","(销售额-原购置价)×税（费）率","销售额×税（费）率")</f>
        <v>销售额×税（费）率</v>
      </c>
      <c r="F48" s="2543">
        <f>IF(H48="情况1","免征",'数据-取费表'!B41)</f>
        <v>5.6000000000000001E-2</v>
      </c>
      <c r="G48" s="2544" t="s">
        <v>1338</v>
      </c>
      <c r="H48" s="2545" t="s">
        <v>3455</v>
      </c>
      <c r="I48" s="1803"/>
      <c r="J48" s="2518">
        <v>3</v>
      </c>
      <c r="K48" s="3570" t="s">
        <v>1339</v>
      </c>
      <c r="L48" s="3570"/>
      <c r="M48" s="3573">
        <f ca="1">H101</f>
        <v>497900</v>
      </c>
      <c r="N48" s="3573"/>
      <c r="O48" s="3573"/>
    </row>
    <row r="49" spans="1:35" ht="25.5" customHeight="1">
      <c r="A49" s="2330" t="s">
        <v>1340</v>
      </c>
      <c r="B49" s="3618" t="s">
        <v>1341</v>
      </c>
      <c r="C49" s="3618"/>
      <c r="D49" s="1587">
        <v>0</v>
      </c>
      <c r="E49" s="324" t="s">
        <v>1342</v>
      </c>
      <c r="F49" s="2421" t="s">
        <v>28</v>
      </c>
      <c r="G49" s="3601"/>
      <c r="H49" s="2307" t="s">
        <v>2132</v>
      </c>
      <c r="I49" s="2308"/>
      <c r="J49" s="2518">
        <v>4</v>
      </c>
      <c r="K49" s="3570" t="str">
        <f>IF(项目基本情况!E8="房地产抵押价值","房地产抵押价值","抵押担保权已注销时的房地产抵押价值")</f>
        <v>房地产抵押价值</v>
      </c>
      <c r="L49" s="3570"/>
      <c r="M49" s="3573">
        <f ca="1">IF(项目基本情况!E8="房地产抵押价值",H107,H109)</f>
        <v>497900</v>
      </c>
      <c r="N49" s="3573"/>
      <c r="O49" s="3573"/>
    </row>
    <row r="50" spans="1:35" ht="25.5" customHeight="1">
      <c r="A50" s="2546"/>
      <c r="B50" s="3618" t="s">
        <v>1343</v>
      </c>
      <c r="C50" s="3618"/>
      <c r="D50" s="2547"/>
      <c r="E50" s="332"/>
      <c r="F50" s="2421"/>
      <c r="G50" s="3602"/>
      <c r="H50" s="2309" t="s">
        <v>2133</v>
      </c>
      <c r="I50" s="2308"/>
      <c r="J50" s="3569" t="s">
        <v>1344</v>
      </c>
      <c r="K50" s="3569"/>
      <c r="L50" s="3569"/>
      <c r="M50" s="3569"/>
      <c r="N50" s="3569"/>
      <c r="O50" s="3569"/>
    </row>
    <row r="51" spans="1:35" ht="20.45" customHeight="1">
      <c r="A51" s="2548"/>
      <c r="B51" s="3618" t="s">
        <v>1345</v>
      </c>
      <c r="C51" s="3618"/>
      <c r="D51" s="1084"/>
      <c r="E51" s="327"/>
      <c r="F51" s="2421"/>
      <c r="G51" s="3603"/>
      <c r="H51" s="2309" t="s">
        <v>2134</v>
      </c>
      <c r="I51" s="2308"/>
      <c r="J51" s="2519" t="s">
        <v>1346</v>
      </c>
      <c r="K51" s="3570" t="s">
        <v>1347</v>
      </c>
      <c r="L51" s="3570"/>
      <c r="M51" s="2519" t="s">
        <v>1348</v>
      </c>
      <c r="N51" s="2519" t="s">
        <v>1349</v>
      </c>
      <c r="O51" s="2519" t="s">
        <v>1350</v>
      </c>
    </row>
    <row r="52" spans="1:35" ht="24" customHeight="1">
      <c r="A52" s="2332" t="s">
        <v>1351</v>
      </c>
      <c r="B52" s="3618" t="s">
        <v>1352</v>
      </c>
      <c r="C52" s="3618"/>
      <c r="D52" s="1084">
        <f ca="1">ROUND(D45*'数据-取费表'!B41/(1+'数据-取费表'!C42),0)</f>
        <v>26555</v>
      </c>
      <c r="E52" s="2331" t="s">
        <v>1353</v>
      </c>
      <c r="F52" s="2549">
        <f>'数据-取费表'!B41</f>
        <v>5.6000000000000001E-2</v>
      </c>
      <c r="G52" s="2550"/>
      <c r="H52" s="2539"/>
      <c r="I52" s="1804"/>
      <c r="J52" s="2518">
        <v>1</v>
      </c>
      <c r="K52" s="3595" t="s">
        <v>1354</v>
      </c>
      <c r="L52" s="3595"/>
      <c r="M52" s="2520">
        <f ca="1">D48</f>
        <v>26555</v>
      </c>
      <c r="N52" s="2518" t="str">
        <f>E48</f>
        <v>销售额×税（费）率</v>
      </c>
      <c r="O52" s="2521">
        <f>F48</f>
        <v>5.6000000000000001E-2</v>
      </c>
    </row>
    <row r="53" spans="1:35" ht="12" customHeight="1">
      <c r="A53" s="2332" t="s">
        <v>1355</v>
      </c>
      <c r="B53" s="3619" t="s">
        <v>2285</v>
      </c>
      <c r="C53" s="3620"/>
      <c r="D53" s="1084">
        <f ca="1">ROUND(D45*'数据-取费表'!B41/(1+'数据-取费表'!C42),0)</f>
        <v>26555</v>
      </c>
      <c r="E53" s="2331" t="s">
        <v>1353</v>
      </c>
      <c r="F53" s="2549">
        <f>'数据-取费表'!B41</f>
        <v>5.6000000000000001E-2</v>
      </c>
      <c r="G53" s="2550"/>
      <c r="H53" s="2539"/>
      <c r="I53" s="1804"/>
      <c r="J53" s="2518">
        <v>2</v>
      </c>
      <c r="K53" s="3595" t="s">
        <v>1356</v>
      </c>
      <c r="L53" s="3595"/>
      <c r="M53" s="2520">
        <f t="shared" ref="M53:O54" ca="1" si="0">D55</f>
        <v>249</v>
      </c>
      <c r="N53" s="2518" t="str">
        <f t="shared" si="0"/>
        <v>销售额×税（费）率</v>
      </c>
      <c r="O53" s="2521">
        <f t="shared" si="0"/>
        <v>5.0000000000000001E-4</v>
      </c>
    </row>
    <row r="54" spans="1:35" ht="12" customHeight="1">
      <c r="A54" s="2332" t="s">
        <v>1357</v>
      </c>
      <c r="B54" s="3619" t="s">
        <v>2286</v>
      </c>
      <c r="C54" s="3620"/>
      <c r="D54" s="1084">
        <f ca="1">C68</f>
        <v>26555</v>
      </c>
      <c r="E54" s="327" t="s">
        <v>1358</v>
      </c>
      <c r="F54" s="2549">
        <f>'数据-取费表'!B41</f>
        <v>5.6000000000000001E-2</v>
      </c>
      <c r="G54" s="2550"/>
      <c r="H54" s="2551"/>
      <c r="I54" s="1804"/>
      <c r="J54" s="2518">
        <v>3</v>
      </c>
      <c r="K54" s="3595" t="s">
        <v>1359</v>
      </c>
      <c r="L54" s="3595"/>
      <c r="M54" s="2520">
        <f t="shared" ca="1" si="0"/>
        <v>43271</v>
      </c>
      <c r="N54" s="2518" t="str">
        <f t="shared" si="0"/>
        <v>增值额×税（费）率</v>
      </c>
      <c r="O54" s="2522" t="str">
        <f t="shared" si="0"/>
        <v>——</v>
      </c>
    </row>
    <row r="55" spans="1:35" ht="24" customHeight="1">
      <c r="A55" s="3655" t="s">
        <v>1360</v>
      </c>
      <c r="B55" s="3633"/>
      <c r="C55" s="3633"/>
      <c r="D55" s="2321">
        <f ca="1">IF(H55="个人住宅",0,ROUND(D45*I55,0))</f>
        <v>249</v>
      </c>
      <c r="E55" s="2331" t="s">
        <v>1361</v>
      </c>
      <c r="F55" s="2549">
        <f>IF(H55="正常",I55,"免征")</f>
        <v>5.0000000000000001E-4</v>
      </c>
      <c r="G55" s="2550"/>
      <c r="H55" s="2545" t="s">
        <v>3456</v>
      </c>
      <c r="I55" s="165">
        <f>'数据-取费表'!B49</f>
        <v>5.0000000000000001E-4</v>
      </c>
      <c r="J55" s="2518" t="str">
        <f>IF(H59="非个人房产","",4)</f>
        <v/>
      </c>
      <c r="K55" s="3595" t="str">
        <f>IF(H59="非个人房产","——","个人所得税")</f>
        <v>——</v>
      </c>
      <c r="L55" s="3595"/>
      <c r="M55" s="2523" t="str">
        <f>D59</f>
        <v>——</v>
      </c>
      <c r="N55" s="2037" t="str">
        <f>E59</f>
        <v>——</v>
      </c>
      <c r="O55" s="2524" t="str">
        <f>F59</f>
        <v>——</v>
      </c>
    </row>
    <row r="56" spans="1:35" ht="24.75">
      <c r="A56" s="3655" t="s">
        <v>1362</v>
      </c>
      <c r="B56" s="3633"/>
      <c r="C56" s="3633"/>
      <c r="D56" s="2321">
        <f ca="1">IF(H56="个人住宅",D57,D58)</f>
        <v>43271</v>
      </c>
      <c r="E56" s="2331" t="s">
        <v>1363</v>
      </c>
      <c r="F56" s="2549" t="str">
        <f>IF(H56="正常",F58,"免征")</f>
        <v>——</v>
      </c>
      <c r="G56" s="2552" t="s">
        <v>1364</v>
      </c>
      <c r="H56" s="2553" t="s">
        <v>3456</v>
      </c>
      <c r="I56" s="1805"/>
      <c r="J56" s="2518" t="str">
        <f>IF(项目基本情况!K6="上海银行",IF(J55="",4,J55+1),"")</f>
        <v/>
      </c>
      <c r="K56" s="3576" t="str">
        <f>IF(项目基本情况!K6="上海银行","其他处置费用","")</f>
        <v/>
      </c>
      <c r="L56" s="3577"/>
      <c r="M56" s="2520" t="str">
        <f>IF(项目基本情况!K6="上海银行",M69,"")</f>
        <v/>
      </c>
      <c r="N56" s="3576" t="str">
        <f>IF(项目基本情况!K6="上海银行","包含处置中涉及的律师、诉讼、拍卖、评估等费用","")</f>
        <v/>
      </c>
      <c r="O56" s="3579"/>
    </row>
    <row r="57" spans="1:35" ht="12.75">
      <c r="A57" s="2332" t="s">
        <v>1340</v>
      </c>
      <c r="B57" s="3619" t="s">
        <v>1365</v>
      </c>
      <c r="C57" s="3620"/>
      <c r="D57" s="1587">
        <v>0</v>
      </c>
      <c r="E57" s="324" t="s">
        <v>1342</v>
      </c>
      <c r="F57" s="302"/>
      <c r="G57" s="2550"/>
      <c r="H57" s="2554"/>
      <c r="I57" s="1805"/>
      <c r="J57" s="3595">
        <f>IF(AND(J55="",J56=""),4,IF(项目基本情况!K6="上海银行",结果表!J56+1,结果表!J55+1))</f>
        <v>4</v>
      </c>
      <c r="K57" s="3595" t="s">
        <v>1366</v>
      </c>
      <c r="L57" s="2525" t="s">
        <v>1367</v>
      </c>
      <c r="M57" s="2526"/>
      <c r="N57" s="2527">
        <f ca="1">SUMIF(M52:M56,"&lt;9e307")</f>
        <v>70075</v>
      </c>
      <c r="O57" s="2528"/>
      <c r="P57" s="2685">
        <f ca="1">N57/M49</f>
        <v>0.14074111267322756</v>
      </c>
    </row>
    <row r="58" spans="1:35" ht="24.75">
      <c r="A58" s="2332" t="s">
        <v>1351</v>
      </c>
      <c r="B58" s="3619" t="s">
        <v>1368</v>
      </c>
      <c r="C58" s="3618"/>
      <c r="D58" s="2321">
        <f ca="1">IF(H58="转让取得",C81,C97)</f>
        <v>43271</v>
      </c>
      <c r="E58" s="2331" t="s">
        <v>1363</v>
      </c>
      <c r="F58" s="302" t="s">
        <v>28</v>
      </c>
      <c r="G58" s="2550"/>
      <c r="H58" s="2553" t="s">
        <v>3457</v>
      </c>
      <c r="I58" s="1805"/>
      <c r="J58" s="3595"/>
      <c r="K58" s="3595"/>
      <c r="L58" s="2525" t="s">
        <v>1369</v>
      </c>
      <c r="M58" s="2529"/>
      <c r="N58" s="2530" t="str">
        <f ca="1">NUMBERSTRING(INT(N57*10000),2)&amp;"元整"</f>
        <v>柒亿零柒拾伍万元整</v>
      </c>
      <c r="O58" s="2531"/>
    </row>
    <row r="59" spans="1:35" ht="24.75" thickBot="1">
      <c r="A59" s="3599" t="s">
        <v>1370</v>
      </c>
      <c r="B59" s="3600"/>
      <c r="C59" s="3600"/>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1364</v>
      </c>
      <c r="H59" s="2311" t="s">
        <v>3458</v>
      </c>
      <c r="I59" s="2310" t="s">
        <v>2135</v>
      </c>
      <c r="J59" s="3597">
        <f>J57+1</f>
        <v>5</v>
      </c>
      <c r="K59" s="3595" t="s">
        <v>1371</v>
      </c>
      <c r="L59" s="2518" t="s">
        <v>1367</v>
      </c>
      <c r="M59" s="2532"/>
      <c r="N59" s="2533">
        <f ca="1">M49-N57</f>
        <v>427825</v>
      </c>
      <c r="O59" s="2534"/>
    </row>
    <row r="60" spans="1:35" ht="12" customHeight="1">
      <c r="A60" s="1806"/>
      <c r="B60" s="1744"/>
      <c r="C60" s="1744"/>
      <c r="D60" s="1744"/>
      <c r="E60" s="1575"/>
      <c r="F60" s="1805"/>
      <c r="G60" s="1805"/>
      <c r="H60" s="1807"/>
      <c r="I60" s="129"/>
      <c r="J60" s="3598"/>
      <c r="K60" s="3595"/>
      <c r="L60" s="2525" t="s">
        <v>1369</v>
      </c>
      <c r="M60" s="2529"/>
      <c r="N60" s="2530" t="str">
        <f ca="1">NUMBERSTRING(INT(N59*10000),2)&amp;"元整"</f>
        <v>肆拾贰亿柒仟捌佰贰拾伍万元整</v>
      </c>
      <c r="O60" s="2531"/>
    </row>
    <row r="61" spans="1:35" ht="13.5" thickBot="1">
      <c r="A61" s="3654" t="s">
        <v>1372</v>
      </c>
      <c r="B61" s="3654"/>
      <c r="C61" s="3654"/>
      <c r="D61" s="3654"/>
      <c r="E61" s="3654"/>
      <c r="F61" s="1805"/>
      <c r="G61" s="1805"/>
      <c r="H61" s="1807"/>
      <c r="I61" s="129"/>
      <c r="J61" s="2518">
        <f>J59+1</f>
        <v>6</v>
      </c>
      <c r="K61" s="3595" t="s">
        <v>1373</v>
      </c>
      <c r="L61" s="3595"/>
      <c r="M61" s="2535"/>
      <c r="N61" s="2536">
        <f ca="1">ROUND(N59*10000/'数据-汇总表'!E3,0)</f>
        <v>32229</v>
      </c>
      <c r="O61" s="2537"/>
    </row>
    <row r="62" spans="1:35" ht="12.75">
      <c r="A62" s="3614" t="s">
        <v>1374</v>
      </c>
      <c r="B62" s="3615"/>
      <c r="C62" s="2018"/>
      <c r="D62" s="2018" t="s">
        <v>1375</v>
      </c>
      <c r="E62" s="166" t="s">
        <v>1376</v>
      </c>
      <c r="F62" s="1805"/>
      <c r="G62" s="1805"/>
      <c r="H62" s="1807"/>
      <c r="I62" s="129"/>
    </row>
    <row r="63" spans="1:35" ht="12.75">
      <c r="A63" s="173" t="s">
        <v>330</v>
      </c>
      <c r="B63" s="167" t="s">
        <v>1377</v>
      </c>
      <c r="C63" s="2559">
        <f ca="1">ROUND((C64+C65)/(1+'数据-取费表'!C42),0)</f>
        <v>474190</v>
      </c>
      <c r="D63" s="167"/>
      <c r="E63" s="168"/>
      <c r="F63" s="1805"/>
      <c r="G63" s="1805"/>
      <c r="H63" s="1807"/>
      <c r="I63" s="129"/>
      <c r="J63" s="3578" t="s">
        <v>1378</v>
      </c>
      <c r="K63" s="1329" t="s">
        <v>1379</v>
      </c>
      <c r="L63" s="1329">
        <f ca="1">IF(M49&gt;10000,M49*0.5%,IF(AND(M49&gt;1000,M49&lt;=10000),M49*1%,IF(AND(M49&gt;100,M49&lt;=1000),M49*3%,IF(AND(M49&gt;10,M49&lt;=100),M49*5%,M49*8%))))</f>
        <v>2489.5</v>
      </c>
      <c r="M63" s="302">
        <f ca="1">ROUND(L63,1)</f>
        <v>2489.5</v>
      </c>
      <c r="N63" s="2538"/>
      <c r="Z63" s="1749"/>
      <c r="AI63" s="1750"/>
    </row>
    <row r="64" spans="1:35" ht="14.25" customHeight="1">
      <c r="A64" s="169" t="s">
        <v>325</v>
      </c>
      <c r="B64" s="170" t="s">
        <v>1380</v>
      </c>
      <c r="C64" s="2560">
        <f ca="1">D45</f>
        <v>497900</v>
      </c>
      <c r="D64" s="170" t="s">
        <v>26</v>
      </c>
      <c r="E64" s="172"/>
      <c r="F64" s="1805"/>
      <c r="G64" s="1805"/>
      <c r="H64" s="1807"/>
      <c r="I64" s="129"/>
      <c r="J64" s="3578"/>
      <c r="K64" s="1329" t="s">
        <v>1381</v>
      </c>
      <c r="L64" s="1329">
        <f ca="1">IF(M49&gt;2000,M49*0.5%,IF(AND(M49&gt;1000,M49&lt;=2000),M49*0.6%,IF(AND(M49&gt;500,M49&lt;=1000),M49*0.7%,IF(AND(M49&gt;200,M49&lt;=500),M49*0.8%,IF(AND(M49&gt;100,M49&lt;=200),M49*0.9%,IF(AND(M49&gt;50,M49&lt;=100),M49*1%,IF(AND(M49&gt;20,M49&lt;=50),M49*1.5%,IF(AND(M49&gt;10,M49&lt;=20),M49*2%,IF(AND(M49&gt;1,M49&lt;=10),M49*2.5%)))))))))</f>
        <v>2489.5</v>
      </c>
      <c r="M64" s="302">
        <f t="shared" ref="M64:M65" ca="1" si="1">ROUND(L64,1)</f>
        <v>2489.5</v>
      </c>
      <c r="N64" s="2539" t="s">
        <v>1382</v>
      </c>
      <c r="Z64" s="1749"/>
      <c r="AI64" s="1750"/>
    </row>
    <row r="65" spans="1:35" ht="14.25" customHeight="1">
      <c r="A65" s="169" t="s">
        <v>326</v>
      </c>
      <c r="B65" s="170" t="s">
        <v>1383</v>
      </c>
      <c r="C65" s="2561"/>
      <c r="D65" s="170"/>
      <c r="E65" s="172"/>
      <c r="F65" s="1805"/>
      <c r="G65" s="1805"/>
      <c r="H65" s="1807"/>
      <c r="I65" s="129"/>
      <c r="J65" s="3578"/>
      <c r="K65" s="1329" t="s">
        <v>1384</v>
      </c>
      <c r="L65" s="1329">
        <f ca="1">IF(M49&gt;1000,M49*0.1%,IF(AND(M49&gt;500,M49&lt;=1000),M49*0.5%,IF(AND(M49&gt;50,M49&lt;=500),M49*1%,IF(AND(M49&gt;1,M49&lt;=50),M49*1.5%))))</f>
        <v>497.90000000000003</v>
      </c>
      <c r="M65" s="302">
        <f t="shared" ca="1" si="1"/>
        <v>497.9</v>
      </c>
      <c r="N65" s="2539" t="s">
        <v>1382</v>
      </c>
      <c r="Z65" s="1749"/>
      <c r="AI65" s="1750"/>
    </row>
    <row r="66" spans="1:35" ht="14.25" customHeight="1">
      <c r="A66" s="173" t="s">
        <v>327</v>
      </c>
      <c r="B66" s="174" t="s">
        <v>1385</v>
      </c>
      <c r="C66" s="2562"/>
      <c r="D66" s="174" t="s">
        <v>26</v>
      </c>
      <c r="E66" s="1335" t="s">
        <v>671</v>
      </c>
      <c r="F66" s="1805"/>
      <c r="G66" s="1805"/>
      <c r="H66" s="1807"/>
      <c r="I66" s="129"/>
      <c r="J66" s="3578"/>
      <c r="K66" s="1329" t="s">
        <v>1386</v>
      </c>
      <c r="L66" s="1329">
        <f ca="1">M49*0.5%</f>
        <v>2489.5</v>
      </c>
      <c r="M66" s="302">
        <f ca="1">IF(L66&gt;0.5,0.5,ROUND(L66,0))</f>
        <v>0.5</v>
      </c>
      <c r="N66" s="2539" t="s">
        <v>1387</v>
      </c>
      <c r="Z66" s="1749"/>
      <c r="AI66" s="1750"/>
    </row>
    <row r="67" spans="1:35" ht="14.25" customHeight="1">
      <c r="A67" s="173" t="s">
        <v>328</v>
      </c>
      <c r="B67" s="174" t="s">
        <v>1388</v>
      </c>
      <c r="C67" s="2563">
        <f ca="1">C63-C66</f>
        <v>474190</v>
      </c>
      <c r="D67" s="170" t="s">
        <v>26</v>
      </c>
      <c r="E67" s="172"/>
      <c r="F67" s="1805"/>
      <c r="G67" s="1805"/>
      <c r="H67" s="1807"/>
      <c r="I67" s="129"/>
      <c r="J67" s="3578"/>
      <c r="K67" s="1329" t="s">
        <v>1389</v>
      </c>
      <c r="L67" s="1329">
        <f ca="1">IF(M49&gt;=10000,(8.25+(M49-10000)*0.01%),IF(AND(M49&gt;=8000,M49&lt;10000),(7.85+(M49-8000)*0.02%),IF(AND(M49&gt;=5000,M49&lt;8000),(6.65+(M49-5000)*0.04%),IF(AND(M49&gt;=2000,M49&lt;5000),(4.25+(PM49-2000)*0.08%),IF(AND(M49&gt;=1000,M49&lt;2000),(2.75+(M49-1000)*0.15%),IF(AND(M49&gt;=100,M49&lt;1000),(0.5+(M49-100)*0.25%),IF(AND(M49&gt;0,M49&lt;100),M49*0.5%)))))))</f>
        <v>57.04</v>
      </c>
      <c r="M67" s="302">
        <f ca="1">ROUND(L67*0.9,1)</f>
        <v>51.3</v>
      </c>
      <c r="N67" s="2538"/>
      <c r="Z67" s="1749"/>
      <c r="AI67" s="1750"/>
    </row>
    <row r="68" spans="1:35" ht="14.25" customHeight="1" thickBot="1">
      <c r="A68" s="176" t="s">
        <v>329</v>
      </c>
      <c r="B68" s="177" t="s">
        <v>1390</v>
      </c>
      <c r="C68" s="2564">
        <f ca="1">IF(C67&lt;=0,0,ROUND(C67*D68,0))</f>
        <v>26555</v>
      </c>
      <c r="D68" s="2565">
        <f>'数据-取费表'!B41</f>
        <v>5.6000000000000001E-2</v>
      </c>
      <c r="E68" s="178"/>
      <c r="F68" s="1805"/>
      <c r="G68" s="1805"/>
      <c r="H68" s="1807"/>
      <c r="I68" s="129"/>
      <c r="J68" s="3578"/>
      <c r="K68" s="1329" t="s">
        <v>1391</v>
      </c>
      <c r="L68" s="1329">
        <f ca="1">IF(M49&gt;10000,M49*0.5%,IF(AND(M49&gt;5000,M49&lt;=10000),M49*1%,IF(AND(M49&gt;1000,M49&lt;=5000),M49*2%,IF(AND(M49&gt;200,M49&lt;=1000),M49*3%,M49*5%))))</f>
        <v>2489.5</v>
      </c>
      <c r="M68" s="302">
        <f ca="1">ROUND(L68,1)</f>
        <v>2489.5</v>
      </c>
      <c r="N68" s="2538"/>
      <c r="Z68" s="1749"/>
      <c r="AI68" s="1750"/>
    </row>
    <row r="69" spans="1:35" s="1769" customFormat="1" ht="16.5" customHeight="1">
      <c r="A69" s="1808"/>
      <c r="B69" s="1809"/>
      <c r="C69" s="1810"/>
      <c r="D69" s="1811"/>
      <c r="E69" s="1812"/>
      <c r="F69" s="1575"/>
      <c r="G69" s="1575"/>
      <c r="H69" s="1574"/>
      <c r="I69" s="1744"/>
      <c r="J69" s="3578"/>
      <c r="K69" s="1329" t="s">
        <v>1392</v>
      </c>
      <c r="L69" s="1329"/>
      <c r="M69" s="302">
        <f ca="1">ROUND(SUM(M63:M68),0)</f>
        <v>8018</v>
      </c>
      <c r="N69" s="2540">
        <f ca="1">M69/M49</f>
        <v>1.610363526812613E-2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hidden="1" thickBot="1">
      <c r="A70" s="3622" t="s">
        <v>1393</v>
      </c>
      <c r="B70" s="3623"/>
      <c r="C70" s="3623"/>
      <c r="D70" s="3623"/>
      <c r="E70" s="3623"/>
      <c r="F70" s="3623"/>
      <c r="G70" s="3623"/>
      <c r="H70" s="3623"/>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14" t="s">
        <v>1374</v>
      </c>
      <c r="B71" s="3615"/>
      <c r="C71" s="2018"/>
      <c r="D71" s="2018" t="s">
        <v>1375</v>
      </c>
      <c r="E71" s="179" t="s">
        <v>1376</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1394</v>
      </c>
      <c r="C72" s="2563">
        <f ca="1">ROUND(D45/(1+'数据-取费表'!C42),0)</f>
        <v>474190</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1395</v>
      </c>
      <c r="C73" s="2563">
        <f ca="1">C74+C78</f>
        <v>2845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1397</v>
      </c>
      <c r="C75" s="2566"/>
      <c r="D75" s="170" t="s">
        <v>26</v>
      </c>
      <c r="E75" s="184" t="s">
        <v>1398</v>
      </c>
      <c r="F75" s="2567"/>
      <c r="G75" s="184" t="s">
        <v>1399</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1400</v>
      </c>
      <c r="C76" s="170">
        <f>IF(F75="购房发票",ROUND(C75*H75*D76,0),0)</f>
        <v>0</v>
      </c>
      <c r="D76" s="2569">
        <v>0.05</v>
      </c>
      <c r="E76" s="3619" t="s">
        <v>1401</v>
      </c>
      <c r="F76" s="3618"/>
      <c r="G76" s="3618"/>
      <c r="H76" s="362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1404</v>
      </c>
      <c r="C78" s="2571">
        <f ca="1">ROUND(D45*D78/(1+'数据-取费表'!C42),0)</f>
        <v>2845</v>
      </c>
      <c r="D78" s="2572">
        <f>'数据-取费表'!B43</f>
        <v>6.000000000000001E-3</v>
      </c>
      <c r="E78" s="3611" t="s">
        <v>1405</v>
      </c>
      <c r="F78" s="3612"/>
      <c r="G78" s="3612"/>
      <c r="H78" s="361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1406</v>
      </c>
      <c r="C79" s="2563">
        <f ca="1">C72-C73</f>
        <v>471345</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1407</v>
      </c>
      <c r="C80" s="2573">
        <f ca="1">IF(C79&lt;=0,0,C79/C73)</f>
        <v>165.67486818980669</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1408</v>
      </c>
      <c r="C81" s="2574">
        <f ca="1">ROUND(IF(C79&lt;=0,0,IF(C80&gt;=200%,C79*60%-C73*35%,IF(C80&gt;=100%,C79*50%-C73*15%,IF(C80&gt;=50%,C79*40%-C73*5%,IF(C80&lt;50%,C79*30%,0))))),0)</f>
        <v>281811</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2" t="s">
        <v>1409</v>
      </c>
      <c r="B83" s="3623"/>
      <c r="C83" s="3623"/>
      <c r="D83" s="3623"/>
      <c r="E83" s="3623"/>
      <c r="F83" s="3623"/>
      <c r="G83" s="3623"/>
      <c r="H83" s="362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14" t="s">
        <v>1374</v>
      </c>
      <c r="B84" s="3615"/>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3">
        <f ca="1">ROUND(D45/(1+'数据-取费表'!C42),0)</f>
        <v>474190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3">
        <f ca="1">IF(H88="仅含出让金",C87+C90+C91+C92+C93+C94,C87+C91+C92+C93+C94)</f>
        <v>329953</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1">
        <f>C88+C89</f>
        <v>177246</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7">
        <v>172000</v>
      </c>
      <c r="D88" s="2572"/>
      <c r="E88" s="193" t="s">
        <v>1412</v>
      </c>
      <c r="F88" s="2324"/>
      <c r="G88" s="194" t="s">
        <v>1413</v>
      </c>
      <c r="H88" s="1821" t="s">
        <v>3459</v>
      </c>
      <c r="I88" s="1818"/>
      <c r="J88" s="2516" t="s">
        <v>2282</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1">
        <f>ROUND(C88*D89,0)</f>
        <v>5246</v>
      </c>
      <c r="D89" s="2572">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7"/>
      <c r="D90" s="2572"/>
      <c r="E90" s="193" t="str">
        <f>IF(H88="-","土地取得成本中已包含该笔费用"," ")</f>
        <v xml:space="preserve"> </v>
      </c>
      <c r="F90" s="2324"/>
      <c r="G90" s="3580" t="s">
        <v>2127</v>
      </c>
      <c r="H90" s="3581"/>
      <c r="I90" s="1818"/>
      <c r="J90" s="2516" t="s">
        <v>2283</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1">
        <f ca="1">IF(H91="——",成本法!C33,I91)</f>
        <v>74376</v>
      </c>
      <c r="D91" s="2572"/>
      <c r="E91" s="3611" t="s">
        <v>1418</v>
      </c>
      <c r="F91" s="3612"/>
      <c r="G91" s="361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1">
        <f ca="1">ROUND((C87+C90+C91)*D92,0)</f>
        <v>25162</v>
      </c>
      <c r="D92" s="2578">
        <v>0.1</v>
      </c>
      <c r="E92" s="3611" t="s">
        <v>1421</v>
      </c>
      <c r="F92" s="3612"/>
      <c r="G92" s="3612"/>
      <c r="H92" s="3613"/>
      <c r="I92" s="1818"/>
      <c r="J92" s="2517" t="s">
        <v>2284</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1">
        <f ca="1">ROUND(D45*D93/(1+'数据-取费表'!C42),0)</f>
        <v>2845</v>
      </c>
      <c r="D93" s="2572">
        <f>'数据-取费表'!B43</f>
        <v>6.000000000000001E-3</v>
      </c>
      <c r="E93" s="3611" t="s">
        <v>1405</v>
      </c>
      <c r="F93" s="3612"/>
      <c r="G93" s="3612"/>
      <c r="H93" s="361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7">
        <f ca="1">ROUND((C87+C90+C91)*D94,0)</f>
        <v>50324</v>
      </c>
      <c r="D94" s="2572">
        <v>0.2</v>
      </c>
      <c r="E94" s="3656" t="s">
        <v>1425</v>
      </c>
      <c r="F94" s="3657"/>
      <c r="G94" s="3657"/>
      <c r="H94" s="3658"/>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3">
        <f ca="1">ROUND(C85-C86,0)</f>
        <v>144237</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3">
        <f ca="1">IF(C95&lt;=0,0,C95/C86)</f>
        <v>0.43714407809597122</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4">
        <f ca="1">ROUND(IF(C95&lt;=0,0,IF(C96&gt;=200%,C95*60%-C86*35%,IF(C96&gt;=100%,C95*50%-C86*15%,IF(C96&gt;=50%,C95*40%-C86*5%,IF(C96&lt;50%,C95*30%,0))))),0)</f>
        <v>43271</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61" t="s">
        <v>1427</v>
      </c>
      <c r="B100" s="3562"/>
      <c r="C100" s="3562"/>
      <c r="D100" s="3596"/>
      <c r="E100" s="3562" t="s">
        <v>1428</v>
      </c>
      <c r="F100" s="3562"/>
      <c r="G100" s="3562"/>
      <c r="H100" s="3596"/>
      <c r="I100" s="129"/>
    </row>
    <row r="101" spans="1:35" ht="18.75" customHeight="1">
      <c r="A101" s="3604" t="s">
        <v>1429</v>
      </c>
      <c r="B101" s="3605"/>
      <c r="C101" s="2580" t="str">
        <f>C4</f>
        <v>成本法</v>
      </c>
      <c r="D101" s="2581" t="str">
        <f>D4</f>
        <v>收益法（汇总）</v>
      </c>
      <c r="E101" s="3574" t="s">
        <v>1430</v>
      </c>
      <c r="F101" s="3575"/>
      <c r="G101" s="1824" t="s">
        <v>1431</v>
      </c>
      <c r="H101" s="2590">
        <f ca="1">H118</f>
        <v>497900</v>
      </c>
      <c r="I101" s="129"/>
    </row>
    <row r="102" spans="1:35" ht="18.75" customHeight="1">
      <c r="A102" s="3606" t="s">
        <v>1432</v>
      </c>
      <c r="B102" s="2579" t="s">
        <v>1431</v>
      </c>
      <c r="C102" s="2580">
        <f ca="1">IF(D32="楼面单价",ROUND(C19,0),C19)</f>
        <v>402640</v>
      </c>
      <c r="D102" s="2581">
        <f ca="1">IF(D32="楼面单价",ROUND(D19,0),D19)</f>
        <v>561406</v>
      </c>
      <c r="E102" s="3574"/>
      <c r="F102" s="3575"/>
      <c r="G102" s="1824" t="s">
        <v>1433</v>
      </c>
      <c r="H102" s="2550">
        <f ca="1">I118</f>
        <v>37508</v>
      </c>
      <c r="I102" s="129"/>
    </row>
    <row r="103" spans="1:35" ht="42.75" customHeight="1">
      <c r="A103" s="3606"/>
      <c r="B103" s="2579" t="s">
        <v>1433</v>
      </c>
      <c r="C103" s="2582">
        <f ca="1">C20</f>
        <v>30332</v>
      </c>
      <c r="D103" s="2583">
        <f ca="1">D20</f>
        <v>42292</v>
      </c>
      <c r="E103" s="3567" t="s">
        <v>1434</v>
      </c>
      <c r="F103" s="3568"/>
      <c r="G103" s="1825" t="s">
        <v>1435</v>
      </c>
      <c r="H103" s="2590">
        <f>IF(D36="正常操作",H104+H105+H106,H105+H106)</f>
        <v>0</v>
      </c>
      <c r="I103" s="129"/>
    </row>
    <row r="104" spans="1:35" ht="18.75" customHeight="1">
      <c r="A104" s="3606" t="s">
        <v>1436</v>
      </c>
      <c r="B104" s="2584" t="s">
        <v>1431</v>
      </c>
      <c r="C104" s="2585">
        <f ca="1">H118</f>
        <v>497900</v>
      </c>
      <c r="D104" s="2586"/>
      <c r="E104" s="1671" t="s">
        <v>1437</v>
      </c>
      <c r="F104" s="1663"/>
      <c r="G104" s="1825" t="s">
        <v>1435</v>
      </c>
      <c r="H104" s="2591">
        <f>IF(D36="同一抵押权人同一抵押物续贷",C36&amp;"（续贷，未扣减，详见特别提示）",C36)</f>
        <v>0</v>
      </c>
      <c r="I104" s="129"/>
    </row>
    <row r="105" spans="1:35" ht="18.75" customHeight="1" thickBot="1">
      <c r="A105" s="3616"/>
      <c r="B105" s="2587" t="s">
        <v>1433</v>
      </c>
      <c r="C105" s="2588">
        <f ca="1">I118</f>
        <v>37508</v>
      </c>
      <c r="D105" s="2589"/>
      <c r="E105" s="1671" t="s">
        <v>1438</v>
      </c>
      <c r="F105" s="1663"/>
      <c r="G105" s="1825" t="s">
        <v>1435</v>
      </c>
      <c r="H105" s="2592">
        <f>C37</f>
        <v>0</v>
      </c>
      <c r="I105" s="129"/>
    </row>
    <row r="106" spans="1:35" ht="18.75" customHeight="1">
      <c r="A106" s="1744" t="s">
        <v>1439</v>
      </c>
      <c r="B106" s="1744"/>
      <c r="C106" s="1744"/>
      <c r="D106" s="1744"/>
      <c r="E106" s="1826" t="s">
        <v>1440</v>
      </c>
      <c r="F106" s="1663"/>
      <c r="G106" s="1825" t="s">
        <v>1435</v>
      </c>
      <c r="H106" s="2592">
        <f>C38</f>
        <v>0</v>
      </c>
      <c r="I106" s="129"/>
    </row>
    <row r="107" spans="1:35" ht="18.75" customHeight="1">
      <c r="A107" s="129"/>
      <c r="B107" s="129"/>
      <c r="C107" s="129"/>
      <c r="D107" s="129"/>
      <c r="E107" s="3607" t="str">
        <f>IF(项目基本情况!E8="已注销","——","3.房地产抵押价值")</f>
        <v>3.房地产抵押价值</v>
      </c>
      <c r="F107" s="3575"/>
      <c r="G107" s="1824" t="s">
        <v>1431</v>
      </c>
      <c r="H107" s="2590">
        <f ca="1">IF(E107="——","——",H101-H103)</f>
        <v>497900</v>
      </c>
      <c r="I107" s="129"/>
    </row>
    <row r="108" spans="1:35" ht="18.75" customHeight="1">
      <c r="A108" s="129"/>
      <c r="B108" s="129"/>
      <c r="C108" s="129"/>
      <c r="D108" s="129"/>
      <c r="E108" s="3607"/>
      <c r="F108" s="3575"/>
      <c r="G108" s="1824" t="s">
        <v>1433</v>
      </c>
      <c r="H108" s="2550">
        <f ca="1">IF(H107=H101,H102,ROUND(H107*10000/'数据-汇总表'!E3,0))</f>
        <v>37508</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4" t="s">
        <v>1431</v>
      </c>
      <c r="H109" s="2593" t="str">
        <f>IF(E109="——","——",H101-H105-H106)</f>
        <v>——</v>
      </c>
      <c r="I109" s="129"/>
    </row>
    <row r="110" spans="1:35" ht="18.75" customHeight="1">
      <c r="A110" s="129"/>
      <c r="B110" s="129"/>
      <c r="C110" s="129"/>
      <c r="D110" s="129"/>
      <c r="E110" s="3607"/>
      <c r="F110" s="3575"/>
      <c r="G110" s="1824" t="s">
        <v>1433</v>
      </c>
      <c r="H110" s="2550"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4" t="s">
        <v>1431</v>
      </c>
      <c r="H111" s="2590" t="str">
        <f>IF(E111="——","——",N59)</f>
        <v>——</v>
      </c>
      <c r="I111" s="129"/>
    </row>
    <row r="112" spans="1:35" ht="18.75" customHeight="1" thickBot="1">
      <c r="A112" s="129"/>
      <c r="B112" s="129"/>
      <c r="C112" s="129"/>
      <c r="D112" s="129"/>
      <c r="E112" s="3609"/>
      <c r="F112" s="3610"/>
      <c r="G112" s="1827" t="s">
        <v>1433</v>
      </c>
      <c r="H112" s="2594" t="str">
        <f>IF(E111="——","——",N61)</f>
        <v>——</v>
      </c>
      <c r="I112" s="129"/>
    </row>
    <row r="113" spans="1:27" ht="18.75" customHeight="1">
      <c r="A113" s="129"/>
      <c r="B113" s="129"/>
      <c r="C113" s="129"/>
      <c r="D113" s="129"/>
      <c r="E113" s="3617" t="s">
        <v>1439</v>
      </c>
      <c r="F113" s="3617"/>
      <c r="G113" s="3617"/>
      <c r="H113" s="3617"/>
      <c r="I113" s="129"/>
    </row>
    <row r="114" spans="1:27" ht="3.75" customHeight="1">
      <c r="A114" s="1744"/>
      <c r="B114" s="1744"/>
      <c r="C114" s="1744"/>
      <c r="D114" s="1744"/>
      <c r="E114" s="1806"/>
      <c r="F114" s="1806"/>
      <c r="G114" s="1806"/>
      <c r="H114" s="1806"/>
      <c r="I114" s="1744"/>
    </row>
    <row r="115" spans="1:27" ht="18.75" customHeight="1">
      <c r="A115" s="3625" t="s">
        <v>1441</v>
      </c>
      <c r="B115" s="3626"/>
      <c r="C115" s="3626"/>
      <c r="D115" s="3626"/>
      <c r="E115" s="3626"/>
      <c r="F115" s="3626"/>
      <c r="G115" s="3626"/>
      <c r="H115" s="3626"/>
      <c r="I115" s="3627"/>
    </row>
    <row r="116" spans="1:27" ht="27" customHeight="1">
      <c r="A116" s="3582" t="s">
        <v>1442</v>
      </c>
      <c r="B116" s="3586" t="s">
        <v>1443</v>
      </c>
      <c r="C116" s="3586" t="s">
        <v>1444</v>
      </c>
      <c r="D116" s="3592" t="s">
        <v>1445</v>
      </c>
      <c r="E116" s="3593"/>
      <c r="F116" s="3624" t="s">
        <v>1446</v>
      </c>
      <c r="G116" s="3624"/>
      <c r="H116" s="3582" t="s">
        <v>1447</v>
      </c>
      <c r="I116" s="3582"/>
    </row>
    <row r="117" spans="1:27" ht="18.75" customHeight="1">
      <c r="A117" s="3582"/>
      <c r="B117" s="3587"/>
      <c r="C117" s="3587"/>
      <c r="D117" s="2326" t="s">
        <v>1448</v>
      </c>
      <c r="E117" s="2326" t="s">
        <v>1449</v>
      </c>
      <c r="F117" s="2326" t="s">
        <v>1448</v>
      </c>
      <c r="G117" s="2326" t="s">
        <v>1450</v>
      </c>
      <c r="H117" s="2326" t="s">
        <v>1448</v>
      </c>
      <c r="I117" s="2326" t="s">
        <v>1450</v>
      </c>
    </row>
    <row r="118" spans="1:27" ht="24.75" customHeight="1">
      <c r="A118" s="2595" t="str">
        <f>项目基本情况!S2</f>
        <v>北京市朝阳区安定路5号院房地产</v>
      </c>
      <c r="B118" s="2326">
        <f>M18</f>
        <v>132744.37</v>
      </c>
      <c r="C118" s="2326">
        <f>M19</f>
        <v>19087.400000000001</v>
      </c>
      <c r="D118" s="2326">
        <f ca="1">ROUND(IF(D32="总价",C34,E118*B118/10000),0)</f>
        <v>392843</v>
      </c>
      <c r="E118" s="2326">
        <f ca="1">ROUND(IF(C33="自定义",IF(D32="楼面单价",C34,D118*10000/B118),I118-G118),0)</f>
        <v>29594</v>
      </c>
      <c r="F118" s="2326">
        <f ca="1">ROUND(IF(D32="总价",C35,G118*B118/10000),0)</f>
        <v>105057</v>
      </c>
      <c r="G118" s="2326">
        <f ca="1">ROUND(IF(D32="楼面单价",C35,F118*10000/B118),0)</f>
        <v>7914</v>
      </c>
      <c r="H118" s="2326">
        <f ca="1">ROUND(IF(D32="总价",C32,I118*B118/10000),0)</f>
        <v>497900</v>
      </c>
      <c r="I118" s="2326">
        <f ca="1">ROUND(IF(D32="楼面单价",C32,H118*10000/B118),0)</f>
        <v>37508</v>
      </c>
    </row>
    <row r="119" spans="1:27" ht="18.75" customHeight="1">
      <c r="A119" s="3582" t="s">
        <v>1451</v>
      </c>
      <c r="B119" s="3582"/>
      <c r="C119" s="3582"/>
      <c r="D119" s="3588" t="str">
        <f ca="1">NUMBERSTRING(INT(D118*10000),2)&amp;"元整"</f>
        <v>叁拾玖亿贰仟捌佰肆拾叁万元整</v>
      </c>
      <c r="E119" s="3589"/>
      <c r="F119" s="3588" t="str">
        <f ca="1">NUMBERSTRING(INT(F118*10000),2)&amp;"元整"</f>
        <v>壹拾亿伍仟零伍拾柒万元整</v>
      </c>
      <c r="G119" s="3589"/>
      <c r="H119" s="3588" t="str">
        <f ca="1">NUMBERSTRING(INT(H118*10000),2)&amp;"元整"</f>
        <v>肆拾玖亿柒仟玖佰万元整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8" t="s">
        <v>1451</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497900</v>
      </c>
      <c r="E122" s="3584"/>
      <c r="F122" s="3584"/>
      <c r="G122" s="3584"/>
      <c r="H122" s="3584"/>
      <c r="I122" s="3585"/>
      <c r="AA122" s="725"/>
    </row>
    <row r="123" spans="1:27" ht="18.75" customHeight="1">
      <c r="A123" s="3582" t="s">
        <v>1451</v>
      </c>
      <c r="B123" s="3582"/>
      <c r="C123" s="3582"/>
      <c r="D123" s="3588" t="str">
        <f ca="1">NUMBERSTRING(INT(D122*10000),2)&amp;"元整"</f>
        <v>肆拾玖亿柒仟玖佰万元整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1451</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1451</v>
      </c>
      <c r="B127" s="3582"/>
      <c r="C127" s="3582"/>
      <c r="D127" s="3588" t="e">
        <f>NUMBERSTRING(INT(D126*10000),2)&amp;"元整"</f>
        <v>#VALUE!</v>
      </c>
      <c r="E127" s="3590"/>
      <c r="F127" s="3590"/>
      <c r="G127" s="3590"/>
      <c r="H127" s="3590"/>
      <c r="I127" s="3589"/>
      <c r="AA127" s="725"/>
    </row>
    <row r="128" spans="1:27" ht="21.75" customHeight="1">
      <c r="A128" s="3591" t="s">
        <v>1452</v>
      </c>
      <c r="B128" s="3591"/>
      <c r="C128" s="3591"/>
      <c r="D128" s="3591"/>
      <c r="E128" s="3591"/>
      <c r="F128" s="3591"/>
      <c r="G128" s="3591"/>
      <c r="H128" s="3591"/>
      <c r="I128" s="3591"/>
      <c r="AA128" s="725"/>
    </row>
    <row r="129" spans="1:35" ht="21.75" customHeight="1">
      <c r="A129" s="1828" t="s">
        <v>1453</v>
      </c>
      <c r="B129" s="1829"/>
      <c r="C129" s="1830" t="s">
        <v>1454</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1455</v>
      </c>
      <c r="G135" s="1845"/>
      <c r="H135" s="1845"/>
      <c r="I135" s="1846" t="s">
        <v>1456</v>
      </c>
    </row>
    <row r="136" spans="1:35" ht="21.75" customHeight="1">
      <c r="A136" s="725"/>
      <c r="B136" s="1847"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1458</v>
      </c>
    </row>
    <row r="139" spans="1:35" ht="21.75" customHeight="1">
      <c r="A139" s="725"/>
      <c r="B139" s="1847" t="s">
        <v>1459</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1458</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9</v>
      </c>
    </row>
    <row r="2" spans="1:9" s="200" customFormat="1" ht="18" customHeight="1">
      <c r="A2" s="201" t="s">
        <v>1461</v>
      </c>
      <c r="B2" s="202">
        <f ca="1">IF(D2="——",C52,C52-E2)</f>
        <v>402640</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30332</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237294</v>
      </c>
      <c r="D5" s="211" t="s">
        <v>1468</v>
      </c>
      <c r="E5" s="212" t="s">
        <v>1469</v>
      </c>
      <c r="F5" s="212" t="s">
        <v>1470</v>
      </c>
      <c r="G5" s="213"/>
    </row>
    <row r="6" spans="1:9" s="214" customFormat="1" ht="13.5" customHeight="1">
      <c r="A6" s="775" t="s">
        <v>1471</v>
      </c>
      <c r="B6" s="215" t="s">
        <v>1472</v>
      </c>
      <c r="C6" s="216">
        <f ca="1">'基准地价（汇总）'!B2</f>
        <v>227694</v>
      </c>
      <c r="D6" s="217"/>
      <c r="E6" s="218"/>
      <c r="F6" s="218"/>
      <c r="G6" s="219"/>
    </row>
    <row r="7" spans="1:9" s="214" customFormat="1" ht="13.5" customHeight="1">
      <c r="A7" s="775" t="s">
        <v>1473</v>
      </c>
      <c r="B7" s="215" t="s">
        <v>1474</v>
      </c>
      <c r="C7" s="220">
        <f ca="1">ROUND(C6*F7,0)</f>
        <v>6945</v>
      </c>
      <c r="D7" s="220"/>
      <c r="E7" s="218"/>
      <c r="F7" s="221">
        <f>IF(项目基本情况!B8="出让",0,'数据-取费表'!B48+'数据-取费表'!B49)</f>
        <v>3.0499999999999999E-2</v>
      </c>
      <c r="G7" s="219"/>
    </row>
    <row r="8" spans="1:9" s="223" customFormat="1">
      <c r="A8" s="775" t="s">
        <v>1475</v>
      </c>
      <c r="B8" s="215" t="s">
        <v>1476</v>
      </c>
      <c r="C8" s="220">
        <f ca="1">IF(G8="已包含在土地购买价格中","0",IF(B1="",'数据-取费表'!B29,IF(G9="全部缴纳",C9+C10,H9)))</f>
        <v>2655</v>
      </c>
      <c r="D8" s="222"/>
      <c r="E8" s="220"/>
      <c r="F8" s="221"/>
      <c r="G8" s="1853" t="s">
        <v>3446</v>
      </c>
    </row>
    <row r="9" spans="1:9" s="214" customFormat="1" ht="13.5" customHeight="1">
      <c r="A9" s="776" t="s">
        <v>355</v>
      </c>
      <c r="B9" s="224" t="s">
        <v>1477</v>
      </c>
      <c r="C9" s="225">
        <f ca="1">ROUND(D9*E9/10000,0)</f>
        <v>0</v>
      </c>
      <c r="D9" s="842">
        <f ca="1">IF(B1="",'数据-汇总表'!E5,IF(INDIRECT("'数据-取费表'!c"&amp;$G$1)="住宅",INDIRECT("'数据-取费表'!k"&amp;$G$1),0))</f>
        <v>0</v>
      </c>
      <c r="E9" s="225">
        <f>'数据-取费表'!B27</f>
        <v>160</v>
      </c>
      <c r="F9" s="221"/>
      <c r="G9" s="1854"/>
      <c r="H9" s="1134"/>
      <c r="I9" s="1855" t="s">
        <v>1478</v>
      </c>
    </row>
    <row r="10" spans="1:9" s="214" customFormat="1" ht="13.5" customHeight="1">
      <c r="A10" s="776" t="s">
        <v>356</v>
      </c>
      <c r="B10" s="224" t="s">
        <v>1479</v>
      </c>
      <c r="C10" s="225">
        <f ca="1">ROUND(D10*E10/10000,0)</f>
        <v>2655</v>
      </c>
      <c r="D10" s="842">
        <f ca="1">IF(B1="",'数据-汇总表'!E6,IF(INDIRECT("'数据-取费表'!c"&amp;$G$1)="住宅",INDIRECT("'数据-取费表'!s"&amp;$G$1),INDIRECT("'数据-取费表'!k"&amp;$G$1)+INDIRECT("'数据-取费表'!s"&amp;$G$1)))</f>
        <v>132744.37</v>
      </c>
      <c r="E10" s="225">
        <f>'数据-取费表'!B28</f>
        <v>200</v>
      </c>
      <c r="F10" s="221"/>
      <c r="G10" s="226"/>
    </row>
    <row r="11" spans="1:9" s="214" customFormat="1" ht="13.5" hidden="1" customHeight="1">
      <c r="A11" s="227" t="s">
        <v>4</v>
      </c>
      <c r="B11" s="215" t="s">
        <v>1480</v>
      </c>
      <c r="C11" s="211"/>
      <c r="D11" s="844"/>
      <c r="E11" s="218"/>
      <c r="F11" s="218"/>
      <c r="G11" s="219"/>
    </row>
    <row r="12" spans="1:9" s="214" customFormat="1" ht="13.5" hidden="1" customHeight="1">
      <c r="A12" s="227" t="s">
        <v>5</v>
      </c>
      <c r="B12" s="215" t="s">
        <v>1481</v>
      </c>
      <c r="C12" s="211">
        <v>0</v>
      </c>
      <c r="D12" s="844"/>
      <c r="E12" s="228"/>
      <c r="F12" s="221">
        <v>3.0499999999999999E-2</v>
      </c>
      <c r="G12" s="219"/>
    </row>
    <row r="13" spans="1:9" s="214" customFormat="1" ht="13.5" hidden="1" customHeight="1">
      <c r="A13" s="227" t="s">
        <v>6</v>
      </c>
      <c r="B13" s="215" t="s">
        <v>1482</v>
      </c>
      <c r="C13" s="211"/>
      <c r="D13" s="844"/>
      <c r="E13" s="218"/>
      <c r="F13" s="218"/>
      <c r="G13" s="219"/>
    </row>
    <row r="14" spans="1:9" s="214" customFormat="1" ht="13.5" hidden="1" customHeight="1">
      <c r="A14" s="227" t="s">
        <v>7</v>
      </c>
      <c r="B14" s="215" t="s">
        <v>1483</v>
      </c>
      <c r="C14" s="211"/>
      <c r="D14" s="844"/>
      <c r="E14" s="218"/>
      <c r="F14" s="218"/>
      <c r="G14" s="219" t="s">
        <v>1484</v>
      </c>
    </row>
    <row r="15" spans="1:9" s="214" customFormat="1" ht="13.5" hidden="1" customHeight="1">
      <c r="A15" s="227" t="s">
        <v>8</v>
      </c>
      <c r="B15" s="215" t="s">
        <v>1485</v>
      </c>
      <c r="C15" s="220"/>
      <c r="D15" s="844"/>
      <c r="E15" s="218"/>
      <c r="F15" s="218"/>
      <c r="G15" s="219" t="s">
        <v>1486</v>
      </c>
    </row>
    <row r="16" spans="1:9" s="214" customFormat="1" ht="13.5" hidden="1" customHeight="1">
      <c r="A16" s="227" t="s">
        <v>9</v>
      </c>
      <c r="B16" s="215" t="s">
        <v>1483</v>
      </c>
      <c r="C16" s="220"/>
      <c r="D16" s="844"/>
      <c r="E16" s="218"/>
      <c r="F16" s="218"/>
      <c r="G16" s="219"/>
    </row>
    <row r="17" spans="1:7" s="214" customFormat="1" ht="13.5" hidden="1" customHeight="1">
      <c r="A17" s="227" t="s">
        <v>10</v>
      </c>
      <c r="B17" s="215" t="s">
        <v>1487</v>
      </c>
      <c r="C17" s="229"/>
      <c r="D17" s="845"/>
      <c r="E17" s="229"/>
      <c r="F17" s="229"/>
      <c r="G17" s="219" t="s">
        <v>1486</v>
      </c>
    </row>
    <row r="18" spans="1:7" s="214" customFormat="1" ht="13.5" hidden="1" customHeight="1">
      <c r="A18" s="227" t="s">
        <v>11</v>
      </c>
      <c r="B18" s="215" t="s">
        <v>1488</v>
      </c>
      <c r="C18" s="220">
        <v>0</v>
      </c>
      <c r="D18" s="844"/>
      <c r="E18" s="218"/>
      <c r="F18" s="221">
        <v>3.0499999999999999E-2</v>
      </c>
      <c r="G18" s="219" t="s">
        <v>1489</v>
      </c>
    </row>
    <row r="19" spans="1:7" s="223" customFormat="1" ht="13.5" customHeight="1">
      <c r="A19" s="255" t="s">
        <v>1490</v>
      </c>
      <c r="B19" s="210" t="s">
        <v>1491</v>
      </c>
      <c r="C19" s="211" t="str">
        <f>IF(G19="已包含在土地取得成本中","0",ROUND(D19*E19/10000,0))</f>
        <v>0</v>
      </c>
      <c r="D19" s="846">
        <f ca="1">D9+D10</f>
        <v>132744.37</v>
      </c>
      <c r="E19" s="211">
        <f>'数据-取费表'!B31</f>
        <v>200</v>
      </c>
      <c r="F19" s="231"/>
      <c r="G19" s="1853" t="s">
        <v>3447</v>
      </c>
    </row>
    <row r="20" spans="1:7" s="214" customFormat="1" ht="13.5" customHeight="1">
      <c r="A20" s="255" t="s">
        <v>1492</v>
      </c>
      <c r="B20" s="210" t="s">
        <v>1493</v>
      </c>
      <c r="C20" s="232">
        <f ca="1">ROUND((C5+C19)*F20,0)</f>
        <v>4746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17315</v>
      </c>
      <c r="D22" s="235">
        <f ca="1">C26</f>
        <v>6.9999999999999999E-4</v>
      </c>
      <c r="E22" s="236" t="s">
        <v>1497</v>
      </c>
      <c r="F22" s="237">
        <f ca="1">'数据-取费表'!B40</f>
        <v>3.5499999999999997E-2</v>
      </c>
      <c r="G22" s="234" t="str">
        <f>IF('数据-取费表'!B22&lt;=1,"单利计息","复利计息")</f>
        <v>复利计息</v>
      </c>
    </row>
    <row r="23" spans="1:7" s="214" customFormat="1" ht="13.5" customHeight="1">
      <c r="A23" s="777" t="s">
        <v>1501</v>
      </c>
      <c r="B23" s="215" t="s">
        <v>1502</v>
      </c>
      <c r="C23" s="1102">
        <f ca="1">ROUND(IF('数据-取费表'!B22&lt;=1,C5*F22*'数据-取费表'!B23,C5*(POWER((1+F22),'数据-取费表'!B23)-1)),0)</f>
        <v>17147</v>
      </c>
      <c r="D23" s="238"/>
      <c r="E23" s="238"/>
      <c r="F23" s="239"/>
      <c r="G23" s="240" t="s">
        <v>1503</v>
      </c>
    </row>
    <row r="24" spans="1:7" s="214" customFormat="1" ht="13.5" customHeight="1">
      <c r="A24" s="777"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7" t="s">
        <v>1507</v>
      </c>
      <c r="B25" s="215" t="s">
        <v>1508</v>
      </c>
      <c r="C25" s="1102">
        <f ca="1">ROUND(IF('数据-取费表'!B22&lt;=1,C20*F22*'数据-取费表'!B23/2,C20*(POWER((1+F22),'数据-取费表'!B23/2)-1)),0)</f>
        <v>168</v>
      </c>
      <c r="D25" s="238"/>
      <c r="E25" s="241"/>
      <c r="F25" s="239"/>
      <c r="G25" s="242" t="s">
        <v>1509</v>
      </c>
    </row>
    <row r="26" spans="1:7" s="214" customFormat="1">
      <c r="A26" s="777"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33886</v>
      </c>
      <c r="D27" s="235">
        <f ca="1">C29</f>
        <v>2.8E-3</v>
      </c>
      <c r="E27" s="236" t="s">
        <v>1513</v>
      </c>
      <c r="F27" s="246">
        <f ca="1">IF(B1="",'数据-取费表'!Q16,INDIRECT("'数据-取费表'!q"&amp;$G$1))</f>
        <v>0.14000000000000001</v>
      </c>
      <c r="G27" s="247" t="s">
        <v>1514</v>
      </c>
    </row>
    <row r="28" spans="1:7" s="214" customFormat="1" ht="13.5" customHeight="1">
      <c r="A28" s="777" t="s">
        <v>346</v>
      </c>
      <c r="B28" s="248" t="s">
        <v>1515</v>
      </c>
      <c r="C28" s="249">
        <f ca="1">ROUND((C5+C19+C20)*F27*'数据-取费表'!B21/'数据-取费表'!B20,0)</f>
        <v>33886</v>
      </c>
      <c r="D28" s="235"/>
      <c r="E28" s="236"/>
      <c r="F28" s="246"/>
      <c r="G28" s="247"/>
    </row>
    <row r="29" spans="1:7" s="214" customFormat="1" ht="13.5" customHeight="1">
      <c r="A29" s="777" t="s">
        <v>347</v>
      </c>
      <c r="B29" s="248" t="s">
        <v>1516</v>
      </c>
      <c r="C29" s="238">
        <f ca="1">ROUND(C21*F27*'数据-取费表'!B21/'数据-取费表'!B20,4)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317635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74376</v>
      </c>
      <c r="D33" s="232"/>
      <c r="E33" s="212"/>
      <c r="F33" s="241"/>
      <c r="G33" s="234"/>
    </row>
    <row r="34" spans="1:7" s="258" customFormat="1" ht="13.5" customHeight="1">
      <c r="A34" s="777" t="s">
        <v>346</v>
      </c>
      <c r="B34" s="215" t="s">
        <v>1524</v>
      </c>
      <c r="C34" s="220">
        <f ca="1">IF(B1="",IF(F34=100%,'数据-取费表'!M16,'数据-取费表'!O16),IF(F34=100%,INDIRECT("'数据-取费表'!m"&amp;$G$1)+INDIRECT("'数据-取费表'!t"&amp;$G$1),INDIRECT("'数据-取费表'!o"&amp;$G$1)+INDIRECT("'数据-取费表'!aq"&amp;$G$1)))</f>
        <v>67344</v>
      </c>
      <c r="D34" s="217"/>
      <c r="E34" s="220"/>
      <c r="F34" s="257">
        <f ca="1">IF('数据-取费表'!B24=0,1,IF(B1="",'数据-取费表'!N16,INDIRECT("'数据-取费表'!n"&amp;$G$1)))</f>
        <v>1</v>
      </c>
      <c r="G34" s="219" t="s">
        <v>1525</v>
      </c>
    </row>
    <row r="35" spans="1:7" ht="13.5" customHeight="1">
      <c r="A35" s="777" t="s">
        <v>351</v>
      </c>
      <c r="B35" s="215" t="s">
        <v>1526</v>
      </c>
      <c r="C35" s="220">
        <f ca="1">ROUND(C34*F35,0)</f>
        <v>3367</v>
      </c>
      <c r="D35" s="220"/>
      <c r="E35" s="220"/>
      <c r="F35" s="259">
        <f>'数据-取费表'!B33</f>
        <v>0.05</v>
      </c>
      <c r="G35" s="219" t="s">
        <v>1527</v>
      </c>
    </row>
    <row r="36" spans="1:7" ht="24">
      <c r="A36" s="777"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7" t="s">
        <v>353</v>
      </c>
      <c r="B37" s="215" t="s">
        <v>1530</v>
      </c>
      <c r="C37" s="249">
        <f ca="1">ROUND(E37*D37*F34/10000,0)</f>
        <v>2655</v>
      </c>
      <c r="D37" s="217">
        <f ca="1">D19</f>
        <v>132744.37</v>
      </c>
      <c r="E37" s="249">
        <f>'数据-取费表'!B35</f>
        <v>200</v>
      </c>
      <c r="F37" s="259"/>
      <c r="G37" s="261" t="s">
        <v>1531</v>
      </c>
    </row>
    <row r="38" spans="1:7" ht="13.5" customHeight="1">
      <c r="A38" s="777" t="s">
        <v>354</v>
      </c>
      <c r="B38" s="215" t="s">
        <v>1532</v>
      </c>
      <c r="C38" s="220">
        <f ca="1">ROUND(C34*F38,0)</f>
        <v>1010</v>
      </c>
      <c r="D38" s="220"/>
      <c r="E38" s="220"/>
      <c r="F38" s="259">
        <f>'数据-取费表'!B36</f>
        <v>1.4999999999999999E-2</v>
      </c>
      <c r="G38" s="219" t="s">
        <v>1527</v>
      </c>
    </row>
    <row r="39" spans="1:7" s="214" customFormat="1" ht="13.5" customHeight="1">
      <c r="A39" s="255" t="s">
        <v>1533</v>
      </c>
      <c r="B39" s="210" t="s">
        <v>1534</v>
      </c>
      <c r="C39" s="232">
        <f ca="1">ROUND(C33*F20,0)</f>
        <v>1488</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2693</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ROUND(IF('数据-取费表'!B22&lt;=1,C33*F22*'数据-取费表'!B21/2,C33*(POWER((1+F22),'数据-取费表'!B21/2)-1)),0)</f>
        <v>2640</v>
      </c>
      <c r="D42" s="238"/>
      <c r="E42" s="238"/>
      <c r="F42" s="239"/>
      <c r="G42" s="3661" t="s">
        <v>1543</v>
      </c>
    </row>
    <row r="43" spans="1:7" ht="13.5" customHeight="1">
      <c r="A43" s="777" t="s">
        <v>347</v>
      </c>
      <c r="B43" s="215" t="s">
        <v>1544</v>
      </c>
      <c r="C43" s="238">
        <f ca="1">ROUND(IF('数据-取费表'!B22&lt;=1,C39*F22*'数据-取费表'!B21/2,C39*(POWER((1+F22),'数据-取费表'!B21/2)-1)),0)</f>
        <v>53</v>
      </c>
      <c r="D43" s="238"/>
      <c r="E43" s="238"/>
      <c r="F43" s="239"/>
      <c r="G43" s="3662"/>
    </row>
    <row r="44" spans="1:7" ht="13.5" customHeight="1">
      <c r="A44" s="777" t="s">
        <v>348</v>
      </c>
      <c r="B44" s="215" t="s">
        <v>1545</v>
      </c>
      <c r="C44" s="238">
        <f ca="1">ROUND(IF('数据-取费表'!B22&lt;=1,C40*F22*'数据-取费表'!B21/2,C40*(POWER((1+F22),'数据-取费表'!B21/2)-1)),4)</f>
        <v>6.9999999999999999E-4</v>
      </c>
      <c r="D44" s="238"/>
      <c r="E44" s="238"/>
      <c r="F44" s="239"/>
      <c r="G44" s="3663"/>
    </row>
    <row r="45" spans="1:7" s="214" customFormat="1" ht="13.5" customHeight="1">
      <c r="A45" s="255" t="s">
        <v>1546</v>
      </c>
      <c r="B45" s="244" t="s">
        <v>1512</v>
      </c>
      <c r="C45" s="245">
        <f ca="1">C46</f>
        <v>10621</v>
      </c>
      <c r="D45" s="235">
        <f ca="1">C47</f>
        <v>2.8E-3</v>
      </c>
      <c r="E45" s="236" t="s">
        <v>1538</v>
      </c>
      <c r="F45" s="246">
        <f ca="1">F27</f>
        <v>0.14000000000000001</v>
      </c>
      <c r="G45" s="247" t="s">
        <v>1547</v>
      </c>
    </row>
    <row r="46" spans="1:7" s="214" customFormat="1" ht="13.5" customHeight="1">
      <c r="A46" s="777" t="s">
        <v>346</v>
      </c>
      <c r="B46" s="248" t="s">
        <v>1548</v>
      </c>
      <c r="C46" s="249">
        <f ca="1">ROUND((C33+C39)*F27,0)</f>
        <v>10621</v>
      </c>
      <c r="D46" s="263"/>
      <c r="E46" s="236"/>
      <c r="F46" s="246"/>
      <c r="G46" s="247"/>
    </row>
    <row r="47" spans="1:7" s="214" customFormat="1" ht="13.5" customHeight="1">
      <c r="A47" s="777" t="s">
        <v>347</v>
      </c>
      <c r="B47" s="248" t="s">
        <v>1549</v>
      </c>
      <c r="C47" s="238">
        <f ca="1">ROUND(C40*F27,4)</f>
        <v>2.8E-3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96597</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85005</v>
      </c>
      <c r="D51" s="232"/>
      <c r="E51" s="232"/>
      <c r="F51" s="264"/>
      <c r="G51" s="234" t="s">
        <v>1559</v>
      </c>
    </row>
    <row r="52" spans="1:7" s="208" customFormat="1" ht="16.5" thickBot="1">
      <c r="A52" s="265" t="s">
        <v>1560</v>
      </c>
      <c r="B52" s="266"/>
      <c r="C52" s="267">
        <f ca="1">C31+C51</f>
        <v>402640</v>
      </c>
      <c r="D52" s="266"/>
      <c r="E52" s="266"/>
      <c r="F52" s="266"/>
      <c r="G52" s="268"/>
    </row>
    <row r="55" spans="1:7" ht="15">
      <c r="B55" s="270" t="s">
        <v>1561</v>
      </c>
      <c r="C55" s="271"/>
    </row>
    <row r="56" spans="1:7">
      <c r="B56" s="273" t="s">
        <v>802</v>
      </c>
      <c r="C56" s="275">
        <f ca="1">1-C57</f>
        <v>0.78900000000000003</v>
      </c>
    </row>
    <row r="57" spans="1:7">
      <c r="B57" s="273" t="s">
        <v>803</v>
      </c>
      <c r="C57" s="274">
        <f ca="1">ROUND(C51/C52,3)</f>
        <v>0.21099999999999999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8" t="str">
        <f>项目基本情况!B1</f>
        <v>北京市朝阳区安定路5号院房地产抵押价值预评估</v>
      </c>
      <c r="C37" s="3478"/>
      <c r="D37" s="3478"/>
      <c r="E37" s="3478"/>
      <c r="F37" s="3478"/>
      <c r="G37" s="3478"/>
      <c r="H37" s="3478"/>
      <c r="I37" s="3478"/>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9</v>
      </c>
      <c r="H1" s="1058" t="str">
        <f>IF(ISERROR(FIND("住宅",B1)),"非住宅","住宅")</f>
        <v>非住宅</v>
      </c>
    </row>
    <row r="2" spans="1:8" s="200" customFormat="1" ht="18" customHeight="1">
      <c r="A2" s="201" t="s">
        <v>1461</v>
      </c>
      <c r="B2" s="3419">
        <f ca="1">ROUND(IF(D2="——",C52/10000,C52/10000-E2),4)</f>
        <v>92112.583199999994</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6939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26548874</v>
      </c>
      <c r="D5" s="211" t="s">
        <v>1468</v>
      </c>
      <c r="E5" s="212" t="s">
        <v>1469</v>
      </c>
      <c r="F5" s="212" t="s">
        <v>1470</v>
      </c>
      <c r="G5" s="213"/>
    </row>
    <row r="6" spans="1:8" s="214" customFormat="1" ht="13.5" customHeight="1">
      <c r="A6" s="775" t="s">
        <v>1471</v>
      </c>
      <c r="B6" s="215" t="s">
        <v>1472</v>
      </c>
      <c r="C6" s="216"/>
      <c r="D6" s="217"/>
      <c r="E6" s="218"/>
      <c r="F6" s="218"/>
      <c r="G6" s="219"/>
    </row>
    <row r="7" spans="1:8" s="214" customFormat="1" ht="13.5" customHeight="1">
      <c r="A7" s="775" t="s">
        <v>1473</v>
      </c>
      <c r="B7" s="215" t="s">
        <v>1474</v>
      </c>
      <c r="C7" s="220">
        <f>ROUND(C6*F7,0)</f>
        <v>0</v>
      </c>
      <c r="D7" s="220"/>
      <c r="E7" s="218"/>
      <c r="F7" s="221">
        <f>IF(项目基本情况!B8="出让",0,'数据-取费表'!B48+'数据-取费表'!B49)</f>
        <v>3.0499999999999999E-2</v>
      </c>
      <c r="G7" s="219"/>
    </row>
    <row r="8" spans="1:8" s="223" customFormat="1">
      <c r="A8" s="775" t="s">
        <v>1475</v>
      </c>
      <c r="B8" s="215" t="s">
        <v>1476</v>
      </c>
      <c r="C8" s="220">
        <f ca="1">IF(G8="已包含在土地购买价格中",0,C9+C10)</f>
        <v>26548874</v>
      </c>
      <c r="D8" s="222"/>
      <c r="E8" s="220"/>
      <c r="F8" s="221"/>
      <c r="G8" s="1853"/>
    </row>
    <row r="9" spans="1:8" s="214" customFormat="1" ht="13.5" customHeight="1">
      <c r="A9" s="776" t="s">
        <v>355</v>
      </c>
      <c r="B9" s="224" t="s">
        <v>1477</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1479</v>
      </c>
      <c r="C10" s="225">
        <f ca="1">ROUND(D10*E10,0)</f>
        <v>26548874</v>
      </c>
      <c r="D10" s="842">
        <f ca="1">IF(B1="",'数据-汇总表'!E6,IF(INDIRECT("'数据-取费表'!c"&amp;$G$1)="住宅",INDIRECT("'数据-取费表'!s"&amp;$G$1),INDIRECT("'数据-取费表'!k"&amp;$G$1)+INDIRECT("'数据-取费表'!s"&amp;$G$1)))</f>
        <v>132744.37</v>
      </c>
      <c r="E10" s="225">
        <f>'数据-取费表'!B28</f>
        <v>200</v>
      </c>
      <c r="F10" s="221"/>
      <c r="G10" s="226"/>
    </row>
    <row r="11" spans="1:8" s="214" customFormat="1" ht="13.5" hidden="1" customHeight="1">
      <c r="A11" s="227" t="s">
        <v>4</v>
      </c>
      <c r="B11" s="215" t="s">
        <v>1480</v>
      </c>
      <c r="C11" s="211"/>
      <c r="D11" s="844"/>
      <c r="E11" s="218"/>
      <c r="F11" s="218"/>
      <c r="G11" s="219"/>
    </row>
    <row r="12" spans="1:8" s="214" customFormat="1" ht="13.5" hidden="1" customHeight="1">
      <c r="A12" s="227" t="s">
        <v>5</v>
      </c>
      <c r="B12" s="215" t="s">
        <v>1563</v>
      </c>
      <c r="C12" s="211">
        <v>0</v>
      </c>
      <c r="D12" s="844"/>
      <c r="E12" s="228"/>
      <c r="F12" s="221">
        <v>3.0499999999999999E-2</v>
      </c>
      <c r="G12" s="219"/>
    </row>
    <row r="13" spans="1:8" s="214" customFormat="1" ht="13.5" hidden="1" customHeight="1">
      <c r="A13" s="227" t="s">
        <v>6</v>
      </c>
      <c r="B13" s="215" t="s">
        <v>1564</v>
      </c>
      <c r="C13" s="211"/>
      <c r="D13" s="844"/>
      <c r="E13" s="218"/>
      <c r="F13" s="218"/>
      <c r="G13" s="219"/>
    </row>
    <row r="14" spans="1:8" s="214" customFormat="1" ht="13.5" hidden="1" customHeight="1">
      <c r="A14" s="227" t="s">
        <v>7</v>
      </c>
      <c r="B14" s="215" t="s">
        <v>1476</v>
      </c>
      <c r="C14" s="211"/>
      <c r="D14" s="844"/>
      <c r="E14" s="218"/>
      <c r="F14" s="218"/>
      <c r="G14" s="219" t="s">
        <v>1565</v>
      </c>
    </row>
    <row r="15" spans="1:8" s="214" customFormat="1" ht="13.5" hidden="1" customHeight="1">
      <c r="A15" s="227" t="s">
        <v>8</v>
      </c>
      <c r="B15" s="215" t="s">
        <v>1566</v>
      </c>
      <c r="C15" s="220"/>
      <c r="D15" s="844"/>
      <c r="E15" s="218"/>
      <c r="F15" s="218"/>
      <c r="G15" s="219" t="s">
        <v>1567</v>
      </c>
    </row>
    <row r="16" spans="1:8" s="214" customFormat="1" ht="13.5" hidden="1" customHeight="1">
      <c r="A16" s="227" t="s">
        <v>9</v>
      </c>
      <c r="B16" s="215" t="s">
        <v>1476</v>
      </c>
      <c r="C16" s="220"/>
      <c r="D16" s="844"/>
      <c r="E16" s="218"/>
      <c r="F16" s="218"/>
      <c r="G16" s="219"/>
    </row>
    <row r="17" spans="1:7" s="214" customFormat="1" ht="13.5" hidden="1" customHeight="1">
      <c r="A17" s="227" t="s">
        <v>10</v>
      </c>
      <c r="B17" s="215" t="s">
        <v>1568</v>
      </c>
      <c r="C17" s="229"/>
      <c r="D17" s="845"/>
      <c r="E17" s="229"/>
      <c r="F17" s="229"/>
      <c r="G17" s="219" t="s">
        <v>1567</v>
      </c>
    </row>
    <row r="18" spans="1:7" s="214" customFormat="1" ht="13.5" hidden="1" customHeight="1">
      <c r="A18" s="227" t="s">
        <v>11</v>
      </c>
      <c r="B18" s="215" t="s">
        <v>1569</v>
      </c>
      <c r="C18" s="220">
        <v>0</v>
      </c>
      <c r="D18" s="844"/>
      <c r="E18" s="218"/>
      <c r="F18" s="221">
        <v>3.0499999999999999E-2</v>
      </c>
      <c r="G18" s="219" t="s">
        <v>1570</v>
      </c>
    </row>
    <row r="19" spans="1:7" s="223" customFormat="1" ht="13.5" customHeight="1">
      <c r="A19" s="255" t="s">
        <v>1571</v>
      </c>
      <c r="B19" s="210" t="s">
        <v>1572</v>
      </c>
      <c r="C19" s="211">
        <f ca="1">IF(G19="已包含在土地取得成本中","0",ROUND(D19*E19,0))</f>
        <v>26548874</v>
      </c>
      <c r="D19" s="846">
        <f ca="1">D9+D10</f>
        <v>132744.37</v>
      </c>
      <c r="E19" s="211">
        <f>'数据-取费表'!B31</f>
        <v>200</v>
      </c>
      <c r="F19" s="231"/>
      <c r="G19" s="1853"/>
    </row>
    <row r="20" spans="1:7" s="214" customFormat="1" ht="13.5" customHeight="1">
      <c r="A20" s="255" t="s">
        <v>1573</v>
      </c>
      <c r="B20" s="210" t="s">
        <v>1574</v>
      </c>
      <c r="C20" s="232">
        <f ca="1">ROUND((C5+C19)*F20,0)</f>
        <v>1061955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3874555</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77" t="s">
        <v>1471</v>
      </c>
      <c r="B23" s="215" t="s">
        <v>1582</v>
      </c>
      <c r="C23" s="1125">
        <f ca="1">ROUND(IF('数据-取费表'!B22&lt;=1,C5*F22*'数据-取费表'!B22,C5*(POWER((1+F22),'数据-取费表'!B22)-1)),0)</f>
        <v>1918428</v>
      </c>
      <c r="D23" s="238"/>
      <c r="E23" s="238"/>
      <c r="F23" s="239"/>
      <c r="G23" s="240" t="s">
        <v>1583</v>
      </c>
    </row>
    <row r="24" spans="1:7" s="214" customFormat="1" ht="13.5" customHeight="1">
      <c r="A24" s="777" t="s">
        <v>1473</v>
      </c>
      <c r="B24" s="215" t="s">
        <v>1584</v>
      </c>
      <c r="C24" s="1125">
        <f ca="1">ROUND(IF('数据-取费表'!B22&lt;=1,C19*F22*('数据-取费表'!B19/2+'数据-取费表'!B20),C19*(POWER((1+F22),('数据-取费表'!B19/2+'数据-取费表'!B20))-1)),0)</f>
        <v>1918428</v>
      </c>
      <c r="D24" s="238"/>
      <c r="E24" s="238"/>
      <c r="F24" s="239"/>
      <c r="G24" s="240" t="s">
        <v>1585</v>
      </c>
    </row>
    <row r="25" spans="1:7" s="214" customFormat="1" ht="24">
      <c r="A25" s="777" t="s">
        <v>1475</v>
      </c>
      <c r="B25" s="215" t="s">
        <v>1586</v>
      </c>
      <c r="C25" s="1125">
        <f ca="1">ROUND(IF('数据-取费表'!B22&lt;=1,C20*F22*'数据-取费表'!B22/2,C20*(POWER((1+F22),'数据-取费表'!B22/2)-1)),0)</f>
        <v>37699</v>
      </c>
      <c r="D25" s="238"/>
      <c r="E25" s="241"/>
      <c r="F25" s="239"/>
      <c r="G25" s="242" t="s">
        <v>1587</v>
      </c>
    </row>
    <row r="26" spans="1:7" s="214" customFormat="1">
      <c r="A26" s="777"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7582358</v>
      </c>
      <c r="D27" s="235">
        <f ca="1">C29</f>
        <v>2.8E-3</v>
      </c>
      <c r="E27" s="236" t="s">
        <v>1513</v>
      </c>
      <c r="F27" s="246">
        <f ca="1">IF(B1="",'数据-取费表'!Q16,INDIRECT("'数据-取费表'!q"&amp;$G$1))</f>
        <v>0.14000000000000001</v>
      </c>
      <c r="G27" s="247" t="s">
        <v>1514</v>
      </c>
    </row>
    <row r="28" spans="1:7" s="214" customFormat="1" ht="13.5" customHeight="1">
      <c r="A28" s="777" t="s">
        <v>346</v>
      </c>
      <c r="B28" s="248" t="s">
        <v>1515</v>
      </c>
      <c r="C28" s="249">
        <f ca="1">ROUND((C5+C19+C20)*F27,0)</f>
        <v>7582358</v>
      </c>
      <c r="D28" s="235"/>
      <c r="E28" s="236"/>
      <c r="F28" s="246"/>
      <c r="G28" s="247"/>
    </row>
    <row r="29" spans="1:7" s="214" customFormat="1" ht="13.5" customHeight="1">
      <c r="A29" s="777" t="s">
        <v>347</v>
      </c>
      <c r="B29" s="248" t="s">
        <v>1516</v>
      </c>
      <c r="C29" s="238">
        <f ca="1">ROUND(C21*F27,4)</f>
        <v>2.8E-3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71075191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743763938</v>
      </c>
      <c r="D33" s="232"/>
      <c r="E33" s="212"/>
      <c r="F33" s="241"/>
      <c r="G33" s="234"/>
    </row>
    <row r="34" spans="1:7" s="258" customFormat="1" ht="13.5" customHeight="1">
      <c r="A34" s="777" t="s">
        <v>346</v>
      </c>
      <c r="B34" s="215" t="s">
        <v>1524</v>
      </c>
      <c r="C34" s="220">
        <f ca="1">ROUND(IF(B1="",SUMPRODUCT('数据-取费表'!K6:K14,'数据-取费表'!L6:L14),INDIRECT("'数据-取费表'!l"&amp;$G$1)*INDIRECT("'数据-取费表'!k"&amp;$G$1)+'数据-取费表'!L14*INDIRECT("'数据-取费表'!S"&amp;$G$1)),0)</f>
        <v>673441374</v>
      </c>
      <c r="D34" s="217"/>
      <c r="E34" s="220"/>
      <c r="F34" s="257"/>
      <c r="G34" s="219"/>
    </row>
    <row r="35" spans="1:7" ht="13.5" customHeight="1">
      <c r="A35" s="777" t="s">
        <v>351</v>
      </c>
      <c r="B35" s="215" t="s">
        <v>1526</v>
      </c>
      <c r="C35" s="220">
        <f ca="1">ROUND(C34*F35,0)</f>
        <v>33672069</v>
      </c>
      <c r="D35" s="220"/>
      <c r="E35" s="220"/>
      <c r="F35" s="259">
        <f>'数据-取费表'!B33</f>
        <v>0.05</v>
      </c>
      <c r="G35" s="219" t="s">
        <v>1527</v>
      </c>
    </row>
    <row r="36" spans="1:7" ht="24">
      <c r="A36" s="777"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7" t="s">
        <v>353</v>
      </c>
      <c r="B37" s="215" t="s">
        <v>1530</v>
      </c>
      <c r="C37" s="249">
        <f ca="1">ROUND(E37*D37,0)</f>
        <v>26548874</v>
      </c>
      <c r="D37" s="217">
        <f ca="1">D19</f>
        <v>132744.37</v>
      </c>
      <c r="E37" s="249">
        <f>'数据-取费表'!B35</f>
        <v>200</v>
      </c>
      <c r="F37" s="259"/>
      <c r="G37" s="261"/>
    </row>
    <row r="38" spans="1:7" ht="13.5" customHeight="1">
      <c r="A38" s="777" t="s">
        <v>354</v>
      </c>
      <c r="B38" s="215" t="s">
        <v>1532</v>
      </c>
      <c r="C38" s="220">
        <f ca="1">ROUND(C34*F38,0)</f>
        <v>10101621</v>
      </c>
      <c r="D38" s="220"/>
      <c r="E38" s="220"/>
      <c r="F38" s="259">
        <f>'数据-取费表'!B36</f>
        <v>1.4999999999999999E-2</v>
      </c>
      <c r="G38" s="219" t="s">
        <v>1527</v>
      </c>
    </row>
    <row r="39" spans="1:7" s="214" customFormat="1" ht="13.5" customHeight="1">
      <c r="A39" s="255" t="s">
        <v>1533</v>
      </c>
      <c r="B39" s="210" t="s">
        <v>1534</v>
      </c>
      <c r="C39" s="232">
        <f ca="1">ROUND(C33*F20,0)</f>
        <v>14875279</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26931692</v>
      </c>
      <c r="D41" s="235">
        <f ca="1">C44</f>
        <v>6.9999999999999999E-4</v>
      </c>
      <c r="E41" s="236" t="s">
        <v>1538</v>
      </c>
      <c r="F41" s="237">
        <f ca="1">F22</f>
        <v>3.5499999999999997E-2</v>
      </c>
      <c r="G41" s="234" t="str">
        <f>IF('数据-取费表'!B22&lt;=1,"单利计息","复利计息")</f>
        <v>复利计息</v>
      </c>
    </row>
    <row r="42" spans="1:7" ht="13.5" customHeight="1">
      <c r="A42" s="777" t="s">
        <v>346</v>
      </c>
      <c r="B42" s="215" t="s">
        <v>1542</v>
      </c>
      <c r="C42" s="238">
        <f ca="1">ROUND(IF('数据-取费表'!B22&lt;=1,C33*F22*'数据-取费表'!B20/2,C33*(POWER((1+F22),'数据-取费表'!B20/2)-1)),0)</f>
        <v>26403620</v>
      </c>
      <c r="D42" s="238"/>
      <c r="E42" s="238"/>
      <c r="F42" s="239"/>
      <c r="G42" s="3661" t="s">
        <v>1590</v>
      </c>
    </row>
    <row r="43" spans="1:7" ht="13.5" customHeight="1">
      <c r="A43" s="777" t="s">
        <v>347</v>
      </c>
      <c r="B43" s="215" t="s">
        <v>1544</v>
      </c>
      <c r="C43" s="238">
        <f ca="1">ROUND(IF('数据-取费表'!B22&lt;=1,C39*F22*'数据-取费表'!B20/2,C39*(POWER((1+F22),'数据-取费表'!B20/2)-1)),0)</f>
        <v>528072</v>
      </c>
      <c r="D43" s="238"/>
      <c r="E43" s="238"/>
      <c r="F43" s="239"/>
      <c r="G43" s="3662"/>
    </row>
    <row r="44" spans="1:7" ht="13.5" customHeight="1">
      <c r="A44" s="777" t="s">
        <v>348</v>
      </c>
      <c r="B44" s="215" t="s">
        <v>1545</v>
      </c>
      <c r="C44" s="238">
        <f ca="1">ROUND(IF('数据-取费表'!B22&lt;=1,C40*F22*'数据-取费表'!B20/2,C40*(POWER((1+F22),'数据-取费表'!B20/2)-1)),4)</f>
        <v>6.9999999999999999E-4</v>
      </c>
      <c r="D44" s="238"/>
      <c r="E44" s="238"/>
      <c r="F44" s="239"/>
      <c r="G44" s="3663"/>
    </row>
    <row r="45" spans="1:7" s="214" customFormat="1" ht="13.5" customHeight="1">
      <c r="A45" s="255" t="s">
        <v>1546</v>
      </c>
      <c r="B45" s="244" t="s">
        <v>1512</v>
      </c>
      <c r="C45" s="245">
        <f ca="1">C46</f>
        <v>106209490</v>
      </c>
      <c r="D45" s="235">
        <f ca="1">C47</f>
        <v>2.8E-3</v>
      </c>
      <c r="E45" s="236" t="s">
        <v>1538</v>
      </c>
      <c r="F45" s="246">
        <f ca="1">F27</f>
        <v>0.14000000000000001</v>
      </c>
      <c r="G45" s="247" t="s">
        <v>1547</v>
      </c>
    </row>
    <row r="46" spans="1:7" s="214" customFormat="1" ht="13.5" customHeight="1">
      <c r="A46" s="777" t="s">
        <v>346</v>
      </c>
      <c r="B46" s="248" t="s">
        <v>1548</v>
      </c>
      <c r="C46" s="249">
        <f ca="1">ROUND((C33+C39)*F27,0)</f>
        <v>106209490</v>
      </c>
      <c r="D46" s="263"/>
      <c r="E46" s="236"/>
      <c r="F46" s="246"/>
      <c r="G46" s="247"/>
    </row>
    <row r="47" spans="1:7" s="214" customFormat="1" ht="13.5" customHeight="1">
      <c r="A47" s="777" t="s">
        <v>347</v>
      </c>
      <c r="B47" s="248" t="s">
        <v>1549</v>
      </c>
      <c r="C47" s="238">
        <f ca="1">ROUND(C40*F27,4)</f>
        <v>2.8E-3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965966637</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850050641</v>
      </c>
      <c r="D51" s="232"/>
      <c r="E51" s="232"/>
      <c r="F51" s="264"/>
      <c r="G51" s="234" t="s">
        <v>1559</v>
      </c>
    </row>
    <row r="52" spans="1:7" s="208" customFormat="1" ht="16.5" thickBot="1">
      <c r="A52" s="265" t="s">
        <v>1560</v>
      </c>
      <c r="B52" s="266"/>
      <c r="C52" s="267">
        <f ca="1">C31+C51</f>
        <v>921125832</v>
      </c>
      <c r="D52" s="266"/>
      <c r="E52" s="266"/>
      <c r="F52" s="266"/>
      <c r="G52" s="268"/>
    </row>
    <row r="55" spans="1:7" ht="15">
      <c r="B55" s="270" t="s">
        <v>1561</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1593</v>
      </c>
      <c r="B1" s="1188"/>
      <c r="C1" s="1189"/>
      <c r="D1" s="1187"/>
      <c r="E1" s="2801"/>
      <c r="F1" s="2801"/>
      <c r="G1" s="2666"/>
      <c r="H1" s="2801"/>
      <c r="I1" s="2801"/>
      <c r="J1" s="2801"/>
      <c r="K1" s="2802">
        <f>MATCH(C1,'数据-取费表'!A6:A16,0)+5</f>
        <v>9</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2" customFormat="1" ht="16.5" customHeight="1">
      <c r="A4" s="779" t="s">
        <v>1596</v>
      </c>
      <c r="B4" s="780"/>
      <c r="C4" s="821">
        <f>SUM(C8:K8)</f>
        <v>0</v>
      </c>
      <c r="D4" s="780"/>
      <c r="E4" s="780"/>
      <c r="F4" s="780"/>
      <c r="G4" s="780"/>
      <c r="H4" s="780"/>
      <c r="I4" s="780"/>
      <c r="J4" s="780"/>
      <c r="K4" s="781"/>
    </row>
    <row r="5" spans="1:33" s="786" customFormat="1" ht="15">
      <c r="A5" s="783" t="s">
        <v>1597</v>
      </c>
      <c r="B5" s="784" t="s">
        <v>1598</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1599</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1602</v>
      </c>
      <c r="B8" s="164" t="s">
        <v>1603</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1604</v>
      </c>
      <c r="B9" s="780"/>
      <c r="C9" s="780"/>
      <c r="D9" s="780"/>
      <c r="E9" s="780"/>
      <c r="F9" s="780"/>
      <c r="G9" s="780"/>
      <c r="H9" s="780"/>
      <c r="I9" s="780"/>
      <c r="J9" s="780"/>
      <c r="K9" s="781"/>
    </row>
    <row r="10" spans="1:33" s="796" customFormat="1" ht="13.5" customHeight="1">
      <c r="A10" s="783" t="s">
        <v>1605</v>
      </c>
      <c r="B10" s="5" t="s">
        <v>1606</v>
      </c>
      <c r="C10" s="792" t="s">
        <v>1607</v>
      </c>
      <c r="D10" s="793" t="s">
        <v>1608</v>
      </c>
      <c r="E10" s="793" t="s">
        <v>1609</v>
      </c>
      <c r="F10" s="793" t="s">
        <v>1610</v>
      </c>
      <c r="G10" s="5"/>
      <c r="H10" s="794"/>
      <c r="I10" s="794"/>
      <c r="J10" s="794"/>
      <c r="K10" s="795"/>
    </row>
    <row r="11" spans="1:33" s="800" customFormat="1" ht="13.5" customHeight="1">
      <c r="A11" s="797" t="s">
        <v>635</v>
      </c>
      <c r="B11" s="798" t="s">
        <v>1611</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1612</v>
      </c>
      <c r="C12" s="21">
        <f ca="1">ROUND(C11*F12,0)</f>
        <v>0</v>
      </c>
      <c r="D12" s="799"/>
      <c r="E12" s="329"/>
      <c r="F12" s="809">
        <f>'数据-取费表'!B33</f>
        <v>0.05</v>
      </c>
      <c r="G12" s="5" t="s">
        <v>1613</v>
      </c>
      <c r="H12" s="794"/>
      <c r="I12" s="794"/>
      <c r="J12" s="794"/>
      <c r="K12" s="795"/>
    </row>
    <row r="13" spans="1:33" s="800" customFormat="1" ht="13.5" customHeight="1">
      <c r="A13" s="797" t="s">
        <v>637</v>
      </c>
      <c r="B13" s="798" t="s">
        <v>1614</v>
      </c>
      <c r="C13" s="21">
        <f ca="1">ROUND(IF(C1="",SUMIF('数据-取费表'!C:C,"住宅",'数据-取费表'!P:P)*F13,IF(INDIRECT("'数据-取费表'!c"&amp;$K$1)="住宅",INDIRECT("'数据-取费表'!P"&amp;$K$1)*F13,0)),0)</f>
        <v>0</v>
      </c>
      <c r="D13" s="843"/>
      <c r="E13" s="329"/>
      <c r="F13" s="809">
        <f>'数据-取费表'!B34</f>
        <v>0</v>
      </c>
      <c r="G13" s="5" t="s">
        <v>1615</v>
      </c>
      <c r="H13" s="794"/>
      <c r="I13" s="794"/>
      <c r="J13" s="794"/>
      <c r="K13" s="795"/>
    </row>
    <row r="14" spans="1:33" s="802" customFormat="1" ht="13.5" customHeight="1">
      <c r="A14" s="797" t="s">
        <v>638</v>
      </c>
      <c r="B14" s="798" t="s">
        <v>1616</v>
      </c>
      <c r="C14" s="21">
        <f ca="1">ROUND(D14*E14*F11/10000,0)</f>
        <v>0</v>
      </c>
      <c r="D14" s="843">
        <f ca="1">IF(C1="",'数据-汇总表'!E3,INDIRECT("'数据-取费表'!K"&amp;$K$1)+INDIRECT("'数据-取费表'!S"&amp;$K$1))</f>
        <v>132744.37</v>
      </c>
      <c r="E14" s="21">
        <f>'数据-取费表'!B35</f>
        <v>200</v>
      </c>
      <c r="F14" s="801"/>
      <c r="G14" s="5" t="s">
        <v>1617</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1618</v>
      </c>
      <c r="C15" s="808">
        <f ca="1">ROUND(C11*F15,0)</f>
        <v>0</v>
      </c>
      <c r="D15" s="803"/>
      <c r="E15" s="808"/>
      <c r="F15" s="809">
        <f>'数据-取费表'!B36</f>
        <v>1.4999999999999999E-2</v>
      </c>
      <c r="G15" s="131" t="s">
        <v>1619</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1620</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1621</v>
      </c>
      <c r="C17" s="21">
        <f ca="1">ROUND(D17*E17/10000,0)</f>
        <v>0</v>
      </c>
      <c r="D17" s="843">
        <f ca="1">D14</f>
        <v>132744.37</v>
      </c>
      <c r="E17" s="21">
        <f>'数据-取费表'!B32</f>
        <v>0</v>
      </c>
      <c r="F17" s="803"/>
      <c r="G17" s="131" t="s">
        <v>1622</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1623</v>
      </c>
      <c r="C18" s="21">
        <f ca="1">C19+C20-IF(C1="",'数据-取费表'!B29,IF(G18="已全部缴纳",C19+C20,H18))</f>
        <v>0</v>
      </c>
      <c r="D18" s="843"/>
      <c r="E18" s="21"/>
      <c r="F18" s="801"/>
      <c r="G18" s="1859"/>
      <c r="H18" s="1184"/>
      <c r="I18" s="1860" t="s">
        <v>1624</v>
      </c>
      <c r="J18" s="804"/>
      <c r="K18" s="805"/>
    </row>
    <row r="19" spans="1:33" s="800" customFormat="1" ht="13.5" customHeight="1">
      <c r="A19" s="797" t="s">
        <v>360</v>
      </c>
      <c r="B19" s="798" t="s">
        <v>1625</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1626</v>
      </c>
      <c r="C20" s="21">
        <f ca="1">ROUND(D20*E20/10000,0)</f>
        <v>2655</v>
      </c>
      <c r="D20" s="843">
        <f ca="1">IF(C1="",'数据-汇总表'!E6,IF(INDIRECT("'数据-取费表'!c"&amp;$K$1)="住宅",INDIRECT("'数据-取费表'!s"&amp;$K$1),INDIRECT("'数据-取费表'!k"&amp;$K$1)+INDIRECT("'数据-取费表'!s"&amp;$K$1)))</f>
        <v>132744.37</v>
      </c>
      <c r="E20" s="21">
        <f>'数据-取费表'!B28</f>
        <v>200</v>
      </c>
      <c r="F20" s="801"/>
      <c r="G20" s="12"/>
      <c r="H20" s="806"/>
      <c r="I20" s="806"/>
      <c r="J20" s="806"/>
      <c r="K20" s="807"/>
    </row>
    <row r="21" spans="1:33" s="800" customFormat="1" ht="13.5" customHeight="1">
      <c r="A21" s="787" t="s">
        <v>357</v>
      </c>
      <c r="B21" s="810" t="s">
        <v>1627</v>
      </c>
      <c r="C21" s="811">
        <f ca="1">C16+C17+C18</f>
        <v>0</v>
      </c>
      <c r="D21" s="812"/>
      <c r="E21" s="281"/>
      <c r="F21" s="281"/>
      <c r="G21" s="131" t="s">
        <v>1628</v>
      </c>
      <c r="H21" s="804"/>
      <c r="I21" s="804"/>
      <c r="J21" s="804"/>
      <c r="K21" s="805"/>
    </row>
    <row r="22" spans="1:33" s="800" customFormat="1" ht="13.5" customHeight="1">
      <c r="A22" s="787" t="s">
        <v>1600</v>
      </c>
      <c r="B22" s="810" t="s">
        <v>1629</v>
      </c>
      <c r="C22" s="811">
        <f ca="1">ROUND(C21*F22,0)</f>
        <v>0</v>
      </c>
      <c r="D22" s="281"/>
      <c r="E22" s="281"/>
      <c r="F22" s="813">
        <f>'数据-取费表'!B37</f>
        <v>0.02</v>
      </c>
      <c r="G22" s="5" t="s">
        <v>1630</v>
      </c>
      <c r="H22" s="794"/>
      <c r="I22" s="794"/>
      <c r="J22" s="794"/>
      <c r="K22" s="795"/>
    </row>
    <row r="23" spans="1:33" s="800" customFormat="1" ht="13.5" customHeight="1">
      <c r="A23" s="787" t="s">
        <v>1602</v>
      </c>
      <c r="B23" s="810" t="s">
        <v>1631</v>
      </c>
      <c r="C23" s="811">
        <f ca="1">ROUND(C4*F23*F11,0)</f>
        <v>0</v>
      </c>
      <c r="D23" s="281"/>
      <c r="E23" s="281"/>
      <c r="F23" s="813">
        <f>'数据-取费表'!B38</f>
        <v>0.02</v>
      </c>
      <c r="G23" s="5" t="s">
        <v>1632</v>
      </c>
      <c r="H23" s="794"/>
      <c r="I23" s="794"/>
      <c r="J23" s="794"/>
      <c r="K23" s="795"/>
    </row>
    <row r="24" spans="1:33" s="800" customFormat="1" ht="13.5" customHeight="1">
      <c r="A24" s="787" t="s">
        <v>1633</v>
      </c>
      <c r="B24" s="810" t="s">
        <v>1634</v>
      </c>
      <c r="C24" s="280">
        <f>ROUND(F24/(1+'数据-取费表'!C42),4)</f>
        <v>2.9000000000000001E-2</v>
      </c>
      <c r="D24" s="281" t="s">
        <v>12</v>
      </c>
      <c r="E24" s="281"/>
      <c r="F24" s="813">
        <f>IF(项目基本情况!B8="出让",0,'数据-取费表'!B48+'数据-取费表'!B49)</f>
        <v>3.0499999999999999E-2</v>
      </c>
      <c r="G24" s="5" t="s">
        <v>1635</v>
      </c>
      <c r="H24" s="815"/>
      <c r="I24" s="815"/>
      <c r="J24" s="815"/>
      <c r="K24" s="816"/>
    </row>
    <row r="25" spans="1:33" s="800" customFormat="1" ht="13.5" customHeight="1">
      <c r="A25" s="787" t="s">
        <v>1636</v>
      </c>
      <c r="B25" s="812" t="s">
        <v>1637</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1640</v>
      </c>
      <c r="B28" s="1862" t="s">
        <v>1641</v>
      </c>
      <c r="C28" s="287">
        <f ca="1">C30</f>
        <v>0</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1642</v>
      </c>
      <c r="C29" s="284">
        <f ca="1">ROUND((1+C24)*F28*'数据-取费表'!B24/'数据-取费表'!B20,4)</f>
        <v>0</v>
      </c>
      <c r="D29" s="284"/>
      <c r="E29" s="285"/>
      <c r="F29" s="290"/>
      <c r="G29" s="131" t="s">
        <v>1643</v>
      </c>
      <c r="H29" s="804"/>
      <c r="I29" s="804"/>
      <c r="J29" s="804"/>
      <c r="K29" s="805"/>
    </row>
    <row r="30" spans="1:33" s="291" customFormat="1" ht="13.5" customHeight="1">
      <c r="A30" s="797" t="s">
        <v>359</v>
      </c>
      <c r="B30" s="819" t="s">
        <v>1644</v>
      </c>
      <c r="C30" s="292">
        <f ca="1">ROUND((C21+C22+C23)*F28,0)</f>
        <v>0</v>
      </c>
      <c r="D30" s="284"/>
      <c r="E30" s="285"/>
      <c r="F30" s="290"/>
      <c r="G30" s="131"/>
      <c r="H30" s="804"/>
      <c r="I30" s="804"/>
      <c r="J30" s="804"/>
      <c r="K30" s="805"/>
    </row>
    <row r="31" spans="1:33" s="800" customFormat="1" ht="13.5" customHeight="1" thickBot="1">
      <c r="A31" s="1863" t="s">
        <v>1645</v>
      </c>
      <c r="B31" s="830" t="s">
        <v>1646</v>
      </c>
      <c r="C31" s="831">
        <f>ROUND(C4*F31/(1+'数据-取费表'!C42),0)</f>
        <v>0</v>
      </c>
      <c r="D31" s="832"/>
      <c r="E31" s="833"/>
      <c r="F31" s="834">
        <f>'数据-取费表'!B41</f>
        <v>5.6000000000000001E-2</v>
      </c>
      <c r="G31" s="835" t="s">
        <v>1647</v>
      </c>
      <c r="H31" s="836"/>
      <c r="I31" s="836"/>
      <c r="J31" s="836"/>
      <c r="K31" s="837"/>
    </row>
    <row r="32" spans="1:33" s="796" customFormat="1" ht="13.5" customHeight="1" thickBot="1">
      <c r="A32" s="825" t="s">
        <v>1648</v>
      </c>
      <c r="B32" s="826"/>
      <c r="C32" s="827">
        <f ca="1">ROUND((C4-C21-C22-C23-C25-C28-C31)/(1+C24+D25+D28),0)</f>
        <v>0</v>
      </c>
      <c r="D32" s="826"/>
      <c r="E32" s="826"/>
      <c r="F32" s="826"/>
      <c r="G32" s="828" t="s">
        <v>1649</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P35" sqref="P35"/>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88"/>
      <c r="G1" s="2788"/>
      <c r="H1" s="2788"/>
      <c r="I1" s="2788"/>
      <c r="J1" s="2788"/>
      <c r="K1" s="2788"/>
      <c r="L1" s="2788"/>
      <c r="M1" s="2788"/>
      <c r="N1" s="2788"/>
      <c r="O1" s="2788"/>
      <c r="P1" s="2788"/>
    </row>
    <row r="2" spans="1:16" ht="15.75">
      <c r="A2" s="2142" t="s">
        <v>2072</v>
      </c>
      <c r="B2" s="2597">
        <f ca="1">SUMIF(B6:B13,"&lt;&gt;#ref!",B6:B13)</f>
        <v>227694</v>
      </c>
      <c r="C2" s="2142" t="s">
        <v>2073</v>
      </c>
      <c r="D2" s="2142" t="s">
        <v>2074</v>
      </c>
      <c r="E2" s="2607">
        <f ca="1">SUMIF(E6:E13,"&lt;&gt;#ref!",E6:E13)</f>
        <v>132256.81</v>
      </c>
      <c r="F2" s="2788"/>
      <c r="G2" s="2788"/>
      <c r="H2" s="2788"/>
      <c r="I2" s="2788"/>
      <c r="J2" s="2788"/>
      <c r="K2" s="2788"/>
      <c r="L2" s="2788"/>
      <c r="M2" s="2788"/>
      <c r="N2" s="2788"/>
      <c r="O2" s="2788"/>
      <c r="P2" s="2788"/>
    </row>
    <row r="3" spans="1:16" ht="15.75">
      <c r="A3" s="2142" t="s">
        <v>2075</v>
      </c>
      <c r="B3" s="2597">
        <f ca="1">ROUND(B2*10000/E2,0)</f>
        <v>17216</v>
      </c>
      <c r="C3" s="2142"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2076</v>
      </c>
      <c r="B5" s="2605" t="s">
        <v>2077</v>
      </c>
      <c r="C5" s="2143"/>
      <c r="D5" s="2788"/>
      <c r="E5" s="2606" t="s">
        <v>2078</v>
      </c>
      <c r="F5" s="2788"/>
      <c r="G5" s="2788"/>
      <c r="H5" s="2788"/>
      <c r="I5" s="2788"/>
      <c r="J5" s="2788"/>
      <c r="K5" s="2788"/>
      <c r="L5" s="2788"/>
      <c r="M5" s="2788"/>
      <c r="N5" s="2788"/>
      <c r="O5" s="2788"/>
      <c r="P5" s="2788"/>
    </row>
    <row r="6" spans="1:16" ht="15.75">
      <c r="A6" s="2604" t="s">
        <v>3442</v>
      </c>
      <c r="B6" s="2597">
        <f ca="1">SUMIF(INDIRECT("'"&amp;A6&amp;"'"&amp;"!A:A"),"总价",INDIRECT("'"&amp;A6&amp;"'"&amp;"!B:B"))</f>
        <v>218496</v>
      </c>
      <c r="C6" s="2142" t="s">
        <v>2073</v>
      </c>
      <c r="D6" s="2788"/>
      <c r="E6" s="2607">
        <f ca="1">SUMIF(INDIRECT("'"&amp;A6&amp;"'"&amp;"!C:C"),"建筑面积",INDIRECT("'"&amp;A6&amp;"'"&amp;"!D:D"))</f>
        <v>129472.78</v>
      </c>
      <c r="F6" s="2788"/>
      <c r="G6" s="2788"/>
      <c r="H6" s="2788"/>
      <c r="I6" s="2788"/>
      <c r="J6" s="2788"/>
      <c r="K6" s="2788"/>
      <c r="L6" s="2788"/>
      <c r="M6" s="2788"/>
      <c r="N6" s="2788"/>
      <c r="O6" s="2788"/>
      <c r="P6" s="2788"/>
    </row>
    <row r="7" spans="1:16" ht="15.75">
      <c r="A7" s="2604" t="s">
        <v>3444</v>
      </c>
      <c r="B7" s="2597">
        <f ca="1">SUMIF(INDIRECT("'"&amp;A7&amp;"'"&amp;"!A:A"),"总价",INDIRECT("'"&amp;A7&amp;"'"&amp;"!B:B"))</f>
        <v>9198</v>
      </c>
      <c r="C7" s="2142" t="s">
        <v>2073</v>
      </c>
      <c r="D7" s="2788"/>
      <c r="E7" s="2607">
        <f t="shared" ref="E7:E13" ca="1" si="0">SUMIF(INDIRECT("'"&amp;A7&amp;"'"&amp;"!C:C"),"建筑面积",INDIRECT("'"&amp;A7&amp;"'"&amp;"!D:D"))</f>
        <v>2784.03</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2073</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2073</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2073</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2073</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2073</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42" sqref="D4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129472.78</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218496</v>
      </c>
      <c r="C2" s="1996" t="s">
        <v>1934</v>
      </c>
      <c r="D2" s="1997" t="s">
        <v>1935</v>
      </c>
      <c r="E2" s="3417" t="s">
        <v>21</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Ⅲ—22</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36530</v>
      </c>
      <c r="U2" s="1210"/>
      <c r="V2" s="3356">
        <f>ROUND(T2*U2/10000,0)</f>
        <v>0</v>
      </c>
      <c r="W2" s="1213"/>
      <c r="X2" s="1213"/>
      <c r="Y2" s="1213"/>
      <c r="Z2" s="1213"/>
      <c r="AA2" s="1213"/>
      <c r="AB2" s="1213"/>
      <c r="AC2" s="1214"/>
      <c r="AD2" s="1215"/>
      <c r="AE2" s="1215"/>
      <c r="AF2" s="1215"/>
      <c r="AG2" s="1215"/>
      <c r="AH2" s="1215"/>
      <c r="AI2" s="1215"/>
      <c r="AJ2" s="1216"/>
    </row>
    <row r="3" spans="1:36" ht="15.75">
      <c r="A3" s="203" t="s">
        <v>1939</v>
      </c>
      <c r="B3" s="204">
        <f>ROUND(B2*10000/D1,0)</f>
        <v>16876</v>
      </c>
      <c r="C3" s="1996" t="s">
        <v>1940</v>
      </c>
      <c r="D3" s="1997" t="s">
        <v>1941</v>
      </c>
      <c r="E3" s="3415" t="s">
        <v>3427</v>
      </c>
      <c r="F3" s="2001" t="s">
        <v>3428</v>
      </c>
      <c r="G3" s="749">
        <f>IF(F3="宗地容积率",'数据-汇总表'!I4,IF(F3="估价对象容积率",'数据-汇总表'!I6,'数据-汇总表'!I7))</f>
        <v>5.07</v>
      </c>
      <c r="H3" s="170" t="s">
        <v>1942</v>
      </c>
      <c r="I3" s="772"/>
      <c r="J3" s="1999" t="s">
        <v>1943</v>
      </c>
      <c r="K3" s="1116"/>
      <c r="L3" s="2000" t="s">
        <v>1944</v>
      </c>
      <c r="M3" s="861">
        <f>SUMPRODUCT((区片价!B30:B54=I2)*(区片价!C3:G3=E2)*(区片价!C30:G54))</f>
        <v>23460</v>
      </c>
      <c r="N3" s="863">
        <f>SUMPRODUCT((因素修正幅度!B30:B54=I2)*(因素修正幅度!C3:G3=E2)*(因素修正幅度!C30:G54))</f>
        <v>8.5000000000000006E-2</v>
      </c>
      <c r="O3" s="1116"/>
      <c r="P3" s="1116"/>
      <c r="Q3" s="1116"/>
      <c r="R3" s="1209">
        <v>2</v>
      </c>
      <c r="S3" s="3356">
        <f>ROUND(SUMPRODUCT((B106:B110=R3)*(C105:N105=G2)*(C106:N110)),4)</f>
        <v>1.1838</v>
      </c>
      <c r="T3" s="3356">
        <f t="shared" si="0"/>
        <v>28793</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671"/>
      <c r="B4" s="3672"/>
      <c r="C4" s="3672"/>
      <c r="D4" s="3673"/>
      <c r="E4" s="3673"/>
      <c r="F4" s="3673"/>
      <c r="G4" s="3673"/>
      <c r="H4" s="3673"/>
      <c r="I4" s="3673"/>
      <c r="J4" s="3674"/>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24335</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24633</v>
      </c>
      <c r="D5" s="1336">
        <f>ROUND(C6*C17+C20,0)</f>
        <v>23460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21462</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23460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20625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2018"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1355"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668" t="s">
        <v>1959</v>
      </c>
      <c r="X8" s="366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670"/>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6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1.05</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7"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3247</v>
      </c>
      <c r="E18" s="3324"/>
      <c r="F18" s="3319" t="s">
        <v>3250</v>
      </c>
      <c r="G18" s="3323">
        <f>ROUND(1-(1/(POWER(1+G24,E18))),4)</f>
        <v>0</v>
      </c>
      <c r="H18" s="3319" t="s">
        <v>3252</v>
      </c>
      <c r="I18" s="3323">
        <f>ROUND(1-(1/(POWER(1+G24,J24))),4)</f>
        <v>0.93120000000000003</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675" t="s">
        <v>3253</v>
      </c>
      <c r="B20" s="167" t="s">
        <v>1993</v>
      </c>
      <c r="C20" s="3320">
        <f>ROUND(IF(F21="与级别开发程度一致",0,(G21-E21)/C21),0)</f>
        <v>0</v>
      </c>
      <c r="D20" s="3336" t="s">
        <v>1997</v>
      </c>
      <c r="E20" s="3337"/>
      <c r="F20" s="3681" t="s">
        <v>1994</v>
      </c>
      <c r="G20" s="3682"/>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676"/>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0.92279999999999995</v>
      </c>
      <c r="D24" s="2057" t="s">
        <v>2006</v>
      </c>
      <c r="E24" s="1332">
        <f>存贷款利率!E23/100</f>
        <v>4.3499999999999997E-2</v>
      </c>
      <c r="F24" s="2057" t="s">
        <v>1998</v>
      </c>
      <c r="G24" s="765">
        <f>SUMIF(M30:Q30,E2,M33:Q33)</f>
        <v>5.5E-2</v>
      </c>
      <c r="H24" s="2057" t="s">
        <v>2007</v>
      </c>
      <c r="I24" s="766">
        <f>SUMIF('数据-取费表'!C6:C15,E2,'数据-取费表'!F6:F15)/COUNTIF('数据-取费表'!C6:C15,E2)</f>
        <v>36.630000000000003</v>
      </c>
      <c r="J24" s="767">
        <f>IF(E2="住宅",70,IF(E2="商业",40,50))</f>
        <v>50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3334</v>
      </c>
      <c r="C25" s="768">
        <f>IF(B25="容积率修正",IF(G3&lt;10,D26,J26),C27)</f>
        <v>0.89080000000000004</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1349">
        <f>IF(E26=G26,F26,IF(G3&lt;10,ROUND(F26+(H26-F26)*(G3-E26)/(G26-E26),4),"——"))</f>
        <v>0.89080000000000004</v>
      </c>
      <c r="E26" s="749">
        <f>ROUNDDOWN(G3,1)</f>
        <v>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49">
        <f>ROUNDUP(G3,1)</f>
        <v>5.0999999999999996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0</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1.0438000000000001</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218496</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3988</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21666</v>
      </c>
      <c r="D33" s="2095">
        <f>'数据-汇总表'!F19</f>
        <v>93486.01</v>
      </c>
      <c r="E33" s="770">
        <f>ROUND(C33*D33/10000,0)</f>
        <v>202547</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f>ROUND(IF(E2="工业",C33*M42,IF(B25="楼层修正",SUM(V2:V16)*M41*10000/D34,C33*M41)),0)</f>
        <v>5417</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679"/>
      <c r="B37" s="2110" t="s">
        <v>2035</v>
      </c>
      <c r="C37" s="175">
        <f>ROUND(D5*C22*C23*C24*C28*F37,0)</f>
        <v>13899</v>
      </c>
      <c r="D37" s="2095">
        <f>'数据-汇总表'!G20</f>
        <v>3303.19</v>
      </c>
      <c r="E37" s="171">
        <f>ROUND(C37*D37/10000,0)</f>
        <v>4591</v>
      </c>
      <c r="F37" s="171">
        <f>SUMIF(修正!A57:A68,G2,修正!B57:B68)</f>
        <v>0.6</v>
      </c>
      <c r="G37" s="171">
        <f>ROUND(IF(E2="工业",C37*$M$42,C37*$M$41),0)</f>
        <v>3475</v>
      </c>
      <c r="H37" s="171">
        <f>D37</f>
        <v>3303.19</v>
      </c>
      <c r="I37" s="171">
        <f>ROUND(G37*H37/10000,0)</f>
        <v>1148</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680"/>
      <c r="B38" s="2038" t="s">
        <v>2036</v>
      </c>
      <c r="C38" s="175">
        <f>ROUND(D5*C22*C23*C24*C28*F38,0)</f>
        <v>6949</v>
      </c>
      <c r="D38" s="2095"/>
      <c r="E38" s="171">
        <f t="shared" ref="E38:E42" si="4">ROUND(C38*D38/10000,0)</f>
        <v>0</v>
      </c>
      <c r="F38" s="171">
        <f>SUMIF(修正!A57:A68,G2,修正!C57:C68)</f>
        <v>0.3</v>
      </c>
      <c r="G38" s="171">
        <f>ROUND(IF(E2="工业",C38*$M$42,C38*$M$41),0)</f>
        <v>1737</v>
      </c>
      <c r="H38" s="171">
        <f t="shared" ref="H38:H42" si="5">D38</f>
        <v>0</v>
      </c>
      <c r="I38" s="171">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680"/>
      <c r="B39" s="2038" t="s">
        <v>3258</v>
      </c>
      <c r="C39" s="175">
        <f>ROUND(D5*C22*C23*C24*C28*F39,0)</f>
        <v>5791</v>
      </c>
      <c r="D39" s="2095"/>
      <c r="E39" s="171">
        <f t="shared" si="4"/>
        <v>0</v>
      </c>
      <c r="F39" s="171">
        <f>SUMIF(修正!A57:A68,G2,修正!D57:D68)</f>
        <v>0.25</v>
      </c>
      <c r="G39" s="171">
        <f>ROUND(IF(E2="工业",C39*$M$42,C39*$M$41),0)</f>
        <v>1448</v>
      </c>
      <c r="H39" s="171">
        <f t="shared" si="5"/>
        <v>0</v>
      </c>
      <c r="I39" s="171">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5791</v>
      </c>
      <c r="D40" s="2095"/>
      <c r="E40" s="171">
        <f t="shared" si="4"/>
        <v>0</v>
      </c>
      <c r="F40" s="175">
        <f>SUMIF(修正!A57:A68,G2,修正!E57:E68)</f>
        <v>0.25</v>
      </c>
      <c r="G40" s="171">
        <f>ROUND(IF(E2="工业",C40*$M$42,C40*$M$41),0)</f>
        <v>1448</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5791</v>
      </c>
      <c r="D41" s="2095"/>
      <c r="E41" s="171">
        <f t="shared" si="4"/>
        <v>0</v>
      </c>
      <c r="F41" s="175">
        <f>SUMIF(修正!A57:A68,G2,修正!F57:F68)</f>
        <v>0.25</v>
      </c>
      <c r="G41" s="171">
        <f>ROUND(IF(E2="工业",C41*$M$42,C41*$M$41),0)</f>
        <v>1448</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3475</v>
      </c>
      <c r="D42" s="2100">
        <f>'数据-汇总表'!G21</f>
        <v>32683.579999999998</v>
      </c>
      <c r="E42" s="187">
        <f t="shared" si="4"/>
        <v>11358</v>
      </c>
      <c r="F42" s="764">
        <f>SUMIF(修正!A57:A68,G2,修正!G57:G68)</f>
        <v>0.15</v>
      </c>
      <c r="G42" s="187">
        <f>ROUND(IF(E2="工业",C42*$M$42,C42*$M$41),0)</f>
        <v>869</v>
      </c>
      <c r="H42" s="187">
        <f t="shared" si="5"/>
        <v>32683.579999999998</v>
      </c>
      <c r="I42" s="187">
        <f t="shared" si="6"/>
        <v>2840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0.92279999999999995</v>
      </c>
      <c r="D44" s="171" t="s">
        <v>1998</v>
      </c>
      <c r="E44" s="2150">
        <f>G24</f>
        <v>5.5E-2</v>
      </c>
      <c r="F44" s="171" t="s">
        <v>2007</v>
      </c>
      <c r="G44" s="183">
        <f>'数据-取费表'!F8</f>
        <v>36.630000000000003</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24.75">
      <c r="A50" s="2127" t="s">
        <v>2051</v>
      </c>
      <c r="B50" s="2130" t="str">
        <f>估价对象房地状况!C4</f>
        <v>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7" t="s">
        <v>2052</v>
      </c>
      <c r="B51" s="2131" t="str">
        <f>估价对象房地状况!C18</f>
        <v>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2053</v>
      </c>
      <c r="B53" s="2132" t="s">
        <v>2054</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2056</v>
      </c>
      <c r="B55" s="2133" t="s">
        <v>2057</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4" t="s">
        <v>2058</v>
      </c>
      <c r="B56" s="1323" t="str">
        <f>估价对象房地状况!C21</f>
        <v>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4" t="s">
        <v>2059</v>
      </c>
      <c r="B57" s="2131" t="str">
        <f>估价对象房地状况!C22</f>
        <v>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5" t="s">
        <v>2060</v>
      </c>
      <c r="B58" s="2136" t="str">
        <f>估价对象房地状况!C20</f>
        <v>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2061</v>
      </c>
      <c r="B59" s="2124">
        <f>1+E61</f>
        <v>1.0438000000000001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t="s">
        <v>3402</v>
      </c>
      <c r="D61" s="1062">
        <f t="shared" ref="D61:D69" si="12">SUMIF($J$60:$N$60,C61,J61:N61)</f>
        <v>1.06E-2</v>
      </c>
      <c r="E61" s="741">
        <f>ROUND(SUM(D61:D69),4)</f>
        <v>4.3799999999999999E-2</v>
      </c>
      <c r="F61" s="1811">
        <f>IF(E2="办公",SUMIF(L1:L12,G2,N1:N12),"——")</f>
        <v>8.5000000000000006E-2</v>
      </c>
      <c r="G61" s="1060">
        <v>1.06E-2</v>
      </c>
      <c r="H61" s="1063">
        <f t="shared" ref="H61:H69" si="13">IFERROR(ROUNDDOWN($F$61*I61/2,4),"——")</f>
        <v>1.06E-2</v>
      </c>
      <c r="I61" s="3362">
        <v>0.25</v>
      </c>
      <c r="J61" s="1061">
        <f t="shared" ref="J61:J69" si="14">K61+$G61</f>
        <v>2.12E-2</v>
      </c>
      <c r="K61" s="1061">
        <f t="shared" ref="K61:K69" si="15">$L61+$G61</f>
        <v>1.06E-2</v>
      </c>
      <c r="L61" s="1061">
        <v>0</v>
      </c>
      <c r="M61" s="1061">
        <f t="shared" ref="M61:N69" si="16">L61-$G61</f>
        <v>-1.06E-2</v>
      </c>
      <c r="N61" s="1061">
        <f t="shared" si="16"/>
        <v>-2.12E-2</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t="s">
        <v>3402</v>
      </c>
      <c r="D62" s="1062">
        <f t="shared" si="12"/>
        <v>1.0999999999999999E-2</v>
      </c>
      <c r="E62" s="742"/>
      <c r="F62" s="1811"/>
      <c r="G62" s="1060">
        <v>1.0999999999999999E-2</v>
      </c>
      <c r="H62" s="1063">
        <f t="shared" si="13"/>
        <v>1.0999999999999999E-2</v>
      </c>
      <c r="I62" s="3362">
        <v>0.26</v>
      </c>
      <c r="J62" s="1061">
        <f t="shared" si="14"/>
        <v>2.1999999999999999E-2</v>
      </c>
      <c r="K62" s="1061">
        <f t="shared" si="15"/>
        <v>1.0999999999999999E-2</v>
      </c>
      <c r="L62" s="1061">
        <v>0</v>
      </c>
      <c r="M62" s="1061">
        <f t="shared" si="16"/>
        <v>-1.0999999999999999E-2</v>
      </c>
      <c r="N62" s="1061">
        <f t="shared" si="16"/>
        <v>-2.1999999999999999E-2</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t="s">
        <v>3402</v>
      </c>
      <c r="D63" s="1062">
        <f t="shared" si="12"/>
        <v>4.5999999999999999E-3</v>
      </c>
      <c r="E63" s="742"/>
      <c r="F63" s="1811"/>
      <c r="G63" s="1060">
        <v>4.5999999999999999E-3</v>
      </c>
      <c r="H63" s="1063">
        <f t="shared" si="13"/>
        <v>4.5999999999999999E-3</v>
      </c>
      <c r="I63" s="3362">
        <v>0.11</v>
      </c>
      <c r="J63" s="1061">
        <f t="shared" si="14"/>
        <v>9.1999999999999998E-3</v>
      </c>
      <c r="K63" s="1061">
        <f t="shared" si="15"/>
        <v>4.5999999999999999E-3</v>
      </c>
      <c r="L63" s="1061">
        <v>0</v>
      </c>
      <c r="M63" s="1061">
        <f t="shared" si="16"/>
        <v>-4.5999999999999999E-3</v>
      </c>
      <c r="N63" s="1061">
        <f t="shared" si="16"/>
        <v>-9.1999999999999998E-3</v>
      </c>
      <c r="AA63" s="1117"/>
      <c r="AB63" s="1117"/>
      <c r="AC63" s="1117"/>
      <c r="AD63" s="1117"/>
      <c r="AE63" s="1117"/>
      <c r="AF63" s="1117"/>
      <c r="AG63" s="1117"/>
      <c r="AH63" s="1117"/>
      <c r="AI63" s="1117"/>
      <c r="AJ63" s="1117"/>
      <c r="AK63" s="1117"/>
    </row>
    <row r="64" spans="1:37" s="1116" customFormat="1" ht="36.75">
      <c r="A64" s="2127" t="s">
        <v>2053</v>
      </c>
      <c r="B64" s="2132" t="s">
        <v>2054</v>
      </c>
      <c r="C64" s="2041" t="s">
        <v>3402</v>
      </c>
      <c r="D64" s="1062">
        <f t="shared" si="12"/>
        <v>2.0999999999999999E-3</v>
      </c>
      <c r="E64" s="742"/>
      <c r="F64" s="1811"/>
      <c r="G64" s="1060">
        <v>2.0999999999999999E-3</v>
      </c>
      <c r="H64" s="1063">
        <f t="shared" si="13"/>
        <v>2.0999999999999999E-3</v>
      </c>
      <c r="I64" s="3362">
        <v>0.05</v>
      </c>
      <c r="J64" s="1061">
        <f t="shared" si="14"/>
        <v>4.1999999999999997E-3</v>
      </c>
      <c r="K64" s="1061">
        <f t="shared" si="15"/>
        <v>2.0999999999999999E-3</v>
      </c>
      <c r="L64" s="1061">
        <v>0</v>
      </c>
      <c r="M64" s="1061">
        <f t="shared" si="16"/>
        <v>-2.0999999999999999E-3</v>
      </c>
      <c r="N64" s="1061">
        <f t="shared" si="16"/>
        <v>-4.1999999999999997E-3</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t="s">
        <v>3439</v>
      </c>
      <c r="D65" s="1062">
        <f t="shared" si="12"/>
        <v>0</v>
      </c>
      <c r="E65" s="742"/>
      <c r="F65" s="1811"/>
      <c r="G65" s="1060">
        <v>2.0999999999999999E-3</v>
      </c>
      <c r="H65" s="1063">
        <f t="shared" si="13"/>
        <v>2.0999999999999999E-3</v>
      </c>
      <c r="I65" s="3362">
        <v>0.05</v>
      </c>
      <c r="J65" s="1061">
        <f t="shared" si="14"/>
        <v>4.1999999999999997E-3</v>
      </c>
      <c r="K65" s="1061">
        <f t="shared" si="15"/>
        <v>2.0999999999999999E-3</v>
      </c>
      <c r="L65" s="1061">
        <v>0</v>
      </c>
      <c r="M65" s="1061">
        <f t="shared" si="16"/>
        <v>-2.0999999999999999E-3</v>
      </c>
      <c r="N65" s="1061">
        <f t="shared" si="16"/>
        <v>-4.1999999999999997E-3</v>
      </c>
      <c r="AA65" s="1117"/>
      <c r="AB65" s="1117"/>
      <c r="AC65" s="1117"/>
      <c r="AD65" s="1117"/>
      <c r="AE65" s="1117"/>
      <c r="AF65" s="1117"/>
      <c r="AG65" s="1117"/>
      <c r="AH65" s="1117"/>
      <c r="AI65" s="1117"/>
      <c r="AJ65" s="1117"/>
      <c r="AK65" s="1117"/>
    </row>
    <row r="66" spans="1:37" s="1116" customFormat="1" ht="24">
      <c r="A66" s="2127" t="s">
        <v>2056</v>
      </c>
      <c r="B66" s="2133" t="s">
        <v>2057</v>
      </c>
      <c r="C66" s="2041" t="s">
        <v>3402</v>
      </c>
      <c r="D66" s="1062">
        <f t="shared" si="12"/>
        <v>2.5000000000000001E-3</v>
      </c>
      <c r="E66" s="742"/>
      <c r="F66" s="1811"/>
      <c r="G66" s="1060">
        <v>2.5000000000000001E-3</v>
      </c>
      <c r="H66" s="1063">
        <f t="shared" si="13"/>
        <v>2.5000000000000001E-3</v>
      </c>
      <c r="I66" s="3362">
        <v>0.06</v>
      </c>
      <c r="J66" s="1061">
        <f t="shared" si="14"/>
        <v>5.0000000000000001E-3</v>
      </c>
      <c r="K66" s="1061">
        <f t="shared" si="15"/>
        <v>2.5000000000000001E-3</v>
      </c>
      <c r="L66" s="1061">
        <v>0</v>
      </c>
      <c r="M66" s="1061">
        <f t="shared" si="16"/>
        <v>-2.5000000000000001E-3</v>
      </c>
      <c r="N66" s="1061">
        <f t="shared" si="16"/>
        <v>-5.0000000000000001E-3</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t="s">
        <v>3402</v>
      </c>
      <c r="D67" s="1062">
        <f t="shared" si="12"/>
        <v>2.5000000000000001E-3</v>
      </c>
      <c r="E67" s="742"/>
      <c r="F67" s="1811"/>
      <c r="G67" s="1060">
        <v>2.5000000000000001E-3</v>
      </c>
      <c r="H67" s="1063">
        <f t="shared" si="13"/>
        <v>2.5000000000000001E-3</v>
      </c>
      <c r="I67" s="3362">
        <v>0.06</v>
      </c>
      <c r="J67" s="1061">
        <f t="shared" si="14"/>
        <v>5.0000000000000001E-3</v>
      </c>
      <c r="K67" s="1061">
        <f t="shared" si="15"/>
        <v>2.5000000000000001E-3</v>
      </c>
      <c r="L67" s="1061">
        <v>0</v>
      </c>
      <c r="M67" s="1061">
        <f t="shared" si="16"/>
        <v>-2.5000000000000001E-3</v>
      </c>
      <c r="N67" s="1061">
        <f t="shared" si="16"/>
        <v>-5.0000000000000001E-3</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t="s">
        <v>3440</v>
      </c>
      <c r="D68" s="1062">
        <f t="shared" si="12"/>
        <v>7.6E-3</v>
      </c>
      <c r="E68" s="742"/>
      <c r="F68" s="1811"/>
      <c r="G68" s="1060">
        <v>3.8E-3</v>
      </c>
      <c r="H68" s="1063">
        <f t="shared" si="13"/>
        <v>3.8E-3</v>
      </c>
      <c r="I68" s="3362">
        <v>0.09</v>
      </c>
      <c r="J68" s="1061">
        <f t="shared" si="14"/>
        <v>7.6E-3</v>
      </c>
      <c r="K68" s="1061">
        <f t="shared" si="15"/>
        <v>3.8E-3</v>
      </c>
      <c r="L68" s="1061">
        <v>0</v>
      </c>
      <c r="M68" s="1061">
        <f t="shared" si="16"/>
        <v>-3.8E-3</v>
      </c>
      <c r="N68" s="1061">
        <f t="shared" si="16"/>
        <v>-7.6E-3</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t="s">
        <v>3402</v>
      </c>
      <c r="D69" s="1062">
        <f t="shared" si="12"/>
        <v>2.8999999999999998E-3</v>
      </c>
      <c r="E69" s="743"/>
      <c r="F69" s="1811"/>
      <c r="G69" s="1060">
        <v>2.8999999999999998E-3</v>
      </c>
      <c r="H69" s="1063">
        <f t="shared" si="13"/>
        <v>2.8999999999999998E-3</v>
      </c>
      <c r="I69" s="3363">
        <v>7.0000000000000007E-2</v>
      </c>
      <c r="J69" s="1061">
        <f t="shared" si="14"/>
        <v>5.7999999999999996E-3</v>
      </c>
      <c r="K69" s="1061">
        <f t="shared" si="15"/>
        <v>2.8999999999999998E-3</v>
      </c>
      <c r="L69" s="1061">
        <v>0</v>
      </c>
      <c r="M69" s="1061">
        <f t="shared" si="16"/>
        <v>-2.8999999999999998E-3</v>
      </c>
      <c r="N69" s="1061">
        <f t="shared" si="16"/>
        <v>-5.7999999999999996E-3</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24">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3269</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77" t="s">
        <v>3293</v>
      </c>
      <c r="B103" s="3677"/>
      <c r="C103" s="3677"/>
      <c r="D103" s="3677"/>
      <c r="E103" s="3677"/>
      <c r="F103" s="3677"/>
      <c r="G103" s="3677"/>
      <c r="H103" s="3677"/>
      <c r="I103" s="3677"/>
      <c r="J103" s="3677"/>
      <c r="K103" s="3385"/>
      <c r="L103" s="3385"/>
      <c r="M103" s="3385"/>
      <c r="N103" s="3385"/>
    </row>
    <row r="104" spans="1:14">
      <c r="A104" s="3678" t="s">
        <v>3294</v>
      </c>
      <c r="B104" s="3678" t="s">
        <v>3295</v>
      </c>
      <c r="C104" s="3386" t="s">
        <v>3296</v>
      </c>
      <c r="D104" s="3387"/>
      <c r="E104" s="3387"/>
      <c r="F104" s="3387"/>
      <c r="G104" s="3387"/>
      <c r="H104" s="3387"/>
      <c r="I104" s="3387"/>
      <c r="J104" s="3388"/>
      <c r="K104" s="3389"/>
      <c r="L104" s="3389"/>
      <c r="M104" s="3389"/>
      <c r="N104" s="3389"/>
    </row>
    <row r="105" spans="1:14">
      <c r="A105" s="3678"/>
      <c r="B105" s="3678"/>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664"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6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6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6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6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65"/>
      <c r="B111" s="3390" t="s">
        <v>3267</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6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67" t="s">
        <v>3310</v>
      </c>
      <c r="B113" s="3667"/>
      <c r="C113" s="3667"/>
      <c r="D113" s="3667"/>
      <c r="E113" s="3667"/>
      <c r="F113" s="3667"/>
      <c r="G113" s="3667"/>
      <c r="H113" s="3667"/>
      <c r="I113" s="3667"/>
      <c r="J113" s="366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0.86950000000000005</v>
      </c>
      <c r="E116" s="1997" t="s">
        <v>3313</v>
      </c>
      <c r="F116" s="3397" t="str">
        <f>E2</f>
        <v>办公</v>
      </c>
      <c r="G116" s="1997" t="s">
        <v>3314</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3328</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3329</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3330</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0" t="e">
        <f ca="1">ROUND(D2/10000,4)</f>
        <v>#DIV/0!</v>
      </c>
      <c r="C2" s="1384" t="s">
        <v>879</v>
      </c>
      <c r="D2" s="1468" t="e">
        <f ca="1">C40+J29+L46</f>
        <v>#DIV/0!</v>
      </c>
      <c r="E2" s="1385" t="s">
        <v>880</v>
      </c>
      <c r="F2" s="1386"/>
      <c r="G2" s="2701"/>
      <c r="H2" s="2690"/>
      <c r="I2" s="2690"/>
      <c r="J2" s="2690"/>
      <c r="K2" s="2691"/>
      <c r="L2" s="2690"/>
      <c r="M2" s="2690"/>
    </row>
    <row r="3" spans="1:37" ht="18" customHeight="1" thickBot="1">
      <c r="A3" s="1387" t="s">
        <v>881</v>
      </c>
      <c r="B3" s="1388">
        <f ca="1">IF(ISERROR(D2/F43),0,ROUND(D2/F43,0))</f>
        <v>0</v>
      </c>
      <c r="C3" s="1384" t="s">
        <v>882</v>
      </c>
      <c r="D3" s="1384"/>
      <c r="E3" s="1385"/>
      <c r="F3" s="1386"/>
      <c r="G3" s="2701"/>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83" t="s">
        <v>694</v>
      </c>
      <c r="C6" s="1071">
        <f ca="1">ROUND(F6*F8*F7*(1-F9),0)</f>
        <v>0</v>
      </c>
      <c r="D6" s="155" t="s">
        <v>2104</v>
      </c>
      <c r="E6" s="302" t="s">
        <v>696</v>
      </c>
      <c r="F6" s="303">
        <f ca="1">INDIRECT("'数据-取费表'!u"&amp;$G$1)</f>
        <v>0</v>
      </c>
      <c r="G6" s="1381"/>
      <c r="H6" s="1066" t="s">
        <v>398</v>
      </c>
      <c r="I6" s="3683" t="s">
        <v>694</v>
      </c>
      <c r="J6" s="301">
        <f ca="1">ROUND(M6*M8*M7*(1-M9),0)</f>
        <v>0</v>
      </c>
      <c r="K6" s="1373" t="s">
        <v>2105</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0</v>
      </c>
      <c r="G7" s="1381"/>
      <c r="H7" s="304"/>
      <c r="I7" s="3684"/>
      <c r="J7" s="306"/>
      <c r="K7" s="307"/>
      <c r="L7" s="302" t="s">
        <v>697</v>
      </c>
      <c r="M7" s="303">
        <f ca="1">F7</f>
        <v>0</v>
      </c>
    </row>
    <row r="8" spans="1:37" ht="18" customHeight="1">
      <c r="A8" s="304"/>
      <c r="B8" s="3684"/>
      <c r="C8" s="306"/>
      <c r="D8" s="307"/>
      <c r="E8" s="302" t="s">
        <v>698</v>
      </c>
      <c r="F8" s="303">
        <f ca="1">INDIRECT("'数据-取费表'!ai"&amp;$G$1)</f>
        <v>0</v>
      </c>
      <c r="G8" s="1381"/>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3335</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0</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ROUND(C29*F36,0)</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ROUND(C13*F37,0)</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ROUND(C5*F38,0)</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3351</v>
      </c>
      <c r="B45" s="1397"/>
      <c r="C45" s="1469" t="e">
        <f ca="1">ROUND((C68-C40)/10000,4)</f>
        <v>#DIV/0!</v>
      </c>
      <c r="D45" s="3427" t="s">
        <v>3352</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0</v>
      </c>
      <c r="K53" s="3686" t="s">
        <v>837</v>
      </c>
      <c r="L53" s="3687"/>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2432</v>
      </c>
      <c r="B1" s="2827"/>
      <c r="C1" s="2839"/>
      <c r="D1" s="2839"/>
      <c r="E1" s="2828"/>
      <c r="F1" s="2829"/>
      <c r="G1" s="2830"/>
      <c r="J1" s="2833" t="s">
        <v>2311</v>
      </c>
      <c r="K1" s="2834"/>
      <c r="L1" s="2834"/>
      <c r="M1" s="2834"/>
      <c r="N1" s="2834"/>
      <c r="O1" s="2834"/>
      <c r="P1" s="2834"/>
      <c r="Q1" s="2834"/>
      <c r="R1" s="2835"/>
      <c r="S1" s="2836"/>
      <c r="T1" s="2836"/>
      <c r="U1" s="2836"/>
    </row>
    <row r="2" spans="1:22" s="2848" customFormat="1" ht="13.15" customHeight="1">
      <c r="A2" s="1382" t="s">
        <v>2312</v>
      </c>
      <c r="B2" s="2838" t="e">
        <f>IF(D2="——",C40,C40+E2)</f>
        <v>#DIV/0!</v>
      </c>
      <c r="C2" s="2839" t="s">
        <v>2313</v>
      </c>
      <c r="D2" s="3438" t="s">
        <v>3358</v>
      </c>
      <c r="E2" s="3439"/>
      <c r="F2" s="2841"/>
      <c r="G2" s="2842"/>
      <c r="H2" s="2843"/>
      <c r="I2" s="2844"/>
      <c r="J2" s="3688" t="s">
        <v>2314</v>
      </c>
      <c r="K2" s="3689"/>
      <c r="L2" s="2845" t="s">
        <v>2315</v>
      </c>
      <c r="M2" s="2845" t="s">
        <v>2316</v>
      </c>
      <c r="N2" s="2845" t="s">
        <v>2317</v>
      </c>
      <c r="O2" s="2845" t="s">
        <v>2318</v>
      </c>
      <c r="P2" s="2845" t="s">
        <v>2319</v>
      </c>
      <c r="Q2" s="2846" t="s">
        <v>2320</v>
      </c>
      <c r="R2" s="2847" t="s">
        <v>2321</v>
      </c>
      <c r="S2" s="2836"/>
      <c r="T2" s="2836"/>
      <c r="U2" s="2836"/>
      <c r="V2" s="2844"/>
    </row>
    <row r="3" spans="1:22" s="2848" customFormat="1" ht="13.15" customHeight="1">
      <c r="A3" s="2849" t="s">
        <v>2322</v>
      </c>
      <c r="B3" s="2850" t="e">
        <f>ROUND(B2*10000/B4,0)</f>
        <v>#DIV/0!</v>
      </c>
      <c r="C3" s="2839" t="s">
        <v>2323</v>
      </c>
      <c r="D3" s="2839"/>
      <c r="E3" s="2840"/>
      <c r="F3" s="2841"/>
      <c r="G3" s="2842"/>
      <c r="H3" s="2843"/>
      <c r="I3" s="2844"/>
      <c r="J3" s="3690" t="s">
        <v>2324</v>
      </c>
      <c r="K3" s="3691"/>
      <c r="L3" s="2851"/>
      <c r="M3" s="2851"/>
      <c r="N3" s="2851"/>
      <c r="O3" s="2851"/>
      <c r="P3" s="2851"/>
      <c r="Q3" s="2852"/>
      <c r="R3" s="2853">
        <f>SUM(L3:Q3)</f>
        <v>0</v>
      </c>
      <c r="S3" s="2836"/>
      <c r="T3" s="2836"/>
      <c r="U3" s="2836"/>
      <c r="V3" s="2844"/>
    </row>
    <row r="4" spans="1:22" s="2848" customFormat="1" ht="13.15" customHeight="1">
      <c r="A4" s="2854" t="s">
        <v>2325</v>
      </c>
      <c r="B4" s="2855"/>
      <c r="C4" s="2839"/>
      <c r="D4" s="2839"/>
      <c r="E4" s="2840"/>
      <c r="F4" s="2841"/>
      <c r="G4" s="2842"/>
      <c r="H4" s="2843"/>
      <c r="I4" s="2844"/>
      <c r="J4" s="3690" t="s">
        <v>2326</v>
      </c>
      <c r="K4" s="3691"/>
      <c r="L4" s="2856"/>
      <c r="M4" s="2856"/>
      <c r="N4" s="2856"/>
      <c r="O4" s="2856"/>
      <c r="P4" s="2856"/>
      <c r="Q4" s="2857"/>
      <c r="R4" s="2858">
        <f>SUM(L4:Q4)</f>
        <v>0</v>
      </c>
      <c r="S4" s="2836"/>
      <c r="T4" s="2836"/>
      <c r="U4" s="2836"/>
      <c r="V4" s="2844"/>
    </row>
    <row r="5" spans="1:22" s="2848" customFormat="1" ht="13.15" customHeight="1" thickBot="1">
      <c r="A5" s="2859" t="s">
        <v>2327</v>
      </c>
      <c r="B5" s="2860"/>
      <c r="C5" s="2839"/>
      <c r="D5" s="2861"/>
      <c r="E5" s="2841"/>
      <c r="F5" s="2841"/>
      <c r="G5" s="2842"/>
      <c r="H5" s="2843"/>
      <c r="I5" s="2844"/>
      <c r="J5" s="2862" t="s">
        <v>2328</v>
      </c>
      <c r="K5" s="2863"/>
      <c r="L5" s="2863"/>
      <c r="M5" s="2864"/>
      <c r="N5" s="2864"/>
      <c r="O5" s="2864"/>
      <c r="P5" s="2864"/>
      <c r="Q5" s="2864"/>
      <c r="R5" s="2847">
        <f>SUM(R14,R19,R24,R25,R27,R28)</f>
        <v>0</v>
      </c>
      <c r="S5" s="2836"/>
      <c r="T5" s="2836" t="s">
        <v>2329</v>
      </c>
      <c r="U5" s="2836" t="e">
        <f>ROUND(R5*10000/365/R3,1)</f>
        <v>#DIV/0!</v>
      </c>
      <c r="V5" s="2844"/>
    </row>
    <row r="6" spans="1:22" s="2848" customFormat="1" ht="13.15" customHeight="1" thickBot="1">
      <c r="A6" s="3692" t="s">
        <v>2330</v>
      </c>
      <c r="B6" s="3693"/>
      <c r="C6" s="3694"/>
      <c r="D6" s="2865"/>
      <c r="E6" s="2866"/>
      <c r="F6" s="2867"/>
      <c r="G6" s="2868"/>
      <c r="H6" s="2843"/>
      <c r="I6" s="2844"/>
      <c r="J6" s="3695">
        <v>1</v>
      </c>
      <c r="K6" s="3696" t="s">
        <v>2331</v>
      </c>
      <c r="L6" s="2869" t="s">
        <v>2332</v>
      </c>
      <c r="M6" s="2870" t="s">
        <v>2333</v>
      </c>
      <c r="N6" s="2870" t="s">
        <v>2334</v>
      </c>
      <c r="O6" s="2870" t="s">
        <v>2335</v>
      </c>
      <c r="P6" s="2870" t="s">
        <v>2336</v>
      </c>
      <c r="Q6" s="2870" t="s">
        <v>2337</v>
      </c>
      <c r="R6" s="2853" t="s">
        <v>2338</v>
      </c>
      <c r="S6" s="2836"/>
      <c r="T6" s="2836" t="s">
        <v>2339</v>
      </c>
      <c r="U6" s="2836"/>
      <c r="V6" s="2844"/>
    </row>
    <row r="7" spans="1:22" s="2848" customFormat="1" ht="13.15" customHeight="1">
      <c r="A7" s="2871" t="s">
        <v>2340</v>
      </c>
      <c r="B7" s="2872"/>
      <c r="C7" s="2873"/>
      <c r="D7" s="2874">
        <f>SUM(D9,D10,D11,D17,0)</f>
        <v>0</v>
      </c>
      <c r="E7" s="2875" t="e">
        <f>E9+E10+E11+E17</f>
        <v>#DIV/0!</v>
      </c>
      <c r="F7" s="2876"/>
      <c r="G7" s="2877"/>
      <c r="H7" s="2843"/>
      <c r="I7" s="2844"/>
      <c r="J7" s="3695"/>
      <c r="K7" s="3697"/>
      <c r="L7" s="2878" t="s">
        <v>2341</v>
      </c>
      <c r="M7" s="2879"/>
      <c r="N7" s="2855"/>
      <c r="O7" s="2880"/>
      <c r="P7" s="2880"/>
      <c r="Q7" s="2881">
        <v>365</v>
      </c>
      <c r="R7" s="2882">
        <f>ROUND(M7*N7*O7*P7*Q7/10000,0)</f>
        <v>0</v>
      </c>
      <c r="S7" s="2836"/>
      <c r="T7" s="2836" t="s">
        <v>2342</v>
      </c>
      <c r="U7" s="2836"/>
      <c r="V7" s="2844"/>
    </row>
    <row r="8" spans="1:22" s="2848" customFormat="1" ht="13.15" customHeight="1">
      <c r="A8" s="2883" t="s">
        <v>2343</v>
      </c>
      <c r="B8" s="3699" t="s">
        <v>2344</v>
      </c>
      <c r="C8" s="3700"/>
      <c r="D8" s="2884" t="s">
        <v>2345</v>
      </c>
      <c r="E8" s="2885" t="s">
        <v>2346</v>
      </c>
      <c r="F8" s="2886" t="s">
        <v>2347</v>
      </c>
      <c r="G8" s="2887"/>
      <c r="H8" s="2843"/>
      <c r="I8" s="2844"/>
      <c r="J8" s="3695"/>
      <c r="K8" s="3697"/>
      <c r="L8" s="2878" t="s">
        <v>2348</v>
      </c>
      <c r="M8" s="2879"/>
      <c r="N8" s="2855"/>
      <c r="O8" s="2880"/>
      <c r="P8" s="2880"/>
      <c r="Q8" s="2881">
        <v>365</v>
      </c>
      <c r="R8" s="2882">
        <f t="shared" ref="R8:R13" si="0">ROUND(M8*N8*O8*P8*Q8/10000,0)</f>
        <v>0</v>
      </c>
      <c r="S8" s="2836"/>
      <c r="T8" s="2836" t="s">
        <v>2349</v>
      </c>
      <c r="U8" s="2836"/>
      <c r="V8" s="2844"/>
    </row>
    <row r="9" spans="1:22" s="2848" customFormat="1" ht="13.15" customHeight="1">
      <c r="A9" s="2883">
        <v>1</v>
      </c>
      <c r="B9" s="3699" t="s">
        <v>2350</v>
      </c>
      <c r="C9" s="3700"/>
      <c r="D9" s="2884">
        <f>ROUND(D6*E9,0)</f>
        <v>0</v>
      </c>
      <c r="E9" s="2888"/>
      <c r="F9" s="2889" t="s">
        <v>2351</v>
      </c>
      <c r="G9" s="2868"/>
      <c r="H9" s="2843"/>
      <c r="I9" s="2844"/>
      <c r="J9" s="3695"/>
      <c r="K9" s="3697"/>
      <c r="L9" s="2878" t="s">
        <v>2352</v>
      </c>
      <c r="M9" s="2879"/>
      <c r="N9" s="2855"/>
      <c r="O9" s="2880"/>
      <c r="P9" s="2880"/>
      <c r="Q9" s="2881">
        <v>365</v>
      </c>
      <c r="R9" s="2882">
        <f t="shared" si="0"/>
        <v>0</v>
      </c>
      <c r="S9" s="2836"/>
      <c r="T9" s="2836"/>
      <c r="U9" s="2836"/>
      <c r="V9" s="2844"/>
    </row>
    <row r="10" spans="1:22" s="2848" customFormat="1" ht="13.15" customHeight="1">
      <c r="A10" s="2883">
        <v>2</v>
      </c>
      <c r="B10" s="3699" t="s">
        <v>2353</v>
      </c>
      <c r="C10" s="3700"/>
      <c r="D10" s="2884">
        <f>ROUND(D6*E10,0)</f>
        <v>0</v>
      </c>
      <c r="E10" s="2888"/>
      <c r="F10" s="2889" t="s">
        <v>2354</v>
      </c>
      <c r="G10" s="2868"/>
      <c r="H10" s="2843"/>
      <c r="I10" s="2844"/>
      <c r="J10" s="3695"/>
      <c r="K10" s="3697"/>
      <c r="L10" s="2878" t="s">
        <v>2355</v>
      </c>
      <c r="M10" s="2879"/>
      <c r="N10" s="2855"/>
      <c r="O10" s="2880"/>
      <c r="P10" s="2880"/>
      <c r="Q10" s="2881">
        <v>365</v>
      </c>
      <c r="R10" s="2882">
        <f t="shared" si="0"/>
        <v>0</v>
      </c>
      <c r="S10" s="2836"/>
      <c r="T10" s="2836"/>
      <c r="U10" s="2836"/>
      <c r="V10" s="2844"/>
    </row>
    <row r="11" spans="1:22" s="2848" customFormat="1" ht="13.15" customHeight="1">
      <c r="A11" s="2883">
        <v>3</v>
      </c>
      <c r="B11" s="3699" t="s">
        <v>2356</v>
      </c>
      <c r="C11" s="3700"/>
      <c r="D11" s="2884">
        <f>D12+D14+D15+D16</f>
        <v>0</v>
      </c>
      <c r="E11" s="2890" t="e">
        <f>D11/D6</f>
        <v>#DIV/0!</v>
      </c>
      <c r="F11" s="2886"/>
      <c r="G11" s="2887"/>
      <c r="H11" s="2843"/>
      <c r="I11" s="2844"/>
      <c r="J11" s="3695"/>
      <c r="K11" s="3697"/>
      <c r="L11" s="2878" t="s">
        <v>2357</v>
      </c>
      <c r="M11" s="2879"/>
      <c r="N11" s="2855"/>
      <c r="O11" s="2880"/>
      <c r="P11" s="2880"/>
      <c r="Q11" s="2881">
        <v>365</v>
      </c>
      <c r="R11" s="2882">
        <f t="shared" si="0"/>
        <v>0</v>
      </c>
      <c r="S11" s="2836"/>
      <c r="T11" s="2836"/>
      <c r="U11" s="2836"/>
      <c r="V11" s="2844"/>
    </row>
    <row r="12" spans="1:22" s="2848" customFormat="1" ht="13.15" customHeight="1">
      <c r="A12" s="2891" t="s">
        <v>2358</v>
      </c>
      <c r="B12" s="3701" t="s">
        <v>2359</v>
      </c>
      <c r="C12" s="3702"/>
      <c r="D12" s="2892">
        <f>ROUND(D13*1.2%*(1-30%),0)</f>
        <v>0</v>
      </c>
      <c r="E12" s="2893">
        <v>1.2E-2</v>
      </c>
      <c r="F12" s="2886" t="s">
        <v>2360</v>
      </c>
      <c r="G12" s="2887"/>
      <c r="H12" s="2843"/>
      <c r="I12" s="2844"/>
      <c r="J12" s="3695"/>
      <c r="K12" s="3697"/>
      <c r="L12" s="2878" t="s">
        <v>2361</v>
      </c>
      <c r="M12" s="2879"/>
      <c r="N12" s="2855"/>
      <c r="O12" s="2880"/>
      <c r="P12" s="2880"/>
      <c r="Q12" s="2881">
        <v>365</v>
      </c>
      <c r="R12" s="2882">
        <f t="shared" si="0"/>
        <v>0</v>
      </c>
      <c r="S12" s="2836"/>
      <c r="T12" s="2836"/>
      <c r="U12" s="2836"/>
      <c r="V12" s="2844"/>
    </row>
    <row r="13" spans="1:22" s="2848" customFormat="1" ht="13.15" customHeight="1">
      <c r="A13" s="2891"/>
      <c r="B13" s="2894"/>
      <c r="C13" s="2895" t="s">
        <v>2362</v>
      </c>
      <c r="D13" s="2896"/>
      <c r="E13" s="2897"/>
      <c r="F13" s="2886"/>
      <c r="G13" s="2887"/>
      <c r="H13" s="2843"/>
      <c r="I13" s="2844"/>
      <c r="J13" s="3695"/>
      <c r="K13" s="3697"/>
      <c r="L13" s="2878" t="s">
        <v>2363</v>
      </c>
      <c r="M13" s="2879"/>
      <c r="N13" s="2855"/>
      <c r="O13" s="2880"/>
      <c r="P13" s="2880"/>
      <c r="Q13" s="2881">
        <v>365</v>
      </c>
      <c r="R13" s="2882">
        <f t="shared" si="0"/>
        <v>0</v>
      </c>
      <c r="S13" s="2836"/>
      <c r="T13" s="2836"/>
      <c r="U13" s="2836"/>
      <c r="V13" s="2844"/>
    </row>
    <row r="14" spans="1:22" s="2848" customFormat="1" ht="13.15" customHeight="1">
      <c r="A14" s="2891" t="s">
        <v>2364</v>
      </c>
      <c r="B14" s="3701" t="s">
        <v>2365</v>
      </c>
      <c r="C14" s="3702"/>
      <c r="D14" s="2892">
        <f>ROUND(E14*B5/10000,0)</f>
        <v>0</v>
      </c>
      <c r="E14" s="2881"/>
      <c r="F14" s="2886" t="s">
        <v>2366</v>
      </c>
      <c r="G14" s="2887"/>
      <c r="H14" s="2843"/>
      <c r="I14" s="2844"/>
      <c r="J14" s="3695"/>
      <c r="K14" s="3698"/>
      <c r="L14" s="2898" t="s">
        <v>2367</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2368</v>
      </c>
      <c r="B15" s="3701" t="s">
        <v>2369</v>
      </c>
      <c r="C15" s="3702"/>
      <c r="D15" s="2892">
        <f>ROUND(D6*E15,0)</f>
        <v>0</v>
      </c>
      <c r="E15" s="2893">
        <v>5.5E-2</v>
      </c>
      <c r="F15" s="2886" t="s">
        <v>2370</v>
      </c>
      <c r="G15" s="2868"/>
      <c r="H15" s="2843"/>
      <c r="I15" s="2844"/>
      <c r="J15" s="3695">
        <v>2</v>
      </c>
      <c r="K15" s="3696" t="s">
        <v>2371</v>
      </c>
      <c r="L15" s="2878" t="s">
        <v>2372</v>
      </c>
      <c r="M15" s="2879" t="s">
        <v>2373</v>
      </c>
      <c r="N15" s="2879" t="s">
        <v>2374</v>
      </c>
      <c r="O15" s="2880" t="s">
        <v>2375</v>
      </c>
      <c r="P15" s="2880" t="s">
        <v>2337</v>
      </c>
      <c r="Q15" s="2855" t="s">
        <v>2376</v>
      </c>
      <c r="R15" s="2902" t="s">
        <v>2338</v>
      </c>
      <c r="S15" s="2836"/>
      <c r="T15" s="2836"/>
      <c r="U15" s="2836"/>
      <c r="V15" s="2844"/>
    </row>
    <row r="16" spans="1:22" s="2848" customFormat="1" ht="13.15" customHeight="1">
      <c r="A16" s="2891" t="s">
        <v>2377</v>
      </c>
      <c r="B16" s="3701" t="s">
        <v>2378</v>
      </c>
      <c r="C16" s="3702"/>
      <c r="D16" s="2903">
        <f>D6*E16</f>
        <v>0</v>
      </c>
      <c r="E16" s="2904"/>
      <c r="F16" s="2889" t="s">
        <v>2379</v>
      </c>
      <c r="G16" s="2868"/>
      <c r="H16" s="2843"/>
      <c r="I16" s="2844"/>
      <c r="J16" s="3695"/>
      <c r="K16" s="3697"/>
      <c r="L16" s="2878" t="s">
        <v>2380</v>
      </c>
      <c r="M16" s="2879"/>
      <c r="N16" s="2879"/>
      <c r="O16" s="2880"/>
      <c r="P16" s="2881">
        <v>365</v>
      </c>
      <c r="Q16" s="2855"/>
      <c r="R16" s="2902">
        <f>ROUND(M16*N16*O16*P16/10000,0)</f>
        <v>0</v>
      </c>
      <c r="S16" s="2836"/>
      <c r="T16" s="2836"/>
      <c r="U16" s="2836"/>
      <c r="V16" s="2844"/>
    </row>
    <row r="17" spans="1:22" s="2848" customFormat="1" ht="13.15" customHeight="1" thickBot="1">
      <c r="A17" s="2905">
        <v>4</v>
      </c>
      <c r="B17" s="3703" t="s">
        <v>2381</v>
      </c>
      <c r="C17" s="3704"/>
      <c r="D17" s="2906">
        <f>ROUND(D6*E17,0)</f>
        <v>0</v>
      </c>
      <c r="E17" s="2907"/>
      <c r="F17" s="2908" t="s">
        <v>2382</v>
      </c>
      <c r="G17" s="2868"/>
      <c r="H17" s="2843"/>
      <c r="I17" s="2844"/>
      <c r="J17" s="3695"/>
      <c r="K17" s="3697"/>
      <c r="L17" s="2878" t="s">
        <v>2383</v>
      </c>
      <c r="M17" s="2879"/>
      <c r="N17" s="2879"/>
      <c r="O17" s="2880"/>
      <c r="P17" s="2881">
        <v>365</v>
      </c>
      <c r="Q17" s="2855"/>
      <c r="R17" s="2902">
        <f>ROUND(M17*N17*O17*P17/10000,0)</f>
        <v>0</v>
      </c>
      <c r="S17" s="2836"/>
      <c r="T17" s="2836"/>
      <c r="U17" s="2836"/>
      <c r="V17" s="2844"/>
    </row>
    <row r="18" spans="1:22" s="2848" customFormat="1" ht="13.15" customHeight="1" thickBot="1">
      <c r="A18" s="2871" t="s">
        <v>2384</v>
      </c>
      <c r="B18" s="2872"/>
      <c r="C18" s="2872"/>
      <c r="D18" s="2909">
        <f>ROUND(D6*E18,0)</f>
        <v>0</v>
      </c>
      <c r="E18" s="2910"/>
      <c r="F18" s="2911" t="s">
        <v>2385</v>
      </c>
      <c r="G18" s="2868"/>
      <c r="H18" s="2843"/>
      <c r="I18" s="2844"/>
      <c r="J18" s="3695"/>
      <c r="K18" s="3697"/>
      <c r="L18" s="2878" t="s">
        <v>2386</v>
      </c>
      <c r="M18" s="2879"/>
      <c r="N18" s="2879"/>
      <c r="O18" s="2880"/>
      <c r="P18" s="2881">
        <v>365</v>
      </c>
      <c r="Q18" s="2855"/>
      <c r="R18" s="2902">
        <f>ROUND(M18*N18*O18*P18/10000,0)</f>
        <v>0</v>
      </c>
      <c r="S18" s="2836"/>
      <c r="T18" s="2836"/>
      <c r="U18" s="2836"/>
      <c r="V18" s="2844"/>
    </row>
    <row r="19" spans="1:22" s="2848" customFormat="1" ht="13.15" customHeight="1" thickBot="1">
      <c r="A19" s="2912" t="s">
        <v>2387</v>
      </c>
      <c r="B19" s="2866"/>
      <c r="C19" s="2866"/>
      <c r="D19" s="2866"/>
      <c r="E19" s="2866"/>
      <c r="F19" s="2867"/>
      <c r="G19" s="2887"/>
      <c r="H19" s="2843"/>
      <c r="I19" s="2844"/>
      <c r="J19" s="3695"/>
      <c r="K19" s="3698"/>
      <c r="L19" s="2898" t="s">
        <v>2367</v>
      </c>
      <c r="M19" s="2899"/>
      <c r="N19" s="2899">
        <f>SUM(N16:N18)</f>
        <v>0</v>
      </c>
      <c r="O19" s="2900"/>
      <c r="P19" s="2913" t="s">
        <v>2431</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95">
        <v>3</v>
      </c>
      <c r="K20" s="3696" t="s">
        <v>2388</v>
      </c>
      <c r="L20" s="2878" t="s">
        <v>2389</v>
      </c>
      <c r="M20" s="2879" t="s">
        <v>2390</v>
      </c>
      <c r="N20" s="2916" t="s">
        <v>2391</v>
      </c>
      <c r="O20" s="2880" t="s">
        <v>2392</v>
      </c>
      <c r="P20" s="2881" t="s">
        <v>2393</v>
      </c>
      <c r="Q20" s="2855" t="s">
        <v>2394</v>
      </c>
      <c r="R20" s="2902" t="s">
        <v>2395</v>
      </c>
      <c r="S20" s="2917"/>
      <c r="T20" s="2917"/>
      <c r="U20" s="2917"/>
      <c r="V20" s="2844"/>
    </row>
    <row r="21" spans="1:22" s="2848" customFormat="1" ht="13.15" customHeight="1">
      <c r="A21" s="2871"/>
      <c r="B21" s="2872"/>
      <c r="C21" s="2918" t="s">
        <v>2396</v>
      </c>
      <c r="D21" s="2919" t="s">
        <v>2397</v>
      </c>
      <c r="E21" s="2920" t="s">
        <v>2398</v>
      </c>
      <c r="F21" s="2915"/>
      <c r="G21" s="2887"/>
      <c r="H21" s="2843"/>
      <c r="I21" s="2844"/>
      <c r="J21" s="3695"/>
      <c r="K21" s="3697"/>
      <c r="L21" s="2878" t="s">
        <v>2399</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2400</v>
      </c>
      <c r="D22" s="2923" t="s">
        <v>2401</v>
      </c>
      <c r="E22" s="2924" t="s">
        <v>2402</v>
      </c>
      <c r="F22" s="2915"/>
      <c r="G22" s="2925"/>
      <c r="H22" s="2843"/>
      <c r="I22" s="2844"/>
      <c r="J22" s="3695"/>
      <c r="K22" s="3697"/>
      <c r="L22" s="2878" t="s">
        <v>2403</v>
      </c>
      <c r="M22" s="2879"/>
      <c r="N22" s="2879"/>
      <c r="O22" s="2880"/>
      <c r="P22" s="2881">
        <v>365</v>
      </c>
      <c r="Q22" s="2855"/>
      <c r="R22" s="2921">
        <f>ROUND(M22*N22*O22*P22/10000,0)</f>
        <v>0</v>
      </c>
      <c r="S22" s="2917"/>
      <c r="T22" s="2917"/>
      <c r="U22" s="2917"/>
      <c r="V22" s="2844"/>
    </row>
    <row r="23" spans="1:22" s="2848" customFormat="1" ht="13.15" customHeight="1">
      <c r="A23" s="2926">
        <v>1</v>
      </c>
      <c r="B23" s="2927" t="s">
        <v>2404</v>
      </c>
      <c r="C23" s="2928">
        <f>D6</f>
        <v>0</v>
      </c>
      <c r="D23" s="2929">
        <f>C23*(1+D24)</f>
        <v>0</v>
      </c>
      <c r="E23" s="2930">
        <f>D23*(1+E24)</f>
        <v>0</v>
      </c>
      <c r="F23" s="2931"/>
      <c r="G23" s="2932"/>
      <c r="H23" s="2843"/>
      <c r="I23" s="2844"/>
      <c r="J23" s="3695"/>
      <c r="K23" s="3697"/>
      <c r="L23" s="2878" t="s">
        <v>2405</v>
      </c>
      <c r="M23" s="2879"/>
      <c r="N23" s="2879"/>
      <c r="O23" s="2880"/>
      <c r="P23" s="2881">
        <v>365</v>
      </c>
      <c r="Q23" s="2855"/>
      <c r="R23" s="2921">
        <f>ROUND(M23*N23*O23*P23/10000,0)</f>
        <v>0</v>
      </c>
      <c r="S23" s="2836"/>
      <c r="T23" s="2836"/>
      <c r="U23" s="2836"/>
      <c r="V23" s="2844"/>
    </row>
    <row r="24" spans="1:22" s="2848" customFormat="1" ht="13.15" customHeight="1">
      <c r="A24" s="2933"/>
      <c r="B24" s="2934" t="s">
        <v>2406</v>
      </c>
      <c r="C24" s="2935"/>
      <c r="D24" s="2936"/>
      <c r="E24" s="2937"/>
      <c r="F24" s="2938"/>
      <c r="G24" s="2932"/>
      <c r="H24" s="2843"/>
      <c r="I24" s="2844"/>
      <c r="J24" s="3695"/>
      <c r="K24" s="3698"/>
      <c r="L24" s="2898" t="s">
        <v>2367</v>
      </c>
      <c r="M24" s="2899">
        <f>SUM(M21:M23)</f>
        <v>0</v>
      </c>
      <c r="N24" s="2899"/>
      <c r="O24" s="2900"/>
      <c r="P24" s="2913" t="s">
        <v>2431</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2407</v>
      </c>
      <c r="L25" s="2941"/>
      <c r="M25" s="2941"/>
      <c r="N25" s="2941"/>
      <c r="O25" s="2941"/>
      <c r="P25" s="2942"/>
      <c r="Q25" s="2943">
        <v>0</v>
      </c>
      <c r="R25" s="2914">
        <f>ROUND(R14*Q25,0)</f>
        <v>0</v>
      </c>
      <c r="S25" s="2836"/>
      <c r="T25" s="2836"/>
      <c r="U25" s="2836"/>
      <c r="V25" s="2944"/>
    </row>
    <row r="26" spans="1:22" s="2945" customFormat="1" ht="13.15" customHeight="1">
      <c r="A26" s="2926">
        <v>2</v>
      </c>
      <c r="B26" s="2927" t="s">
        <v>2408</v>
      </c>
      <c r="C26" s="2928">
        <f>D7</f>
        <v>0</v>
      </c>
      <c r="D26" s="2929">
        <f>D23*D27</f>
        <v>0</v>
      </c>
      <c r="E26" s="2930">
        <f>E23*E27</f>
        <v>0</v>
      </c>
      <c r="F26" s="2931"/>
      <c r="G26" s="2932"/>
      <c r="H26" s="2843"/>
      <c r="I26" s="2844"/>
      <c r="J26" s="3705">
        <v>5</v>
      </c>
      <c r="K26" s="2946" t="s">
        <v>2409</v>
      </c>
      <c r="L26" s="2947"/>
      <c r="M26" s="2948"/>
      <c r="N26" s="2949" t="s">
        <v>2410</v>
      </c>
      <c r="O26" s="2949" t="s">
        <v>2411</v>
      </c>
      <c r="P26" s="2950" t="s">
        <v>2412</v>
      </c>
      <c r="Q26" s="2950" t="s">
        <v>2413</v>
      </c>
      <c r="R26" s="2853" t="s">
        <v>2338</v>
      </c>
      <c r="S26" s="2951"/>
      <c r="T26" s="2951"/>
      <c r="U26" s="2951"/>
      <c r="V26" s="2944"/>
    </row>
    <row r="27" spans="1:22" s="2848" customFormat="1" ht="13.15" customHeight="1">
      <c r="A27" s="2933"/>
      <c r="B27" s="2934" t="s">
        <v>2414</v>
      </c>
      <c r="C27" s="2952" t="e">
        <f>E7</f>
        <v>#DIV/0!</v>
      </c>
      <c r="D27" s="2936"/>
      <c r="E27" s="2937"/>
      <c r="F27" s="2938"/>
      <c r="G27" s="2932"/>
      <c r="H27" s="2953"/>
      <c r="I27" s="2944"/>
      <c r="J27" s="3706"/>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2415</v>
      </c>
      <c r="F28" s="2938"/>
      <c r="G28" s="2925"/>
      <c r="H28" s="2953"/>
      <c r="I28" s="2944"/>
      <c r="J28" s="2959">
        <v>6</v>
      </c>
      <c r="K28" s="2960" t="s">
        <v>2416</v>
      </c>
      <c r="L28" s="2961" t="s">
        <v>2417</v>
      </c>
      <c r="M28" s="2962"/>
      <c r="N28" s="2961" t="s">
        <v>2418</v>
      </c>
      <c r="O28" s="2963"/>
      <c r="P28" s="2961" t="s">
        <v>2419</v>
      </c>
      <c r="Q28" s="2964">
        <v>1.4999999999999999E-2</v>
      </c>
      <c r="R28" s="2965"/>
      <c r="S28" s="2917"/>
      <c r="T28" s="2917"/>
      <c r="U28" s="2917"/>
      <c r="V28" s="2944"/>
    </row>
    <row r="29" spans="1:22" s="2945" customFormat="1" ht="13.15" customHeight="1">
      <c r="A29" s="2926">
        <v>3</v>
      </c>
      <c r="B29" s="2927" t="s">
        <v>2420</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2414</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2421</v>
      </c>
      <c r="K31" s="2834"/>
      <c r="L31" s="2834"/>
      <c r="M31" s="2834"/>
      <c r="N31" s="2834"/>
      <c r="O31" s="2834"/>
      <c r="P31" s="2834"/>
      <c r="Q31" s="2834"/>
      <c r="R31" s="2835"/>
      <c r="S31" s="2917"/>
      <c r="T31" s="2836"/>
      <c r="U31" s="2836"/>
      <c r="V31" s="2944"/>
    </row>
    <row r="32" spans="1:22" s="2945" customFormat="1" ht="13.15" customHeight="1">
      <c r="A32" s="2926">
        <v>4</v>
      </c>
      <c r="B32" s="2927" t="s">
        <v>2422</v>
      </c>
      <c r="C32" s="2928">
        <f>C23-C26-C29</f>
        <v>0</v>
      </c>
      <c r="D32" s="2929">
        <f>D23-D26-D29</f>
        <v>0</v>
      </c>
      <c r="E32" s="2930">
        <f>E23-E26-E29</f>
        <v>0</v>
      </c>
      <c r="F32" s="2931"/>
      <c r="G32" s="2925"/>
      <c r="H32" s="2843"/>
      <c r="I32" s="2844"/>
      <c r="J32" s="3688" t="s">
        <v>2314</v>
      </c>
      <c r="K32" s="3689"/>
      <c r="L32" s="2845" t="s">
        <v>2315</v>
      </c>
      <c r="M32" s="2845" t="s">
        <v>2316</v>
      </c>
      <c r="N32" s="2845" t="s">
        <v>2317</v>
      </c>
      <c r="O32" s="2845" t="s">
        <v>2318</v>
      </c>
      <c r="P32" s="2845" t="s">
        <v>2319</v>
      </c>
      <c r="Q32" s="2846" t="s">
        <v>2320</v>
      </c>
      <c r="R32" s="2968" t="s">
        <v>2321</v>
      </c>
      <c r="S32" s="2917"/>
      <c r="T32" s="2836"/>
      <c r="U32" s="2836"/>
      <c r="V32" s="2944"/>
    </row>
    <row r="33" spans="1:23" s="2848" customFormat="1" ht="13.15" customHeight="1">
      <c r="A33" s="2926"/>
      <c r="B33" s="2927"/>
      <c r="C33" s="2928"/>
      <c r="D33" s="2969"/>
      <c r="E33" s="2970"/>
      <c r="F33" s="2931"/>
      <c r="G33" s="2925"/>
      <c r="H33" s="2953"/>
      <c r="I33" s="2944"/>
      <c r="J33" s="3690" t="s">
        <v>2324</v>
      </c>
      <c r="K33" s="3691"/>
      <c r="L33" s="2851"/>
      <c r="M33" s="2851"/>
      <c r="N33" s="2851"/>
      <c r="O33" s="2851"/>
      <c r="P33" s="2851"/>
      <c r="Q33" s="2852"/>
      <c r="R33" s="2971">
        <f>SUM(L33:Q33)</f>
        <v>0</v>
      </c>
      <c r="S33" s="2917"/>
      <c r="T33" s="2836"/>
      <c r="U33" s="2836"/>
      <c r="V33" s="2844"/>
    </row>
    <row r="34" spans="1:23" s="2848" customFormat="1" ht="13.15" customHeight="1">
      <c r="A34" s="2926">
        <v>5</v>
      </c>
      <c r="B34" s="2927" t="s">
        <v>2423</v>
      </c>
      <c r="C34" s="2972"/>
      <c r="D34" s="2973"/>
      <c r="E34" s="2974"/>
      <c r="F34" s="2931"/>
      <c r="G34" s="2925"/>
      <c r="H34" s="2953"/>
      <c r="I34" s="2944"/>
      <c r="J34" s="3690" t="s">
        <v>2326</v>
      </c>
      <c r="K34" s="3691"/>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2424</v>
      </c>
      <c r="C35" s="2976"/>
      <c r="D35" s="2977"/>
      <c r="E35" s="2978"/>
      <c r="F35" s="2931"/>
      <c r="G35" s="2979"/>
      <c r="H35" s="2843"/>
      <c r="I35" s="2944"/>
      <c r="J35" s="2862" t="s">
        <v>2328</v>
      </c>
      <c r="K35" s="2863"/>
      <c r="L35" s="2863"/>
      <c r="M35" s="2864"/>
      <c r="N35" s="2864"/>
      <c r="O35" s="2864"/>
      <c r="P35" s="2864"/>
      <c r="Q35" s="2864"/>
      <c r="R35" s="2980">
        <f>R40+R41+R43</f>
        <v>0</v>
      </c>
      <c r="S35" s="2917"/>
      <c r="T35" s="2836" t="s">
        <v>2329</v>
      </c>
      <c r="U35" s="2836"/>
      <c r="V35" s="2844"/>
    </row>
    <row r="36" spans="1:23" s="2848" customFormat="1" ht="13.15" customHeight="1" thickBot="1">
      <c r="A36" s="2926">
        <v>7</v>
      </c>
      <c r="B36" s="2981" t="s">
        <v>2425</v>
      </c>
      <c r="C36" s="2982"/>
      <c r="D36" s="2983"/>
      <c r="E36" s="2984"/>
      <c r="F36" s="2985">
        <f>C36+D36+E36</f>
        <v>0</v>
      </c>
      <c r="G36" s="2925"/>
      <c r="H36" s="2843"/>
      <c r="I36" s="2844"/>
      <c r="J36" s="3695">
        <v>1</v>
      </c>
      <c r="K36" s="3696" t="s">
        <v>2426</v>
      </c>
      <c r="L36" s="2869"/>
      <c r="M36" s="2870"/>
      <c r="N36" s="2870"/>
      <c r="O36" s="2870"/>
      <c r="P36" s="2870"/>
      <c r="Q36" s="2870"/>
      <c r="R36" s="2853" t="s">
        <v>2338</v>
      </c>
      <c r="S36" s="2917"/>
      <c r="T36" s="2836" t="s">
        <v>2339</v>
      </c>
      <c r="U36" s="2836"/>
      <c r="V36" s="2844"/>
    </row>
    <row r="37" spans="1:23" s="2848" customFormat="1" ht="13.15" customHeight="1">
      <c r="A37" s="2926"/>
      <c r="B37" s="2927"/>
      <c r="C37" s="2927"/>
      <c r="D37" s="2927"/>
      <c r="E37" s="2927"/>
      <c r="F37" s="2931"/>
      <c r="G37" s="2925"/>
      <c r="H37" s="2843"/>
      <c r="I37" s="2844"/>
      <c r="J37" s="3695"/>
      <c r="K37" s="3697"/>
      <c r="L37" s="2878"/>
      <c r="M37" s="2879"/>
      <c r="N37" s="2855"/>
      <c r="O37" s="2880"/>
      <c r="P37" s="2880"/>
      <c r="Q37" s="2881"/>
      <c r="R37" s="2882"/>
      <c r="S37" s="2917"/>
      <c r="T37" s="2836" t="s">
        <v>2342</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95"/>
      <c r="K38" s="3697"/>
      <c r="L38" s="2878"/>
      <c r="M38" s="2879"/>
      <c r="N38" s="2855"/>
      <c r="O38" s="2880"/>
      <c r="P38" s="2880"/>
      <c r="Q38" s="2881"/>
      <c r="R38" s="2882"/>
      <c r="S38" s="2917"/>
      <c r="T38" s="2836" t="s">
        <v>2349</v>
      </c>
      <c r="U38" s="2836"/>
      <c r="V38" s="2844"/>
    </row>
    <row r="39" spans="1:23" s="2848" customFormat="1" ht="13.15" customHeight="1">
      <c r="A39" s="2926">
        <v>9</v>
      </c>
      <c r="B39" s="2927" t="s">
        <v>2427</v>
      </c>
      <c r="C39" s="2892" t="e">
        <f>C38</f>
        <v>#DIV/0!</v>
      </c>
      <c r="D39" s="2927">
        <f>D38/(1+D34)^C36</f>
        <v>0</v>
      </c>
      <c r="E39" s="2927">
        <f>E38/(1+E34)^(C36+D36)</f>
        <v>0</v>
      </c>
      <c r="F39" s="2931"/>
      <c r="G39" s="2986"/>
      <c r="H39" s="2843"/>
      <c r="I39" s="2844"/>
      <c r="J39" s="3695"/>
      <c r="K39" s="3697"/>
      <c r="L39" s="2878"/>
      <c r="M39" s="2879"/>
      <c r="N39" s="2855"/>
      <c r="O39" s="2880"/>
      <c r="P39" s="2880"/>
      <c r="Q39" s="2881"/>
      <c r="R39" s="2882"/>
      <c r="S39" s="2917"/>
      <c r="T39" s="2836"/>
      <c r="U39" s="2836"/>
      <c r="V39" s="2844"/>
    </row>
    <row r="40" spans="1:23" s="2848" customFormat="1" ht="13.15" customHeight="1">
      <c r="A40" s="2987">
        <v>10</v>
      </c>
      <c r="B40" s="2927" t="s">
        <v>2428</v>
      </c>
      <c r="C40" s="2988" t="e">
        <f>C39+D39+E39</f>
        <v>#DIV/0!</v>
      </c>
      <c r="D40" s="2989"/>
      <c r="E40" s="2989"/>
      <c r="F40" s="2990"/>
      <c r="G40" s="2925"/>
      <c r="H40" s="2843"/>
      <c r="I40" s="2844"/>
      <c r="J40" s="3695"/>
      <c r="K40" s="3698"/>
      <c r="L40" s="2898" t="s">
        <v>2367</v>
      </c>
      <c r="M40" s="2899"/>
      <c r="N40" s="2899"/>
      <c r="O40" s="2900"/>
      <c r="P40" s="2900"/>
      <c r="Q40" s="2901"/>
      <c r="R40" s="2847">
        <f>SUM(R37:R39)</f>
        <v>0</v>
      </c>
      <c r="S40" s="2917"/>
      <c r="T40" s="2836"/>
      <c r="U40" s="2836"/>
      <c r="V40" s="2844"/>
    </row>
    <row r="41" spans="1:23" s="2848" customFormat="1" ht="13.15" customHeight="1" thickBot="1">
      <c r="A41" s="2991">
        <v>11</v>
      </c>
      <c r="B41" s="2992" t="s">
        <v>2429</v>
      </c>
      <c r="C41" s="2992" t="e">
        <f>ROUND(C40*10000/B4,0)</f>
        <v>#DIV/0!</v>
      </c>
      <c r="D41" s="2993"/>
      <c r="E41" s="2993"/>
      <c r="F41" s="2994"/>
      <c r="G41" s="2995"/>
      <c r="H41" s="2843"/>
      <c r="I41" s="2844"/>
      <c r="J41" s="2939">
        <v>2</v>
      </c>
      <c r="K41" s="2940" t="s">
        <v>2407</v>
      </c>
      <c r="L41" s="2941"/>
      <c r="M41" s="2941"/>
      <c r="N41" s="2941"/>
      <c r="O41" s="2941"/>
      <c r="P41" s="2942"/>
      <c r="Q41" s="2943"/>
      <c r="R41" s="2914">
        <f>ROUND(R40*Q41,0)</f>
        <v>0</v>
      </c>
      <c r="S41" s="2917"/>
      <c r="T41" s="2836"/>
      <c r="U41" s="2951"/>
      <c r="V41" s="2844"/>
    </row>
    <row r="42" spans="1:23" s="2848" customFormat="1" ht="13.15" customHeight="1">
      <c r="G42" s="2995"/>
      <c r="H42" s="2843"/>
      <c r="I42" s="2844"/>
      <c r="J42" s="3705">
        <v>3</v>
      </c>
      <c r="K42" s="2946" t="s">
        <v>2409</v>
      </c>
      <c r="L42" s="2947"/>
      <c r="M42" s="2948"/>
      <c r="N42" s="2949" t="s">
        <v>2410</v>
      </c>
      <c r="O42" s="2949" t="s">
        <v>2411</v>
      </c>
      <c r="P42" s="2950" t="s">
        <v>2412</v>
      </c>
      <c r="Q42" s="2950" t="s">
        <v>2413</v>
      </c>
      <c r="R42" s="2853" t="s">
        <v>2338</v>
      </c>
      <c r="S42" s="2951"/>
      <c r="T42" s="2951"/>
      <c r="U42" s="2836"/>
      <c r="V42" s="2844"/>
    </row>
    <row r="43" spans="1:23" ht="13.15" customHeight="1">
      <c r="A43" s="2848"/>
      <c r="B43" s="2848"/>
      <c r="C43" s="2848"/>
      <c r="D43" s="2848"/>
      <c r="E43" s="2848"/>
      <c r="F43" s="2848"/>
      <c r="I43" s="2831"/>
      <c r="J43" s="3706"/>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2416</v>
      </c>
      <c r="L44" s="2999" t="s">
        <v>2417</v>
      </c>
      <c r="M44" s="2962"/>
      <c r="N44" s="2999" t="s">
        <v>2418</v>
      </c>
      <c r="O44" s="2962"/>
      <c r="P44" s="2999" t="s">
        <v>2419</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D33" sqref="D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2784.03</v>
      </c>
      <c r="E1" s="1992"/>
      <c r="F1" s="1992"/>
      <c r="G1" s="1992"/>
      <c r="H1" s="1992"/>
      <c r="I1" s="1992"/>
      <c r="J1" s="1992"/>
      <c r="K1" s="1116"/>
      <c r="L1" s="1993" t="s">
        <v>1927</v>
      </c>
      <c r="M1" s="860">
        <f>SUMPRODUCT((区片价!B5:B9=I2)*(区片价!C3:G3=E2)*(区片价!C5:G9))</f>
        <v>0</v>
      </c>
      <c r="N1" s="863">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9198</v>
      </c>
      <c r="C2" s="1996" t="s">
        <v>1934</v>
      </c>
      <c r="D2" s="1997" t="s">
        <v>1935</v>
      </c>
      <c r="E2" s="3417" t="s">
        <v>673</v>
      </c>
      <c r="F2" s="1997" t="s">
        <v>1936</v>
      </c>
      <c r="G2" s="1998" t="str">
        <f>IF(E2="商业",项目基本情况!B37,IF(E2="办公",项目基本情况!C37,IF(E2="住宅",项目基本情况!D37,IF(E2="工业",项目基本情况!E37,项目基本情况!F37))))</f>
        <v>三级</v>
      </c>
      <c r="H2" s="1997" t="s">
        <v>1937</v>
      </c>
      <c r="I2" s="1998" t="str">
        <f>IF(E2="商业",项目基本情况!B38,IF(E2="办公",项目基本情况!C38,IF(E2="住宅",项目基本情况!D38,IF(E2="工业",项目基本情况!E38,项目基本情况!F38))))</f>
        <v>Ⅲ—24</v>
      </c>
      <c r="J2" s="1999"/>
      <c r="K2" s="1116"/>
      <c r="L2" s="2000" t="s">
        <v>1938</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1.5019</v>
      </c>
      <c r="T2" s="3356">
        <f t="shared" ref="T2:T16" si="0">ROUND($C$5*$C$22*$C$23*$C$24*S2*$C$28,0)</f>
        <v>33039</v>
      </c>
      <c r="U2" s="1210">
        <f>'数据-汇总表'!F20</f>
        <v>2784.03</v>
      </c>
      <c r="V2" s="3356">
        <f>ROUND(T2*U2/10000,0)</f>
        <v>9198</v>
      </c>
      <c r="W2" s="1213"/>
      <c r="X2" s="1213"/>
      <c r="Y2" s="1213"/>
      <c r="Z2" s="1213"/>
      <c r="AA2" s="1213"/>
      <c r="AB2" s="1213"/>
      <c r="AC2" s="1214"/>
      <c r="AD2" s="1215"/>
      <c r="AE2" s="1215"/>
      <c r="AF2" s="1215"/>
      <c r="AG2" s="1215"/>
      <c r="AH2" s="1215"/>
      <c r="AI2" s="1215"/>
      <c r="AJ2" s="1216"/>
    </row>
    <row r="3" spans="1:36" ht="15.75">
      <c r="A3" s="203" t="s">
        <v>1939</v>
      </c>
      <c r="B3" s="204">
        <f>ROUND(B2*10000/D1,0)</f>
        <v>33038</v>
      </c>
      <c r="C3" s="1996" t="s">
        <v>1940</v>
      </c>
      <c r="D3" s="1997" t="s">
        <v>1941</v>
      </c>
      <c r="E3" s="3415" t="s">
        <v>2436</v>
      </c>
      <c r="F3" s="2001" t="s">
        <v>3428</v>
      </c>
      <c r="G3" s="749">
        <f>IF(F3="宗地容积率",'数据-汇总表'!I4,IF(F3="估价对象容积率",'数据-汇总表'!I6,'数据-汇总表'!I7))</f>
        <v>5.07</v>
      </c>
      <c r="H3" s="170" t="s">
        <v>1942</v>
      </c>
      <c r="I3" s="772">
        <v>1</v>
      </c>
      <c r="J3" s="1999" t="s">
        <v>1943</v>
      </c>
      <c r="K3" s="1116"/>
      <c r="L3" s="2000" t="s">
        <v>1944</v>
      </c>
      <c r="M3" s="861">
        <f>SUMPRODUCT((区片价!B30:B54=I2)*(区片价!C3:G3=E2)*(区片价!C30:G54))</f>
        <v>23580</v>
      </c>
      <c r="N3" s="863">
        <f>SUMPRODUCT((因素修正幅度!B30:B54=I2)*(因素修正幅度!C3:G3=E2)*(因素修正幅度!C30:G54))</f>
        <v>8.5999999999999993E-2</v>
      </c>
      <c r="O3" s="1116"/>
      <c r="P3" s="1116"/>
      <c r="Q3" s="1116"/>
      <c r="R3" s="1209">
        <v>2</v>
      </c>
      <c r="S3" s="3356">
        <f>ROUND(SUMPRODUCT((B106:B110=R3)*(C105:N105=G2)*(C106:N110)),4)</f>
        <v>1.1838</v>
      </c>
      <c r="T3" s="3356">
        <f t="shared" si="0"/>
        <v>26042</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671"/>
      <c r="B4" s="3672"/>
      <c r="C4" s="3672"/>
      <c r="D4" s="3673"/>
      <c r="E4" s="3673"/>
      <c r="F4" s="3673"/>
      <c r="G4" s="3673"/>
      <c r="H4" s="3673"/>
      <c r="I4" s="3673"/>
      <c r="J4" s="3674"/>
      <c r="K4" s="1116"/>
      <c r="L4" s="2000" t="s">
        <v>1945</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1.0004999999999999</v>
      </c>
      <c r="T4" s="3356">
        <f t="shared" si="0"/>
        <v>22009</v>
      </c>
      <c r="U4" s="1210"/>
      <c r="V4" s="3356">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0">
        <f>ROUND(IF(E2="商业",C6*C7*C17+C20,(IF(E2="住宅",C6*C13*C17+C20,IF(E2="办公",C6*C12*C17+C20,C6+C20)))),0)</f>
        <v>23580</v>
      </c>
      <c r="D5" s="1336">
        <f>ROUND(C6*C17+C20,0)</f>
        <v>23580</v>
      </c>
      <c r="E5" s="1336"/>
      <c r="F5" s="2004"/>
      <c r="G5" s="2005"/>
      <c r="H5" s="2005"/>
      <c r="I5" s="2005"/>
      <c r="J5" s="2006"/>
      <c r="K5" s="2007"/>
      <c r="L5" s="2000" t="s">
        <v>1947</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0.88239999999999996</v>
      </c>
      <c r="T5" s="3356">
        <f t="shared" si="0"/>
        <v>19411</v>
      </c>
      <c r="U5" s="1210"/>
      <c r="V5" s="3356">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1">
        <f>SUMIF(L1:L12,G2,M1:M12)</f>
        <v>23580</v>
      </c>
      <c r="D6" s="2014"/>
      <c r="E6" s="2015"/>
      <c r="F6" s="2015"/>
      <c r="G6" s="2016"/>
      <c r="H6" s="2016"/>
      <c r="I6" s="2016"/>
      <c r="J6" s="2017"/>
      <c r="K6" s="1381"/>
      <c r="L6" s="2000" t="s">
        <v>1950</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0.84799999999999998</v>
      </c>
      <c r="T6" s="3356">
        <f t="shared" si="0"/>
        <v>18655</v>
      </c>
      <c r="U6" s="1210"/>
      <c r="V6" s="3356">
        <f t="shared" si="1"/>
        <v>0</v>
      </c>
      <c r="W6" s="1213"/>
      <c r="X6" s="1213"/>
      <c r="Y6" s="1213"/>
      <c r="Z6" s="1213"/>
      <c r="AA6" s="1213"/>
      <c r="AB6" s="1213"/>
      <c r="AC6" s="2008"/>
      <c r="AD6" s="2009"/>
      <c r="AE6" s="2009"/>
      <c r="AF6" s="2009"/>
      <c r="AG6" s="2009"/>
      <c r="AH6" s="2009"/>
      <c r="AI6" s="2009"/>
      <c r="AJ6" s="2010"/>
    </row>
    <row r="7" spans="1:36" ht="24.75" thickBot="1">
      <c r="A7" s="3299" t="s">
        <v>3236</v>
      </c>
      <c r="B7" s="3453" t="s">
        <v>1951</v>
      </c>
      <c r="C7" s="752">
        <f>IF(C8="不临65条商业街",1,ROUND(1+(1.6*E8+1.2*E9+0.8*E10+0.4*E11)*C9,4))</f>
        <v>1</v>
      </c>
      <c r="D7" s="2019" t="s">
        <v>1952</v>
      </c>
      <c r="E7" s="773"/>
      <c r="F7" s="2020"/>
      <c r="G7" s="2021"/>
      <c r="H7" s="2021"/>
      <c r="I7" s="2021"/>
      <c r="J7" s="2022"/>
      <c r="K7" s="1381"/>
      <c r="L7" s="2000" t="s">
        <v>1953</v>
      </c>
      <c r="M7" s="861">
        <f>SUMPRODUCT((区片价!B190:B233=I2)*(区片价!C3:G3=E2)*(区片价!C190:G233))</f>
        <v>0</v>
      </c>
      <c r="N7" s="863">
        <f>SUMPRODUCT((因素修正幅度!B190:B233=I2)*(因素修正幅度!C3:G3=E2)*(因素修正幅度!C190:G233))</f>
        <v>0</v>
      </c>
      <c r="O7" s="1116"/>
      <c r="P7" s="1116"/>
      <c r="Q7" s="1116"/>
      <c r="R7" s="1209">
        <v>6</v>
      </c>
      <c r="S7" s="3414"/>
      <c r="T7" s="3356">
        <f t="shared" si="0"/>
        <v>0</v>
      </c>
      <c r="U7" s="1210"/>
      <c r="V7" s="3356">
        <f t="shared" si="1"/>
        <v>0</v>
      </c>
      <c r="W7" s="3463" t="s">
        <v>1954</v>
      </c>
      <c r="X7" s="1211" t="str">
        <f>G2</f>
        <v>三级</v>
      </c>
      <c r="Y7" s="1211" t="s">
        <v>1955</v>
      </c>
      <c r="Z7" s="1212">
        <f>G3</f>
        <v>5.07</v>
      </c>
      <c r="AA7" s="1213"/>
      <c r="AB7" s="1213"/>
      <c r="AC7" s="1214"/>
      <c r="AD7" s="1215"/>
      <c r="AE7" s="1215"/>
      <c r="AF7" s="1215"/>
      <c r="AG7" s="1215"/>
      <c r="AH7" s="1215"/>
      <c r="AI7" s="1215"/>
      <c r="AJ7" s="1216"/>
    </row>
    <row r="8" spans="1:36" ht="25.5">
      <c r="A8" s="3294"/>
      <c r="B8" s="170" t="s">
        <v>1956</v>
      </c>
      <c r="C8" s="2023" t="s">
        <v>3429</v>
      </c>
      <c r="D8" s="753" t="s">
        <v>112</v>
      </c>
      <c r="E8" s="754" t="e">
        <f>ROUND(C11/E7,4)</f>
        <v>#DIV/0!</v>
      </c>
      <c r="F8" s="2024" t="s">
        <v>1957</v>
      </c>
      <c r="G8" s="2025"/>
      <c r="H8" s="2025"/>
      <c r="I8" s="2025"/>
      <c r="J8" s="2026"/>
      <c r="K8" s="1116"/>
      <c r="L8" s="2000" t="s">
        <v>1958</v>
      </c>
      <c r="M8" s="861">
        <f>SUMPRODUCT((区片价!B234:B276=I2)*(区片价!C3:G3=E2)*(区片价!C234:G276))</f>
        <v>0</v>
      </c>
      <c r="N8" s="863">
        <f>SUMPRODUCT((因素修正幅度!B234:B276=I2)*(因素修正幅度!C3:G3=E2)*(因素修正幅度!C234:G276))</f>
        <v>0</v>
      </c>
      <c r="O8" s="1116"/>
      <c r="P8" s="1116"/>
      <c r="Q8" s="1116"/>
      <c r="R8" s="1209">
        <v>7</v>
      </c>
      <c r="S8" s="1210"/>
      <c r="T8" s="3356">
        <f t="shared" si="0"/>
        <v>0</v>
      </c>
      <c r="U8" s="1210"/>
      <c r="V8" s="3356">
        <f t="shared" si="1"/>
        <v>0</v>
      </c>
      <c r="W8" s="3668" t="s">
        <v>1959</v>
      </c>
      <c r="X8" s="3669"/>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4"/>
      <c r="B9" s="170" t="s">
        <v>1972</v>
      </c>
      <c r="C9" s="755">
        <f>SUMIF(修正!C71:C138,C8,修正!E71:E138)</f>
        <v>0</v>
      </c>
      <c r="D9" s="171" t="s">
        <v>113</v>
      </c>
      <c r="E9" s="171" t="e">
        <f>ROUND(C11/E7,4)</f>
        <v>#DIV/0!</v>
      </c>
      <c r="F9" s="2024" t="s">
        <v>1973</v>
      </c>
      <c r="G9" s="2025"/>
      <c r="H9" s="2025"/>
      <c r="I9" s="2025"/>
      <c r="J9" s="2026"/>
      <c r="K9" s="1116"/>
      <c r="L9" s="2000" t="s">
        <v>1974</v>
      </c>
      <c r="M9" s="861">
        <f>SUMPRODUCT((区片价!B277:B326=I2)*(区片价!C3:G3=E2)*(区片价!C277:G326))</f>
        <v>0</v>
      </c>
      <c r="N9" s="863">
        <f>SUMPRODUCT((因素修正幅度!B277:B326=I2)*(因素修正幅度!C3:G3=E2)*(因素修正幅度!C277:G326))</f>
        <v>0</v>
      </c>
      <c r="O9" s="1116"/>
      <c r="P9" s="1116"/>
      <c r="Q9" s="1116"/>
      <c r="R9" s="1209">
        <v>8</v>
      </c>
      <c r="S9" s="1210"/>
      <c r="T9" s="3356">
        <f t="shared" si="0"/>
        <v>0</v>
      </c>
      <c r="U9" s="1210"/>
      <c r="V9" s="3356">
        <f t="shared" si="1"/>
        <v>0</v>
      </c>
      <c r="W9" s="3670"/>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4" t="s">
        <v>1976</v>
      </c>
      <c r="G10" s="2025"/>
      <c r="H10" s="2025"/>
      <c r="I10" s="2025"/>
      <c r="J10" s="2026"/>
      <c r="K10" s="1116"/>
      <c r="L10" s="2000" t="s">
        <v>1977</v>
      </c>
      <c r="M10" s="861">
        <f>SUMPRODUCT((区片价!B327:B357=I2)*(区片价!C3:G3=E2)*(区片价!C327:G357))</f>
        <v>0</v>
      </c>
      <c r="N10" s="863">
        <f>SUMPRODUCT((因素修正幅度!B327:B357=I2)*(因素修正幅度!C3:G3=E2)*(因素修正幅度!C327:G357))</f>
        <v>0</v>
      </c>
      <c r="O10" s="1116"/>
      <c r="P10" s="1116"/>
      <c r="Q10" s="1116"/>
      <c r="R10" s="1209">
        <v>9</v>
      </c>
      <c r="S10" s="1210"/>
      <c r="T10" s="3356">
        <f t="shared" si="0"/>
        <v>0</v>
      </c>
      <c r="U10" s="1210"/>
      <c r="V10" s="3356">
        <f t="shared" si="1"/>
        <v>0</v>
      </c>
      <c r="W10" s="36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1978</v>
      </c>
      <c r="C11" s="756">
        <f>C10/4</f>
        <v>0</v>
      </c>
      <c r="D11" s="756" t="s">
        <v>115</v>
      </c>
      <c r="E11" s="756" t="e">
        <f>ROUND(C11/E7,4)</f>
        <v>#DIV/0!</v>
      </c>
      <c r="F11" s="2028" t="s">
        <v>1979</v>
      </c>
      <c r="G11" s="2029"/>
      <c r="H11" s="2029"/>
      <c r="I11" s="2029"/>
      <c r="J11" s="2030"/>
      <c r="K11" s="1116"/>
      <c r="L11" s="2000" t="s">
        <v>1980</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v>1</v>
      </c>
      <c r="D12" s="3302" t="s">
        <v>3239</v>
      </c>
      <c r="E12" s="3303" t="s">
        <v>3240</v>
      </c>
      <c r="F12" s="3304"/>
      <c r="G12" s="3305"/>
      <c r="H12" s="3305"/>
      <c r="I12" s="3305"/>
      <c r="J12" s="3306"/>
      <c r="K12" s="1116"/>
      <c r="L12" s="2036" t="s">
        <v>1983</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1" t="s">
        <v>1981</v>
      </c>
      <c r="C13" s="752">
        <f>ROUND(C16*D16*E16*F16*G16*H16*I16*J16,4)</f>
        <v>0</v>
      </c>
      <c r="D13" s="2032" t="s">
        <v>1982</v>
      </c>
      <c r="E13" s="2033"/>
      <c r="F13" s="2033"/>
      <c r="G13" s="2034"/>
      <c r="H13" s="2034"/>
      <c r="I13" s="2034"/>
      <c r="J13" s="2035"/>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3451" t="s">
        <v>1984</v>
      </c>
      <c r="C14" s="2038" t="s">
        <v>1985</v>
      </c>
      <c r="D14" s="1347" t="s">
        <v>1986</v>
      </c>
      <c r="E14" s="27" t="s">
        <v>1987</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3452"/>
      <c r="C15" s="2040"/>
      <c r="D15" s="2041"/>
      <c r="E15" s="2042"/>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1988</v>
      </c>
      <c r="C16" s="3313"/>
      <c r="D16" s="3313"/>
      <c r="E16" s="3313"/>
      <c r="F16" s="3313">
        <v>1</v>
      </c>
      <c r="G16" s="3313">
        <v>1</v>
      </c>
      <c r="H16" s="3313">
        <v>1</v>
      </c>
      <c r="I16" s="3313">
        <v>1</v>
      </c>
      <c r="J16" s="3314">
        <v>1</v>
      </c>
      <c r="K16" s="1116"/>
      <c r="L16" s="1994"/>
      <c r="M16" s="1994"/>
      <c r="N16" s="1994"/>
      <c r="O16" s="1994"/>
      <c r="P16" s="1994"/>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450"/>
      <c r="C18" s="3323"/>
      <c r="D18" s="3318" t="s">
        <v>3247</v>
      </c>
      <c r="E18" s="3324"/>
      <c r="F18" s="3319" t="s">
        <v>3250</v>
      </c>
      <c r="G18" s="3323">
        <f>ROUND(1-(1/(POWER(1+G24,E18))),4)</f>
        <v>0</v>
      </c>
      <c r="H18" s="3319" t="s">
        <v>3252</v>
      </c>
      <c r="I18" s="3323">
        <f>ROUND(1-(1/(POWER(1+G24,J24))),4)</f>
        <v>0.88249999999999995</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3248</v>
      </c>
      <c r="E19" s="3333"/>
      <c r="F19" s="3334" t="s">
        <v>3251</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675" t="s">
        <v>3253</v>
      </c>
      <c r="B20" s="167" t="s">
        <v>1993</v>
      </c>
      <c r="C20" s="3320">
        <f>ROUND(IF(F21="与级别开发程度一致",0,(G21-E21)/C21),0)</f>
        <v>0</v>
      </c>
      <c r="D20" s="3336" t="s">
        <v>1997</v>
      </c>
      <c r="E20" s="3337"/>
      <c r="F20" s="3681" t="s">
        <v>1994</v>
      </c>
      <c r="G20" s="3682"/>
      <c r="H20" s="3321" t="s">
        <v>3430</v>
      </c>
      <c r="I20" s="3321" t="s">
        <v>3431</v>
      </c>
      <c r="J20" s="3322" t="s">
        <v>3432</v>
      </c>
      <c r="K20" s="2044" t="s">
        <v>3433</v>
      </c>
      <c r="L20" s="2044" t="s">
        <v>3434</v>
      </c>
      <c r="M20" s="2044" t="s">
        <v>3435</v>
      </c>
      <c r="N20" s="2044" t="s">
        <v>3436</v>
      </c>
      <c r="O20" s="2045" t="s">
        <v>3437</v>
      </c>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26.25" thickBot="1">
      <c r="A21" s="3676"/>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3438</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40</v>
      </c>
      <c r="O21" s="2164">
        <f>SUMPRODUCT((七通一平=O20)*(修正!B1:M1=G2)*(修正!B8:M16))</f>
        <v>15</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1999</v>
      </c>
      <c r="C22" s="2157">
        <f>SUMIF(修正!C20:C51,E3,修正!E20:E51)</f>
        <v>1</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58">
        <v>44197</v>
      </c>
      <c r="F23" s="2051" t="s">
        <v>2002</v>
      </c>
      <c r="G23" s="759">
        <f>'数据-取费表'!B2</f>
        <v>45118</v>
      </c>
      <c r="H23" s="3338" t="s">
        <v>3255</v>
      </c>
      <c r="I23" s="3339" t="str">
        <f>IF(H23="季度增幅（自定义）",SUMIF(N25:N28,E2,O25:O28),"")</f>
        <v/>
      </c>
      <c r="J23" s="3441" t="s">
        <v>3254</v>
      </c>
      <c r="K23" s="1122"/>
      <c r="L23" s="2052" t="s">
        <v>2003</v>
      </c>
      <c r="M23" s="1325">
        <f>ROUND(SUMIF(地价!B2:G2,E2,地价!B16:G16),0)</f>
        <v>350</v>
      </c>
      <c r="N23" s="2053" t="s">
        <v>2004</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1">
        <f>ROUND(POWER(1+G24,J24-I24)*(POWER(1+G24,I24)-1)/(POWER(1+G24,J24)-1),4)</f>
        <v>0.86080000000000001</v>
      </c>
      <c r="D24" s="2057" t="s">
        <v>2006</v>
      </c>
      <c r="E24" s="1332">
        <f>存贷款利率!E23/100</f>
        <v>4.3499999999999997E-2</v>
      </c>
      <c r="F24" s="2057" t="s">
        <v>1998</v>
      </c>
      <c r="G24" s="765">
        <f>SUMIF(M30:Q30,E2,M33:Q33)</f>
        <v>5.5E-2</v>
      </c>
      <c r="H24" s="2057" t="s">
        <v>2007</v>
      </c>
      <c r="I24" s="766">
        <f>SUMIF('数据-取费表'!C6:C15,E2,'数据-取费表'!F6:F15)/COUNTIF('数据-取费表'!C6:C15,E2)</f>
        <v>26.63</v>
      </c>
      <c r="J24" s="767">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3441</v>
      </c>
      <c r="C25" s="3459">
        <f>IF(B25="容积率修正",IF(G3&lt;10,D26,J26),C27)</f>
        <v>1.5019</v>
      </c>
      <c r="D25" s="2064"/>
      <c r="E25" s="2064"/>
      <c r="F25" s="2064"/>
      <c r="G25" s="2064"/>
      <c r="H25" s="2064"/>
      <c r="I25" s="2064"/>
      <c r="J25" s="2065"/>
      <c r="K25" s="1122"/>
      <c r="L25" s="2783"/>
      <c r="M25" s="2783"/>
      <c r="N25" s="2066" t="s">
        <v>2012</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0" t="s">
        <v>3256</v>
      </c>
      <c r="D26" s="3458">
        <f>IF(E26=G26,F26,IF(G3&lt;10,ROUND(F26+(H26-F26)*(G3-E26)/(G26-E26),4),"——"))</f>
        <v>0.90680000000000005</v>
      </c>
      <c r="E26" s="749">
        <f>ROUNDDOWN(G3,1)</f>
        <v>5</v>
      </c>
      <c r="F26" s="34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9">
        <f>ROUNDUP(G3,1)</f>
        <v>5.0999999999999996</v>
      </c>
      <c r="H26" s="34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0" t="s">
        <v>3257</v>
      </c>
      <c r="J26" s="769" t="str">
        <f>IF(G3&gt;=10,D115,"——")</f>
        <v>——</v>
      </c>
      <c r="K26" s="1122"/>
      <c r="L26" s="2783"/>
      <c r="M26" s="2783"/>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8">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7">
        <f>SUMIF(A47:A101,E2,B47:B101)</f>
        <v>1.0426</v>
      </c>
      <c r="D28" s="2049"/>
      <c r="E28" s="2074"/>
      <c r="F28" s="2074"/>
      <c r="G28" s="2074"/>
      <c r="H28" s="2074"/>
      <c r="I28" s="2074"/>
      <c r="J28" s="2075"/>
      <c r="K28" s="1122"/>
      <c r="L28" s="2783"/>
      <c r="M28" s="2783"/>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2"/>
      <c r="D29" s="2021"/>
      <c r="E29" s="2021"/>
      <c r="F29" s="2078"/>
      <c r="G29" s="2021"/>
      <c r="H29" s="2021"/>
      <c r="I29" s="2021"/>
      <c r="J29" s="2022"/>
      <c r="K29" s="1116"/>
      <c r="L29" s="1994"/>
      <c r="M29" s="1994"/>
      <c r="N29" s="2780" t="s">
        <v>2022</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9198</v>
      </c>
      <c r="D30" s="2080"/>
      <c r="E30" s="2043"/>
      <c r="F30" s="2081"/>
      <c r="G30" s="2043"/>
      <c r="H30" s="2043"/>
      <c r="I30" s="2043"/>
      <c r="J30" s="2082"/>
      <c r="K30" s="1116"/>
      <c r="L30" s="3346" t="s">
        <v>1935</v>
      </c>
      <c r="M30" s="3347" t="s">
        <v>1989</v>
      </c>
      <c r="N30" s="3347" t="s">
        <v>1990</v>
      </c>
      <c r="O30" s="3347" t="s">
        <v>1991</v>
      </c>
      <c r="P30" s="3347" t="s">
        <v>1992</v>
      </c>
      <c r="Q30" s="3350"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3">
        <f>E34+SUM(I37:I42)</f>
        <v>0</v>
      </c>
      <c r="D31" s="2084"/>
      <c r="E31" s="2085"/>
      <c r="F31" s="2086"/>
      <c r="G31" s="2085"/>
      <c r="H31" s="2085"/>
      <c r="I31" s="2085"/>
      <c r="J31" s="2087"/>
      <c r="K31" s="1116"/>
      <c r="L31" s="3348" t="s">
        <v>1995</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49" t="s">
        <v>1998</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33039</v>
      </c>
      <c r="D33" s="2095">
        <f>'数据-汇总表'!F20</f>
        <v>2784.03</v>
      </c>
      <c r="E33" s="770">
        <f>ROUND(C33*D33/10000,0)</f>
        <v>9198</v>
      </c>
      <c r="F33" s="3341" t="s">
        <v>3259</v>
      </c>
      <c r="G33" s="2096"/>
      <c r="H33" s="2096"/>
      <c r="I33" s="2096"/>
      <c r="J33" s="2097"/>
      <c r="K33" s="1116"/>
      <c r="L33" s="3344" t="s">
        <v>3262</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0">
        <f>ROUND(IF(B25="楼层修正",SUM(V2:V16)*M40,C34*D34/10000),0)</f>
        <v>0</v>
      </c>
      <c r="F34" s="2101" t="s">
        <v>2031</v>
      </c>
      <c r="G34" s="2102"/>
      <c r="H34" s="2102"/>
      <c r="I34" s="2102"/>
      <c r="J34" s="2103"/>
      <c r="K34" s="1116"/>
      <c r="L34" s="3344" t="s">
        <v>3263</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2" t="s">
        <v>3260</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3264</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679"/>
      <c r="B37" s="2110" t="s">
        <v>2035</v>
      </c>
      <c r="C37" s="175">
        <f>ROUND(D5*C22*C23*C24*C28*F37,0)</f>
        <v>13199</v>
      </c>
      <c r="D37" s="2095"/>
      <c r="E37" s="171">
        <f>ROUND(C37*D37/10000,0)</f>
        <v>0</v>
      </c>
      <c r="F37" s="171">
        <f>SUMIF(修正!A57:A68,G2,修正!B57:B68)</f>
        <v>0.6</v>
      </c>
      <c r="G37" s="171">
        <f>ROUND(IF(E2="工业",C37*$M$42,C37*$M$41),0)</f>
        <v>3300</v>
      </c>
      <c r="H37" s="171">
        <f>D37</f>
        <v>0</v>
      </c>
      <c r="I37" s="171">
        <f>ROUND(G37*H37/10000,0)</f>
        <v>0</v>
      </c>
      <c r="J37" s="3007"/>
      <c r="K37" s="3354" t="s">
        <v>3265</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680"/>
      <c r="B38" s="2038" t="s">
        <v>2036</v>
      </c>
      <c r="C38" s="175">
        <f>ROUND(D5*C22*C23*C24*C28*F38,0)</f>
        <v>6599</v>
      </c>
      <c r="D38" s="2095"/>
      <c r="E38" s="171">
        <f t="shared" ref="E38:E42" si="4">ROUND(C38*D38/10000,0)</f>
        <v>0</v>
      </c>
      <c r="F38" s="171">
        <f>SUMIF(修正!A57:A68,G2,修正!C57:C68)</f>
        <v>0.3</v>
      </c>
      <c r="G38" s="171">
        <f>ROUND(IF(E2="工业",C38*$M$42,C38*$M$41),0)</f>
        <v>1650</v>
      </c>
      <c r="H38" s="171">
        <f t="shared" ref="H38:H42" si="5">D38</f>
        <v>0</v>
      </c>
      <c r="I38" s="171">
        <f t="shared" ref="I38:I42" si="6">ROUND(G38*H38/10000,0)</f>
        <v>0</v>
      </c>
      <c r="J38" s="346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680"/>
      <c r="B39" s="2038" t="s">
        <v>3258</v>
      </c>
      <c r="C39" s="175">
        <f>ROUND(D5*C22*C23*C24*C28*F39,0)</f>
        <v>5500</v>
      </c>
      <c r="D39" s="2095"/>
      <c r="E39" s="171">
        <f t="shared" si="4"/>
        <v>0</v>
      </c>
      <c r="F39" s="171">
        <f>SUMIF(修正!A57:A68,G2,修正!D57:D68)</f>
        <v>0.25</v>
      </c>
      <c r="G39" s="171">
        <f>ROUND(IF(E2="工业",C39*$M$42,C39*$M$41),0)</f>
        <v>1375</v>
      </c>
      <c r="H39" s="171">
        <f t="shared" si="5"/>
        <v>0</v>
      </c>
      <c r="I39" s="171">
        <f t="shared" si="6"/>
        <v>0</v>
      </c>
      <c r="J39" s="346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5500</v>
      </c>
      <c r="D40" s="2095"/>
      <c r="E40" s="171">
        <f t="shared" si="4"/>
        <v>0</v>
      </c>
      <c r="F40" s="175">
        <f>SUMIF(修正!A57:A68,G2,修正!E57:E68)</f>
        <v>0.25</v>
      </c>
      <c r="G40" s="171">
        <f>ROUND(IF(E2="工业",C40*$M$42,C40*$M$41),0)</f>
        <v>1375</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5" t="s">
        <v>3266</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1.0426</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0"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24.75">
      <c r="A50" s="2127" t="s">
        <v>2051</v>
      </c>
      <c r="B50" s="2130" t="str">
        <f>估价对象房地状况!C4</f>
        <v>较好</v>
      </c>
      <c r="C50" s="2041" t="s">
        <v>3402</v>
      </c>
      <c r="D50" s="1062">
        <f t="shared" ref="D50:D58" si="7">SUMIF($J$49:$N$49,C50,J50:N50)</f>
        <v>1.29E-2</v>
      </c>
      <c r="E50" s="741">
        <f>ROUND(SUM(D50:D58),4)</f>
        <v>4.2599999999999999E-2</v>
      </c>
      <c r="F50" s="1811">
        <f>IF(E2="商业",SUMIF(L1:L12,G2,N1:N12),"——")</f>
        <v>8.5999999999999993E-2</v>
      </c>
      <c r="G50" s="1060">
        <v>1.29E-2</v>
      </c>
      <c r="H50" s="1063">
        <f t="shared" ref="H50:H58" si="8">IFERROR(ROUNDDOWN($F$50*I50/2,4),"——")</f>
        <v>1.29E-2</v>
      </c>
      <c r="I50" s="3362">
        <v>0.3</v>
      </c>
      <c r="J50" s="1061">
        <f t="shared" ref="J50:J58" si="9">K50+$G50</f>
        <v>2.58E-2</v>
      </c>
      <c r="K50" s="1061">
        <f t="shared" ref="K50:K58" si="10">$L50+$G50</f>
        <v>1.29E-2</v>
      </c>
      <c r="L50" s="1061">
        <v>0</v>
      </c>
      <c r="M50" s="1061">
        <f t="shared" ref="M50:N58" si="11">L50-$G50</f>
        <v>-1.29E-2</v>
      </c>
      <c r="N50" s="1061">
        <f t="shared" si="11"/>
        <v>-2.58E-2</v>
      </c>
      <c r="AA50" s="1117"/>
      <c r="AB50" s="1117"/>
      <c r="AC50" s="1117"/>
      <c r="AD50" s="1117"/>
      <c r="AE50" s="1117"/>
      <c r="AF50" s="1117"/>
      <c r="AG50" s="1117"/>
      <c r="AH50" s="1117"/>
      <c r="AI50" s="1117"/>
      <c r="AJ50" s="1117"/>
      <c r="AK50" s="1117"/>
    </row>
    <row r="51" spans="1:37" s="1116" customFormat="1" ht="14.25">
      <c r="A51" s="2127" t="s">
        <v>2052</v>
      </c>
      <c r="B51" s="2131" t="str">
        <f>估价对象房地状况!C18</f>
        <v>较好</v>
      </c>
      <c r="C51" s="2041" t="s">
        <v>3402</v>
      </c>
      <c r="D51" s="1062">
        <f t="shared" si="7"/>
        <v>9.4000000000000004E-3</v>
      </c>
      <c r="E51" s="742"/>
      <c r="F51" s="1811"/>
      <c r="G51" s="1060">
        <v>9.4000000000000004E-3</v>
      </c>
      <c r="H51" s="1063">
        <f t="shared" si="8"/>
        <v>9.4000000000000004E-3</v>
      </c>
      <c r="I51" s="3362">
        <v>0.22</v>
      </c>
      <c r="J51" s="1061">
        <f t="shared" si="9"/>
        <v>1.8800000000000001E-2</v>
      </c>
      <c r="K51" s="1061">
        <f t="shared" si="10"/>
        <v>9.4000000000000004E-3</v>
      </c>
      <c r="L51" s="1061">
        <v>0</v>
      </c>
      <c r="M51" s="1061">
        <f t="shared" si="11"/>
        <v>-9.4000000000000004E-3</v>
      </c>
      <c r="N51" s="1061">
        <f t="shared" si="11"/>
        <v>-1.8800000000000001E-2</v>
      </c>
      <c r="AA51" s="1117"/>
      <c r="AB51" s="1117"/>
      <c r="AC51" s="1117"/>
      <c r="AD51" s="1117"/>
      <c r="AE51" s="1117"/>
      <c r="AF51" s="1117"/>
      <c r="AG51" s="1117"/>
      <c r="AH51" s="1117"/>
      <c r="AI51" s="1117"/>
      <c r="AJ51" s="1117"/>
      <c r="AK51" s="1117"/>
    </row>
    <row r="52" spans="1:37" s="1116" customFormat="1" ht="36">
      <c r="A52" s="3364" t="s">
        <v>3268</v>
      </c>
      <c r="B52" s="2131">
        <f>估价对象房地状况!C19</f>
        <v>0</v>
      </c>
      <c r="C52" s="2041" t="s">
        <v>3402</v>
      </c>
      <c r="D52" s="1062">
        <f t="shared" si="7"/>
        <v>5.1000000000000004E-3</v>
      </c>
      <c r="E52" s="742"/>
      <c r="F52" s="1811"/>
      <c r="G52" s="1060">
        <v>5.1000000000000004E-3</v>
      </c>
      <c r="H52" s="1063">
        <f t="shared" si="8"/>
        <v>5.1000000000000004E-3</v>
      </c>
      <c r="I52" s="3362">
        <v>0.12</v>
      </c>
      <c r="J52" s="1061">
        <f t="shared" si="9"/>
        <v>1.0200000000000001E-2</v>
      </c>
      <c r="K52" s="1061">
        <f t="shared" si="10"/>
        <v>5.1000000000000004E-3</v>
      </c>
      <c r="L52" s="1061">
        <v>0</v>
      </c>
      <c r="M52" s="1061">
        <f t="shared" si="11"/>
        <v>-5.1000000000000004E-3</v>
      </c>
      <c r="N52" s="1061">
        <f t="shared" si="11"/>
        <v>-1.0200000000000001E-2</v>
      </c>
      <c r="AA52" s="1117"/>
      <c r="AB52" s="1117"/>
      <c r="AC52" s="1117"/>
      <c r="AD52" s="1117"/>
      <c r="AE52" s="1117"/>
      <c r="AF52" s="1117"/>
      <c r="AG52" s="1117"/>
      <c r="AH52" s="1117"/>
      <c r="AI52" s="1117"/>
      <c r="AJ52" s="1117"/>
      <c r="AK52" s="1117"/>
    </row>
    <row r="53" spans="1:37" s="1116" customFormat="1" ht="36.75">
      <c r="A53" s="2127" t="s">
        <v>2053</v>
      </c>
      <c r="B53" s="2132" t="s">
        <v>2054</v>
      </c>
      <c r="C53" s="2041" t="s">
        <v>3402</v>
      </c>
      <c r="D53" s="1062">
        <f t="shared" si="7"/>
        <v>2.0999999999999999E-3</v>
      </c>
      <c r="E53" s="742"/>
      <c r="F53" s="1811"/>
      <c r="G53" s="1060">
        <v>2.0999999999999999E-3</v>
      </c>
      <c r="H53" s="1063">
        <f t="shared" si="8"/>
        <v>2.0999999999999999E-3</v>
      </c>
      <c r="I53" s="3362">
        <v>0.05</v>
      </c>
      <c r="J53" s="1061">
        <f t="shared" si="9"/>
        <v>4.1999999999999997E-3</v>
      </c>
      <c r="K53" s="1061">
        <f t="shared" si="10"/>
        <v>2.0999999999999999E-3</v>
      </c>
      <c r="L53" s="1061">
        <v>0</v>
      </c>
      <c r="M53" s="1061">
        <f t="shared" si="11"/>
        <v>-2.0999999999999999E-3</v>
      </c>
      <c r="N53" s="1061">
        <f t="shared" si="11"/>
        <v>-4.1999999999999997E-3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3439</v>
      </c>
      <c r="D54" s="1062">
        <f t="shared" si="7"/>
        <v>0</v>
      </c>
      <c r="E54" s="742"/>
      <c r="F54" s="1811"/>
      <c r="G54" s="1060">
        <v>3.3999999999999998E-3</v>
      </c>
      <c r="H54" s="1063">
        <f t="shared" si="8"/>
        <v>3.3999999999999998E-3</v>
      </c>
      <c r="I54" s="3362">
        <v>0.08</v>
      </c>
      <c r="J54" s="1061">
        <f t="shared" si="9"/>
        <v>6.7999999999999996E-3</v>
      </c>
      <c r="K54" s="1061">
        <f t="shared" si="10"/>
        <v>3.3999999999999998E-3</v>
      </c>
      <c r="L54" s="1061">
        <v>0</v>
      </c>
      <c r="M54" s="1061">
        <f t="shared" si="11"/>
        <v>-3.3999999999999998E-3</v>
      </c>
      <c r="N54" s="1061">
        <f t="shared" si="11"/>
        <v>-6.7999999999999996E-3</v>
      </c>
      <c r="AA54" s="1117"/>
      <c r="AB54" s="1117"/>
      <c r="AC54" s="1117"/>
      <c r="AD54" s="1117"/>
      <c r="AE54" s="1117"/>
      <c r="AF54" s="1117"/>
      <c r="AG54" s="1117"/>
      <c r="AH54" s="1117"/>
      <c r="AI54" s="1117"/>
      <c r="AJ54" s="1117"/>
      <c r="AK54" s="1117"/>
    </row>
    <row r="55" spans="1:37" s="1116" customFormat="1" ht="24">
      <c r="A55" s="2127" t="s">
        <v>2056</v>
      </c>
      <c r="B55" s="2133" t="s">
        <v>2057</v>
      </c>
      <c r="C55" s="2041" t="s">
        <v>3402</v>
      </c>
      <c r="D55" s="1062">
        <f t="shared" si="7"/>
        <v>2.0999999999999999E-3</v>
      </c>
      <c r="E55" s="742"/>
      <c r="F55" s="1811"/>
      <c r="G55" s="1060">
        <v>2.0999999999999999E-3</v>
      </c>
      <c r="H55" s="1063">
        <f t="shared" si="8"/>
        <v>2.0999999999999999E-3</v>
      </c>
      <c r="I55" s="3362">
        <v>0.05</v>
      </c>
      <c r="J55" s="1061">
        <f t="shared" si="9"/>
        <v>4.1999999999999997E-3</v>
      </c>
      <c r="K55" s="1061">
        <f t="shared" si="10"/>
        <v>2.0999999999999999E-3</v>
      </c>
      <c r="L55" s="1061">
        <v>0</v>
      </c>
      <c r="M55" s="1061">
        <f t="shared" si="11"/>
        <v>-2.0999999999999999E-3</v>
      </c>
      <c r="N55" s="1061">
        <f t="shared" si="11"/>
        <v>-4.1999999999999997E-3</v>
      </c>
      <c r="AA55" s="1117"/>
      <c r="AB55" s="1117"/>
      <c r="AC55" s="1117"/>
      <c r="AD55" s="1117"/>
      <c r="AE55" s="1117"/>
      <c r="AF55" s="1117"/>
      <c r="AG55" s="1117"/>
      <c r="AH55" s="1117"/>
      <c r="AI55" s="1117"/>
      <c r="AJ55" s="1117"/>
      <c r="AK55" s="1117"/>
    </row>
    <row r="56" spans="1:37" s="1116" customFormat="1" ht="24">
      <c r="A56" s="2134" t="s">
        <v>2058</v>
      </c>
      <c r="B56" s="1323" t="str">
        <f>估价对象房地状况!C21</f>
        <v>较好</v>
      </c>
      <c r="C56" s="2041" t="s">
        <v>3402</v>
      </c>
      <c r="D56" s="1062">
        <f t="shared" si="7"/>
        <v>2.0999999999999999E-3</v>
      </c>
      <c r="E56" s="742"/>
      <c r="F56" s="1811"/>
      <c r="G56" s="1060">
        <v>2.0999999999999999E-3</v>
      </c>
      <c r="H56" s="1063">
        <f t="shared" si="8"/>
        <v>2.0999999999999999E-3</v>
      </c>
      <c r="I56" s="3362">
        <v>0.05</v>
      </c>
      <c r="J56" s="1061">
        <f t="shared" si="9"/>
        <v>4.1999999999999997E-3</v>
      </c>
      <c r="K56" s="1061">
        <f t="shared" si="10"/>
        <v>2.0999999999999999E-3</v>
      </c>
      <c r="L56" s="1061">
        <v>0</v>
      </c>
      <c r="M56" s="1061">
        <f t="shared" si="11"/>
        <v>-2.0999999999999999E-3</v>
      </c>
      <c r="N56" s="1061">
        <f t="shared" si="11"/>
        <v>-4.1999999999999997E-3</v>
      </c>
      <c r="AA56" s="1117"/>
      <c r="AB56" s="1117"/>
      <c r="AC56" s="1117"/>
      <c r="AD56" s="1117"/>
      <c r="AE56" s="1117"/>
      <c r="AF56" s="1117"/>
      <c r="AG56" s="1117"/>
      <c r="AH56" s="1117"/>
      <c r="AI56" s="1117"/>
      <c r="AJ56" s="1117"/>
      <c r="AK56" s="1117"/>
    </row>
    <row r="57" spans="1:37" s="1116" customFormat="1" ht="24">
      <c r="A57" s="2134" t="s">
        <v>2059</v>
      </c>
      <c r="B57" s="2131" t="str">
        <f>估价对象房地状况!C22</f>
        <v>七通</v>
      </c>
      <c r="C57" s="2041" t="s">
        <v>3440</v>
      </c>
      <c r="D57" s="1062">
        <f t="shared" si="7"/>
        <v>6.7999999999999996E-3</v>
      </c>
      <c r="E57" s="742"/>
      <c r="F57" s="1811"/>
      <c r="G57" s="1060">
        <v>3.3999999999999998E-3</v>
      </c>
      <c r="H57" s="1063">
        <f t="shared" si="8"/>
        <v>3.3999999999999998E-3</v>
      </c>
      <c r="I57" s="3362">
        <v>0.08</v>
      </c>
      <c r="J57" s="1061">
        <f t="shared" si="9"/>
        <v>6.7999999999999996E-3</v>
      </c>
      <c r="K57" s="1061">
        <f t="shared" si="10"/>
        <v>3.3999999999999998E-3</v>
      </c>
      <c r="L57" s="1061">
        <v>0</v>
      </c>
      <c r="M57" s="1061">
        <f t="shared" si="11"/>
        <v>-3.3999999999999998E-3</v>
      </c>
      <c r="N57" s="1061">
        <f t="shared" si="11"/>
        <v>-6.7999999999999996E-3</v>
      </c>
      <c r="AA57" s="1117"/>
      <c r="AB57" s="1117"/>
      <c r="AC57" s="1117"/>
      <c r="AD57" s="1117"/>
      <c r="AE57" s="1117"/>
      <c r="AF57" s="1117"/>
      <c r="AG57" s="1117"/>
      <c r="AH57" s="1117"/>
      <c r="AI57" s="1117"/>
      <c r="AJ57" s="1117"/>
      <c r="AK57" s="1117"/>
    </row>
    <row r="58" spans="1:37" s="1116" customFormat="1" ht="24.75" thickBot="1">
      <c r="A58" s="2135" t="s">
        <v>2060</v>
      </c>
      <c r="B58" s="2136" t="str">
        <f>估价对象房地状况!C20</f>
        <v>较好</v>
      </c>
      <c r="C58" s="2041" t="s">
        <v>3402</v>
      </c>
      <c r="D58" s="1062">
        <f t="shared" si="7"/>
        <v>2.0999999999999999E-3</v>
      </c>
      <c r="E58" s="743"/>
      <c r="F58" s="1811"/>
      <c r="G58" s="1060">
        <v>2.0999999999999999E-3</v>
      </c>
      <c r="H58" s="1063">
        <f t="shared" si="8"/>
        <v>2.0999999999999999E-3</v>
      </c>
      <c r="I58" s="3363">
        <v>0.05</v>
      </c>
      <c r="J58" s="1061">
        <f t="shared" si="9"/>
        <v>4.1999999999999997E-3</v>
      </c>
      <c r="K58" s="1061">
        <f t="shared" si="10"/>
        <v>2.0999999999999999E-3</v>
      </c>
      <c r="L58" s="1061">
        <v>0</v>
      </c>
      <c r="M58" s="1061">
        <f t="shared" si="11"/>
        <v>-2.0999999999999999E-3</v>
      </c>
      <c r="N58" s="1061">
        <f t="shared" si="11"/>
        <v>-4.1999999999999997E-3</v>
      </c>
      <c r="AA58" s="1117"/>
      <c r="AB58" s="1117"/>
      <c r="AC58" s="1117"/>
      <c r="AD58" s="1117"/>
      <c r="AE58" s="1117"/>
      <c r="AF58" s="1117"/>
      <c r="AG58" s="1117"/>
      <c r="AH58" s="1117"/>
      <c r="AI58" s="1117"/>
      <c r="AJ58" s="1117"/>
      <c r="AK58" s="1117"/>
    </row>
    <row r="59" spans="1:37" s="1116" customFormat="1" ht="15">
      <c r="A59" s="2123" t="s">
        <v>2061</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0"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24">
      <c r="A61" s="2127" t="s">
        <v>2063</v>
      </c>
      <c r="B61" s="2130" t="str">
        <f>估价对象房地状况!C17</f>
        <v>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7" t="s">
        <v>2052</v>
      </c>
      <c r="B62" s="2131" t="str">
        <f>估价对象房地状况!C18</f>
        <v>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3268</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7" t="s">
        <v>2058</v>
      </c>
      <c r="B67" s="1323" t="str">
        <f>估价对象房地状况!C21</f>
        <v>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7" t="s">
        <v>2059</v>
      </c>
      <c r="B68" s="1323" t="str">
        <f>估价对象房地状况!C22</f>
        <v>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5" t="s">
        <v>2060</v>
      </c>
      <c r="B69" s="2137" t="str">
        <f>估价对象房地状况!C20</f>
        <v>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0"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24">
      <c r="A72" s="2127" t="s">
        <v>2065</v>
      </c>
      <c r="B72" s="2130" t="str">
        <f>估价对象房地状况!C15</f>
        <v>较好</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7" t="s">
        <v>2052</v>
      </c>
      <c r="B73" s="2131" t="str">
        <f>估价对象房地状况!C18</f>
        <v>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3268</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c r="A76" s="2127" t="s">
        <v>2058</v>
      </c>
      <c r="B76" s="1323" t="str">
        <f>估价对象房地状况!C21</f>
        <v>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4">
      <c r="A77" s="2127" t="s">
        <v>2059</v>
      </c>
      <c r="B77" s="1323" t="str">
        <f>估价对象房地状况!C22</f>
        <v>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24">
      <c r="A79" s="2127" t="s">
        <v>2060</v>
      </c>
      <c r="B79" s="2130" t="str">
        <f>估价对象房地状况!C20</f>
        <v>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v>
      </c>
      <c r="C81" s="738"/>
      <c r="D81" s="738"/>
      <c r="E81" s="739"/>
      <c r="F81" s="2126"/>
      <c r="G81" s="3"/>
      <c r="H81" s="3"/>
      <c r="I81" s="3"/>
      <c r="J81" s="4"/>
      <c r="K81" s="4"/>
      <c r="L81" s="4"/>
      <c r="M81" s="4"/>
      <c r="N81" s="4"/>
      <c r="Z81" s="1995"/>
      <c r="AA81" s="2050"/>
      <c r="AG81" s="1118"/>
      <c r="AK81" s="2050"/>
    </row>
    <row r="82" spans="1:37" ht="24.75">
      <c r="A82" s="2127" t="s">
        <v>2043</v>
      </c>
      <c r="B82" s="1348"/>
      <c r="C82" s="1348" t="s">
        <v>2045</v>
      </c>
      <c r="D82" s="1348" t="s">
        <v>2046</v>
      </c>
      <c r="E82" s="740"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3268</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2066</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2058</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2059</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2056</v>
      </c>
      <c r="B89" s="2133" t="s">
        <v>2070</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2071</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2609</v>
      </c>
      <c r="B91" s="3373">
        <f>1+E93</f>
        <v>1</v>
      </c>
      <c r="C91" s="3366"/>
      <c r="D91" s="3367"/>
      <c r="E91" s="1811"/>
      <c r="F91" s="1811"/>
      <c r="G91" s="3368"/>
      <c r="H91" s="3369"/>
      <c r="I91" s="3370"/>
      <c r="J91" s="3371"/>
      <c r="K91" s="3371"/>
      <c r="L91" s="3371"/>
      <c r="M91" s="3371"/>
      <c r="N91" s="3371"/>
    </row>
    <row r="92" spans="1:37" ht="24.75">
      <c r="A92" s="3374" t="s">
        <v>2043</v>
      </c>
      <c r="B92" s="3361"/>
      <c r="C92" s="3361" t="s">
        <v>2045</v>
      </c>
      <c r="D92" s="3361" t="s">
        <v>2046</v>
      </c>
      <c r="E92" s="3343" t="s">
        <v>2047</v>
      </c>
      <c r="F92" s="3376" t="s">
        <v>3282</v>
      </c>
      <c r="G92" s="3361" t="s">
        <v>1988</v>
      </c>
      <c r="H92" s="3383" t="s">
        <v>3286</v>
      </c>
      <c r="I92" s="3361" t="s">
        <v>2050</v>
      </c>
      <c r="J92" s="3384" t="s">
        <v>1720</v>
      </c>
      <c r="K92" s="3384" t="s">
        <v>1721</v>
      </c>
      <c r="L92" s="3384" t="s">
        <v>1722</v>
      </c>
      <c r="M92" s="3384" t="s">
        <v>1723</v>
      </c>
      <c r="N92" s="3384" t="s">
        <v>1724</v>
      </c>
    </row>
    <row r="93" spans="1:37" ht="24">
      <c r="A93" s="3364" t="s">
        <v>3271</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2052</v>
      </c>
      <c r="B94" s="3365" t="str">
        <f>估价对象房地状况!C18</f>
        <v>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2053</v>
      </c>
      <c r="B96" s="3380" t="s">
        <v>3284</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2055</v>
      </c>
      <c r="B97" s="3365">
        <f>估价对象房地状况!C24</f>
        <v>0</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2056</v>
      </c>
      <c r="B98" s="3381" t="s">
        <v>3285</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4">
      <c r="A99" s="3374" t="s">
        <v>2058</v>
      </c>
      <c r="B99" s="3365" t="str">
        <f>估价对象房地状况!C21</f>
        <v>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4">
      <c r="A100" s="3374" t="s">
        <v>2059</v>
      </c>
      <c r="B100" s="3365" t="str">
        <f>估价对象房地状况!C22</f>
        <v>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2060</v>
      </c>
      <c r="B101" s="3382" t="str">
        <f>估价对象房地状况!C20</f>
        <v>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677" t="s">
        <v>3293</v>
      </c>
      <c r="B103" s="3677"/>
      <c r="C103" s="3677"/>
      <c r="D103" s="3677"/>
      <c r="E103" s="3677"/>
      <c r="F103" s="3677"/>
      <c r="G103" s="3677"/>
      <c r="H103" s="3677"/>
      <c r="I103" s="3677"/>
      <c r="J103" s="3677"/>
      <c r="K103" s="3464"/>
      <c r="L103" s="3464"/>
      <c r="M103" s="3464"/>
      <c r="N103" s="3464"/>
    </row>
    <row r="104" spans="1:14">
      <c r="A104" s="3678" t="s">
        <v>3294</v>
      </c>
      <c r="B104" s="3678" t="s">
        <v>3295</v>
      </c>
      <c r="C104" s="3386" t="s">
        <v>3296</v>
      </c>
      <c r="D104" s="3387"/>
      <c r="E104" s="3387"/>
      <c r="F104" s="3387"/>
      <c r="G104" s="3387"/>
      <c r="H104" s="3387"/>
      <c r="I104" s="3387"/>
      <c r="J104" s="3388"/>
      <c r="K104" s="3389"/>
      <c r="L104" s="3389"/>
      <c r="M104" s="3389"/>
      <c r="N104" s="3389"/>
    </row>
    <row r="105" spans="1:14">
      <c r="A105" s="3678"/>
      <c r="B105" s="3678"/>
      <c r="C105" s="3465" t="s">
        <v>1960</v>
      </c>
      <c r="D105" s="3465" t="s">
        <v>1961</v>
      </c>
      <c r="E105" s="3465" t="s">
        <v>1962</v>
      </c>
      <c r="F105" s="3465" t="s">
        <v>1963</v>
      </c>
      <c r="G105" s="3465" t="s">
        <v>1964</v>
      </c>
      <c r="H105" s="3465" t="s">
        <v>1965</v>
      </c>
      <c r="I105" s="3465" t="s">
        <v>1966</v>
      </c>
      <c r="J105" s="3465" t="s">
        <v>1967</v>
      </c>
      <c r="K105" s="3465" t="s">
        <v>1968</v>
      </c>
      <c r="L105" s="3465" t="s">
        <v>1969</v>
      </c>
      <c r="M105" s="3465" t="s">
        <v>1970</v>
      </c>
      <c r="N105" s="3465" t="s">
        <v>1971</v>
      </c>
    </row>
    <row r="106" spans="1:14">
      <c r="A106" s="3664" t="s">
        <v>3309</v>
      </c>
      <c r="B106" s="3465">
        <v>1</v>
      </c>
      <c r="C106" s="3465">
        <v>1.5206</v>
      </c>
      <c r="D106" s="3465">
        <v>1.5206</v>
      </c>
      <c r="E106" s="3465">
        <v>1.5019</v>
      </c>
      <c r="F106" s="3465">
        <v>1.5019</v>
      </c>
      <c r="G106" s="3465">
        <v>1.5019</v>
      </c>
      <c r="H106" s="3465">
        <v>1.5019</v>
      </c>
      <c r="I106" s="3465">
        <v>1.5019</v>
      </c>
      <c r="J106" s="3465">
        <v>1.5418000000000001</v>
      </c>
      <c r="K106" s="3465">
        <v>1.5418000000000001</v>
      </c>
      <c r="L106" s="3465">
        <v>1.5418000000000001</v>
      </c>
      <c r="M106" s="3465">
        <v>1.5418000000000001</v>
      </c>
      <c r="N106" s="3465">
        <v>1.5418000000000001</v>
      </c>
    </row>
    <row r="107" spans="1:14">
      <c r="A107" s="3665"/>
      <c r="B107" s="3465">
        <v>2</v>
      </c>
      <c r="C107" s="3465">
        <v>1.2072000000000001</v>
      </c>
      <c r="D107" s="3465">
        <v>1.2072000000000001</v>
      </c>
      <c r="E107" s="3465">
        <v>1.1838</v>
      </c>
      <c r="F107" s="3465">
        <v>1.1838</v>
      </c>
      <c r="G107" s="3465">
        <v>1.1838</v>
      </c>
      <c r="H107" s="3465">
        <v>1.1838</v>
      </c>
      <c r="I107" s="3465">
        <v>1.1838</v>
      </c>
      <c r="J107" s="3465">
        <v>1.1883999999999999</v>
      </c>
      <c r="K107" s="3465">
        <v>1.1883999999999999</v>
      </c>
      <c r="L107" s="3465">
        <v>1.1883999999999999</v>
      </c>
      <c r="M107" s="3465">
        <v>1.1883999999999999</v>
      </c>
      <c r="N107" s="3465">
        <v>1.1883999999999999</v>
      </c>
    </row>
    <row r="108" spans="1:14">
      <c r="A108" s="3665"/>
      <c r="B108" s="3465">
        <v>3</v>
      </c>
      <c r="C108" s="3465">
        <v>1.0430999999999999</v>
      </c>
      <c r="D108" s="3465">
        <v>1.0430999999999999</v>
      </c>
      <c r="E108" s="3465">
        <v>1.0004999999999999</v>
      </c>
      <c r="F108" s="3465">
        <v>1.0004999999999999</v>
      </c>
      <c r="G108" s="3465">
        <v>1.0004999999999999</v>
      </c>
      <c r="H108" s="3465">
        <v>1.0004999999999999</v>
      </c>
      <c r="I108" s="3465">
        <v>1.0004999999999999</v>
      </c>
      <c r="J108" s="3465">
        <v>0.96940000000000004</v>
      </c>
      <c r="K108" s="3465">
        <v>0.96940000000000004</v>
      </c>
      <c r="L108" s="3465">
        <v>0.96940000000000004</v>
      </c>
      <c r="M108" s="3465">
        <v>0.96940000000000004</v>
      </c>
      <c r="N108" s="3465">
        <v>0.96940000000000004</v>
      </c>
    </row>
    <row r="109" spans="1:14">
      <c r="A109" s="3665"/>
      <c r="B109" s="3465">
        <v>4</v>
      </c>
      <c r="C109" s="3465">
        <v>0.94389999999999996</v>
      </c>
      <c r="D109" s="3465">
        <v>0.94389999999999996</v>
      </c>
      <c r="E109" s="3465">
        <v>0.88239999999999996</v>
      </c>
      <c r="F109" s="3465">
        <v>0.88239999999999996</v>
      </c>
      <c r="G109" s="3465">
        <v>0.88239999999999996</v>
      </c>
      <c r="H109" s="3465">
        <v>0.88239999999999996</v>
      </c>
      <c r="I109" s="3465">
        <v>0.88239999999999996</v>
      </c>
      <c r="J109" s="3465">
        <v>0.82299999999999995</v>
      </c>
      <c r="K109" s="3465">
        <v>0.82299999999999995</v>
      </c>
      <c r="L109" s="3465">
        <v>0.82299999999999995</v>
      </c>
      <c r="M109" s="3465">
        <v>0.82299999999999995</v>
      </c>
      <c r="N109" s="3465">
        <v>0.82299999999999995</v>
      </c>
    </row>
    <row r="110" spans="1:14">
      <c r="A110" s="3665"/>
      <c r="B110" s="3465">
        <v>5</v>
      </c>
      <c r="C110" s="3465">
        <v>0.89959999999999996</v>
      </c>
      <c r="D110" s="3465">
        <v>0.89959999999999996</v>
      </c>
      <c r="E110" s="3465">
        <v>0.84799999999999998</v>
      </c>
      <c r="F110" s="3465">
        <v>0.84799999999999998</v>
      </c>
      <c r="G110" s="3465">
        <v>0.84799999999999998</v>
      </c>
      <c r="H110" s="3465">
        <v>0.84799999999999998</v>
      </c>
      <c r="I110" s="3465">
        <v>0.84799999999999998</v>
      </c>
      <c r="J110" s="3465">
        <v>0.74980000000000002</v>
      </c>
      <c r="K110" s="3465">
        <v>0.74980000000000002</v>
      </c>
      <c r="L110" s="3465">
        <v>0.74980000000000002</v>
      </c>
      <c r="M110" s="3465">
        <v>0.74980000000000002</v>
      </c>
      <c r="N110" s="3465">
        <v>0.74980000000000002</v>
      </c>
    </row>
    <row r="111" spans="1:14">
      <c r="A111" s="3665"/>
      <c r="B111" s="3465"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666"/>
      <c r="B112" s="3465">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667" t="s">
        <v>3310</v>
      </c>
      <c r="B113" s="3667"/>
      <c r="C113" s="3667"/>
      <c r="D113" s="3667"/>
      <c r="E113" s="3667"/>
      <c r="F113" s="3667"/>
      <c r="G113" s="3667"/>
      <c r="H113" s="3667"/>
      <c r="I113" s="3667"/>
      <c r="J113" s="3667"/>
      <c r="K113" s="3462"/>
      <c r="L113" s="3462"/>
      <c r="M113" s="3462"/>
      <c r="N113" s="346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5.07</v>
      </c>
      <c r="C116" s="3395" t="s">
        <v>3312</v>
      </c>
      <c r="D116" s="3396">
        <f>SUMPRODUCT((A118:A122=F116)*(B117:M117=H116)*B118:M122)</f>
        <v>0.878</v>
      </c>
      <c r="E116" s="1997" t="s">
        <v>1935</v>
      </c>
      <c r="F116" s="3397" t="str">
        <f>E2</f>
        <v>商业</v>
      </c>
      <c r="G116" s="1997" t="s">
        <v>1936</v>
      </c>
      <c r="H116" s="3397" t="str">
        <f>G2</f>
        <v>三级</v>
      </c>
      <c r="I116" s="1997"/>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1989</v>
      </c>
      <c r="B118" s="3383">
        <f>ROUND(0.9968-0.011*B116,4)</f>
        <v>0.94099999999999995</v>
      </c>
      <c r="C118" s="3383">
        <f>B118</f>
        <v>0.94099999999999995</v>
      </c>
      <c r="D118" s="3383">
        <f>ROUND(0.949-0.014*B116,4)</f>
        <v>0.878</v>
      </c>
      <c r="E118" s="3383">
        <f>D118</f>
        <v>0.878</v>
      </c>
      <c r="F118" s="3383">
        <f>E118</f>
        <v>0.878</v>
      </c>
      <c r="G118" s="3383">
        <f>F118</f>
        <v>0.878</v>
      </c>
      <c r="H118" s="3383">
        <f>G118</f>
        <v>0.878</v>
      </c>
      <c r="I118" s="3383">
        <f>ROUND(0.8486-0.018*B116,4)</f>
        <v>0.75729999999999997</v>
      </c>
      <c r="J118" s="3383">
        <f t="shared" ref="J118:M122" si="35">I118</f>
        <v>0.75729999999999997</v>
      </c>
      <c r="K118" s="3383">
        <f t="shared" si="35"/>
        <v>0.75729999999999997</v>
      </c>
      <c r="L118" s="3383">
        <f t="shared" si="35"/>
        <v>0.75729999999999997</v>
      </c>
      <c r="M118" s="3406">
        <f t="shared" si="35"/>
        <v>0.75729999999999997</v>
      </c>
      <c r="N118" s="3393"/>
    </row>
    <row r="119" spans="1:14">
      <c r="A119" s="3405" t="s">
        <v>1990</v>
      </c>
      <c r="B119" s="3383">
        <f>ROUND(0.993-0.0112*B116,4)</f>
        <v>0.93620000000000003</v>
      </c>
      <c r="C119" s="3383">
        <f>B119</f>
        <v>0.93620000000000003</v>
      </c>
      <c r="D119" s="3383">
        <f>ROUND(0.9415-0.0142*B116,4)</f>
        <v>0.86950000000000005</v>
      </c>
      <c r="E119" s="3383">
        <f t="shared" ref="E119:H120" si="36">D119</f>
        <v>0.86950000000000005</v>
      </c>
      <c r="F119" s="3383">
        <f t="shared" si="36"/>
        <v>0.86950000000000005</v>
      </c>
      <c r="G119" s="3383">
        <f t="shared" si="36"/>
        <v>0.86950000000000005</v>
      </c>
      <c r="H119" s="3383">
        <f t="shared" si="36"/>
        <v>0.86950000000000005</v>
      </c>
      <c r="I119" s="3383">
        <f>ROUND(0.838-0.0182*B116,4)</f>
        <v>0.74570000000000003</v>
      </c>
      <c r="J119" s="3383">
        <f t="shared" si="35"/>
        <v>0.74570000000000003</v>
      </c>
      <c r="K119" s="3383">
        <f t="shared" si="35"/>
        <v>0.74570000000000003</v>
      </c>
      <c r="L119" s="3383">
        <f t="shared" si="35"/>
        <v>0.74570000000000003</v>
      </c>
      <c r="M119" s="3406">
        <f t="shared" si="35"/>
        <v>0.74570000000000003</v>
      </c>
      <c r="N119" s="3393"/>
    </row>
    <row r="120" spans="1:14">
      <c r="A120" s="3405" t="s">
        <v>1991</v>
      </c>
      <c r="B120" s="3383">
        <f>ROUND(0.9448-0.0115*B116,4)</f>
        <v>0.88649999999999995</v>
      </c>
      <c r="C120" s="3383">
        <f>B120</f>
        <v>0.88649999999999995</v>
      </c>
      <c r="D120" s="3383">
        <f>ROUND(0.937-0.0145*B116,4)</f>
        <v>0.86350000000000005</v>
      </c>
      <c r="E120" s="3383">
        <f t="shared" si="36"/>
        <v>0.86350000000000005</v>
      </c>
      <c r="F120" s="3383">
        <f t="shared" si="36"/>
        <v>0.86350000000000005</v>
      </c>
      <c r="G120" s="3383">
        <f t="shared" si="36"/>
        <v>0.86350000000000005</v>
      </c>
      <c r="H120" s="3383">
        <f t="shared" si="36"/>
        <v>0.86350000000000005</v>
      </c>
      <c r="I120" s="3383">
        <f>ROUND(0.7965-0.0185*B116,4)</f>
        <v>0.70269999999999999</v>
      </c>
      <c r="J120" s="3383">
        <f t="shared" si="35"/>
        <v>0.70269999999999999</v>
      </c>
      <c r="K120" s="3383">
        <f t="shared" si="35"/>
        <v>0.70269999999999999</v>
      </c>
      <c r="L120" s="3383">
        <f t="shared" si="35"/>
        <v>0.70269999999999999</v>
      </c>
      <c r="M120" s="3406">
        <f t="shared" si="35"/>
        <v>0.70269999999999999</v>
      </c>
      <c r="N120" s="3393"/>
    </row>
    <row r="121" spans="1:14" ht="13.5" thickBot="1">
      <c r="A121" s="3407" t="s">
        <v>1992</v>
      </c>
      <c r="B121" s="3408">
        <f>ROUND(0.7836-0.012*B116,4)</f>
        <v>0.7228</v>
      </c>
      <c r="C121" s="3408">
        <f>B121</f>
        <v>0.7228</v>
      </c>
      <c r="D121" s="3408">
        <f>ROUND(0.753-0.015*B116,4)</f>
        <v>0.67700000000000005</v>
      </c>
      <c r="E121" s="3408">
        <f>D121</f>
        <v>0.67700000000000005</v>
      </c>
      <c r="F121" s="3408">
        <f>E121</f>
        <v>0.67700000000000005</v>
      </c>
      <c r="G121" s="3408">
        <f>ROUND(0.6612-0.018*B116,4)</f>
        <v>0.56989999999999996</v>
      </c>
      <c r="H121" s="3408">
        <f>G121</f>
        <v>0.56989999999999996</v>
      </c>
      <c r="I121" s="3408">
        <f>ROUND(0.5905-0.019*B116,4)</f>
        <v>0.49419999999999997</v>
      </c>
      <c r="J121" s="3408">
        <f t="shared" si="35"/>
        <v>0.49419999999999997</v>
      </c>
      <c r="K121" s="3408">
        <f t="shared" si="35"/>
        <v>0.49419999999999997</v>
      </c>
      <c r="L121" s="3408">
        <f t="shared" si="35"/>
        <v>0.49419999999999997</v>
      </c>
      <c r="M121" s="3409">
        <f t="shared" si="35"/>
        <v>0.49419999999999997</v>
      </c>
      <c r="N121" s="3393"/>
    </row>
    <row r="122" spans="1:14">
      <c r="A122" s="3410" t="s">
        <v>2609</v>
      </c>
      <c r="B122" s="3383">
        <f>ROUND(0.9404-0.0106*B116,4)</f>
        <v>0.88670000000000004</v>
      </c>
      <c r="C122" s="3383">
        <f>B122</f>
        <v>0.88670000000000004</v>
      </c>
      <c r="D122" s="3383">
        <f>ROUND(0.8955-0.0135*B116,4)</f>
        <v>0.82709999999999995</v>
      </c>
      <c r="E122" s="3383">
        <f t="shared" ref="E122:H122" si="37">D122</f>
        <v>0.82709999999999995</v>
      </c>
      <c r="F122" s="3383">
        <f t="shared" si="37"/>
        <v>0.82709999999999995</v>
      </c>
      <c r="G122" s="3383">
        <f t="shared" si="37"/>
        <v>0.82709999999999995</v>
      </c>
      <c r="H122" s="3383">
        <f t="shared" si="37"/>
        <v>0.82709999999999995</v>
      </c>
      <c r="I122" s="3383">
        <f>ROUND(0.7632-0.0166*B116,4)</f>
        <v>0.67900000000000005</v>
      </c>
      <c r="J122" s="3383">
        <f t="shared" si="35"/>
        <v>0.67900000000000005</v>
      </c>
      <c r="K122" s="3383">
        <f t="shared" si="35"/>
        <v>0.67900000000000005</v>
      </c>
      <c r="L122" s="3383">
        <f t="shared" si="35"/>
        <v>0.67900000000000005</v>
      </c>
      <c r="M122" s="3406">
        <f t="shared" si="35"/>
        <v>0.67900000000000005</v>
      </c>
      <c r="N122" s="3393"/>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P35" sqref="P3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2"/>
      <c r="G1" s="1486"/>
      <c r="H1" s="1486"/>
      <c r="I1" s="1486"/>
      <c r="J1" s="1486"/>
      <c r="K1" s="1486"/>
      <c r="L1" s="1486"/>
      <c r="M1" s="1486"/>
      <c r="N1" s="1486"/>
      <c r="O1" s="1486"/>
      <c r="P1" s="1486"/>
      <c r="Q1" s="1486"/>
      <c r="R1" s="1486"/>
      <c r="S1" s="1486"/>
    </row>
    <row r="2" spans="1:22" ht="15.75">
      <c r="A2" s="1867" t="s">
        <v>1461</v>
      </c>
      <c r="B2" s="1868">
        <f ca="1">SUMIF(B6:B13,"&lt;&gt;#ref!",B6:B13)</f>
        <v>561406</v>
      </c>
      <c r="C2" s="1869" t="s">
        <v>1650</v>
      </c>
      <c r="D2" s="1870" t="s">
        <v>1651</v>
      </c>
      <c r="E2" s="2602">
        <f>SUM(E6:E13)</f>
        <v>132744.37</v>
      </c>
      <c r="F2" s="2702"/>
      <c r="G2" s="1486"/>
      <c r="H2" s="1486"/>
      <c r="I2" s="1486"/>
      <c r="J2" s="1486"/>
      <c r="K2" s="1486"/>
      <c r="L2" s="1486"/>
      <c r="M2" s="1486"/>
      <c r="N2" s="1486"/>
      <c r="O2" s="1486"/>
      <c r="P2" s="1486"/>
      <c r="Q2" s="1486"/>
      <c r="R2" s="1486"/>
      <c r="S2" s="1486"/>
    </row>
    <row r="3" spans="1:22" ht="15.75">
      <c r="A3" s="1867" t="s">
        <v>686</v>
      </c>
      <c r="B3" s="2596">
        <f ca="1">ROUND(B2*10000/E2,0)</f>
        <v>42292</v>
      </c>
      <c r="C3" s="1869" t="s">
        <v>1658</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1652</v>
      </c>
      <c r="B5" s="3707" t="s">
        <v>1653</v>
      </c>
      <c r="C5" s="3708"/>
      <c r="D5" s="2703"/>
      <c r="E5" s="1871" t="s">
        <v>1654</v>
      </c>
      <c r="F5" s="1872" t="s">
        <v>1655</v>
      </c>
      <c r="G5" s="1486"/>
      <c r="H5" s="1486"/>
      <c r="I5" s="1486"/>
      <c r="J5" s="1486"/>
      <c r="K5" s="1486"/>
      <c r="L5" s="1486"/>
      <c r="M5" s="1486"/>
      <c r="N5" s="1486"/>
      <c r="O5" s="1486"/>
      <c r="P5" s="1486"/>
      <c r="Q5" s="1486"/>
      <c r="R5" s="1486"/>
      <c r="S5" s="1486"/>
    </row>
    <row r="6" spans="1:22">
      <c r="A6" s="2599" t="str">
        <f>'数据-取费表'!AN6</f>
        <v>收益法-办公</v>
      </c>
      <c r="B6" s="2597">
        <f ca="1">IF(F6="是",'数据-取费表'!AO6,0)</f>
        <v>534832</v>
      </c>
      <c r="C6" s="1869" t="s">
        <v>1650</v>
      </c>
      <c r="D6" s="2704"/>
      <c r="E6" s="2601">
        <f>IF(OR(A6=0,F6="否"),0,'数据-取费表'!K6+'数据-取费表'!S6)</f>
        <v>93830.64</v>
      </c>
      <c r="F6" s="1873" t="s">
        <v>1656</v>
      </c>
      <c r="G6" s="1486"/>
      <c r="H6" s="1486"/>
      <c r="I6" s="1486"/>
      <c r="J6" s="1486"/>
      <c r="K6" s="1486"/>
      <c r="L6" s="1486"/>
      <c r="M6" s="1486"/>
      <c r="N6" s="1486"/>
      <c r="O6" s="1486"/>
      <c r="P6" s="1486"/>
      <c r="Q6" s="1486"/>
      <c r="R6" s="1486"/>
      <c r="S6" s="1486"/>
    </row>
    <row r="7" spans="1:22">
      <c r="A7" s="2599" t="str">
        <f>'数据-取费表'!AN7</f>
        <v>收益法-商业</v>
      </c>
      <c r="B7" s="2597">
        <f ca="1">IF(F7="是",'数据-取费表'!AO7,0)</f>
        <v>13331</v>
      </c>
      <c r="C7" s="1869" t="s">
        <v>1650</v>
      </c>
      <c r="D7" s="2704"/>
      <c r="E7" s="2601">
        <f>IF(OR(A7=0,F7="否"),0,'数据-取费表'!K7+'数据-取费表'!S7)</f>
        <v>6109.66</v>
      </c>
      <c r="F7" s="1873" t="s">
        <v>1656</v>
      </c>
      <c r="G7" s="1486"/>
      <c r="H7" s="1486"/>
      <c r="I7" s="1486"/>
      <c r="J7" s="1486"/>
      <c r="K7" s="1486"/>
      <c r="L7" s="1486"/>
      <c r="M7" s="1486"/>
      <c r="N7" s="1486"/>
      <c r="O7" s="1486"/>
      <c r="P7" s="1486"/>
      <c r="Q7" s="1486"/>
      <c r="R7" s="1486"/>
      <c r="S7" s="1486"/>
    </row>
    <row r="8" spans="1:22">
      <c r="A8" s="2599" t="str">
        <f>'数据-取费表'!AN8</f>
        <v>收益法-车库</v>
      </c>
      <c r="B8" s="2597">
        <f ca="1">IF(F8="是",'数据-取费表'!AO8,0)</f>
        <v>13243</v>
      </c>
      <c r="C8" s="1869" t="s">
        <v>1650</v>
      </c>
      <c r="D8" s="2704"/>
      <c r="E8" s="2601">
        <f>IF(OR(A8=0,F8="否"),0,'数据-取费表'!K8+'数据-取费表'!S8)</f>
        <v>32804.07</v>
      </c>
      <c r="F8" s="1873" t="s">
        <v>1656</v>
      </c>
      <c r="G8" s="1486"/>
      <c r="H8" s="1486"/>
      <c r="I8" s="1486"/>
      <c r="J8" s="1486"/>
      <c r="K8" s="1486"/>
      <c r="L8" s="1486"/>
      <c r="M8" s="1486"/>
      <c r="N8" s="1486"/>
      <c r="O8" s="1486"/>
      <c r="P8" s="1486"/>
      <c r="Q8" s="1486"/>
      <c r="R8" s="1486"/>
      <c r="S8" s="1486"/>
    </row>
    <row r="9" spans="1:22">
      <c r="A9" s="2599">
        <f>'数据-取费表'!AN9</f>
        <v>0</v>
      </c>
      <c r="B9" s="2597">
        <f>IF(F9="是",'数据-取费表'!AO9,0)</f>
        <v>0</v>
      </c>
      <c r="C9" s="1869" t="s">
        <v>1650</v>
      </c>
      <c r="D9" s="2704"/>
      <c r="E9" s="2601">
        <f>IF(OR(A9=0,F9="否"),0,'数据-取费表'!K9+'数据-取费表'!S9)</f>
        <v>0</v>
      </c>
      <c r="F9" s="1873"/>
      <c r="G9" s="1486"/>
      <c r="H9" s="1486"/>
      <c r="I9" s="1486"/>
      <c r="J9" s="1486"/>
      <c r="K9" s="1486"/>
      <c r="L9" s="1486"/>
      <c r="M9" s="1486"/>
      <c r="N9" s="1486"/>
      <c r="O9" s="1486"/>
      <c r="P9" s="1486"/>
      <c r="Q9" s="1486"/>
      <c r="R9" s="1486"/>
      <c r="S9" s="1486"/>
    </row>
    <row r="10" spans="1:22">
      <c r="A10" s="2599">
        <f>'数据-取费表'!AN10</f>
        <v>0</v>
      </c>
      <c r="B10" s="2597">
        <f>IF(F10="是",'数据-取费表'!AO10,0)</f>
        <v>0</v>
      </c>
      <c r="C10" s="1869" t="s">
        <v>1650</v>
      </c>
      <c r="D10" s="2704"/>
      <c r="E10" s="2601">
        <f>IF(OR(A10=0,F10="否"),0,'数据-取费表'!K10+'数据-取费表'!S10)</f>
        <v>0</v>
      </c>
      <c r="F10" s="1873"/>
      <c r="G10" s="1486"/>
      <c r="H10" s="1486"/>
      <c r="I10" s="1486"/>
      <c r="J10" s="1486"/>
      <c r="K10" s="1486"/>
      <c r="L10" s="1486"/>
      <c r="M10" s="1486"/>
      <c r="N10" s="1486"/>
      <c r="O10" s="1486"/>
      <c r="P10" s="1486"/>
      <c r="Q10" s="1486"/>
      <c r="R10" s="1486"/>
      <c r="S10" s="1486"/>
    </row>
    <row r="11" spans="1:22">
      <c r="A11" s="2599">
        <f>'数据-取费表'!AN11</f>
        <v>0</v>
      </c>
      <c r="B11" s="2597">
        <f>IF(F11="是",'数据-取费表'!AO11,0)</f>
        <v>0</v>
      </c>
      <c r="C11" s="1869" t="s">
        <v>1650</v>
      </c>
      <c r="D11" s="2704"/>
      <c r="E11" s="2601">
        <f>IF(OR(A11=0,F11="否"),0,'数据-取费表'!K11+'数据-取费表'!S11)</f>
        <v>0</v>
      </c>
      <c r="F11" s="1873"/>
      <c r="G11" s="1486"/>
      <c r="H11" s="1486"/>
      <c r="I11" s="1486"/>
      <c r="J11" s="1486"/>
      <c r="K11" s="1486"/>
      <c r="L11" s="1486"/>
      <c r="M11" s="1486"/>
      <c r="N11" s="1486"/>
      <c r="O11" s="1486"/>
      <c r="P11" s="1486"/>
      <c r="Q11" s="1486"/>
      <c r="R11" s="1486"/>
      <c r="S11" s="1486"/>
    </row>
    <row r="12" spans="1:22">
      <c r="A12" s="2599">
        <f>'数据-取费表'!AN12</f>
        <v>0</v>
      </c>
      <c r="B12" s="2597">
        <f>IF(F12="是",'数据-取费表'!AO12,0)</f>
        <v>0</v>
      </c>
      <c r="C12" s="1869" t="s">
        <v>1650</v>
      </c>
      <c r="D12" s="2704"/>
      <c r="E12" s="2601">
        <f>IF(OR(A12=0,F12="否"),0,'数据-取费表'!K12+'数据-取费表'!S12)</f>
        <v>0</v>
      </c>
      <c r="F12" s="1873"/>
      <c r="G12" s="1486"/>
      <c r="H12" s="1486"/>
      <c r="I12" s="1486"/>
      <c r="J12" s="1486"/>
      <c r="K12" s="1486"/>
      <c r="L12" s="1486"/>
      <c r="M12" s="1486"/>
      <c r="N12" s="1486"/>
      <c r="O12" s="1486"/>
      <c r="P12" s="1486"/>
      <c r="Q12" s="1486"/>
      <c r="R12" s="1486"/>
      <c r="S12" s="1486"/>
    </row>
    <row r="13" spans="1:22" ht="15" thickBot="1">
      <c r="A13" s="2600">
        <f>'数据-取费表'!AN13</f>
        <v>0</v>
      </c>
      <c r="B13" s="2597">
        <f>IF(F13="是",'数据-取费表'!AO13,0)</f>
        <v>0</v>
      </c>
      <c r="C13" s="1874" t="s">
        <v>1650</v>
      </c>
      <c r="D13" s="2705"/>
      <c r="E13" s="2601">
        <f>IF(OR(A13=0,F13="否"),0,'数据-取费表'!K13+'数据-取费表'!S13)</f>
        <v>0</v>
      </c>
      <c r="F13" s="1873"/>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7.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36.630000000000003</v>
      </c>
      <c r="G1" s="1375">
        <f>MATCH(C1,'数据-取费表'!A6:A16,0)+5</f>
        <v>6</v>
      </c>
      <c r="H1" s="2687"/>
      <c r="I1" s="3475">
        <f ca="1">C5+'收益法-商业'!B2+'收益法-车库'!B2</f>
        <v>57322</v>
      </c>
      <c r="J1" s="3476" t="s">
        <v>3418</v>
      </c>
      <c r="K1" s="3477" t="s">
        <v>3417</v>
      </c>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534832</v>
      </c>
      <c r="C2" s="1384" t="s">
        <v>805</v>
      </c>
      <c r="D2" s="1384"/>
      <c r="E2" s="1385"/>
      <c r="F2" s="1386"/>
      <c r="G2" s="2701"/>
      <c r="H2" s="2690"/>
      <c r="I2" s="2690"/>
      <c r="J2" s="3476" t="s">
        <v>3420</v>
      </c>
      <c r="K2" s="3476" t="s">
        <v>3419</v>
      </c>
      <c r="L2" s="2690"/>
      <c r="M2" s="2690"/>
    </row>
    <row r="3" spans="1:37" ht="27.75" customHeight="1" thickBot="1">
      <c r="A3" s="1387" t="s">
        <v>806</v>
      </c>
      <c r="B3" s="1388">
        <f ca="1">IF(ISERROR(B2*10000/F43),0,ROUND(B2*10000/F43,0))</f>
        <v>57210</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30748</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30710</v>
      </c>
      <c r="D6" s="155" t="s">
        <v>2107</v>
      </c>
      <c r="E6" s="302" t="s">
        <v>696</v>
      </c>
      <c r="F6" s="303">
        <f ca="1">INDIRECT("'数据-取费表'!u"&amp;$G$1)</f>
        <v>10</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1073" t="s">
        <v>697</v>
      </c>
      <c r="F7" s="303">
        <f ca="1">IF(INDIRECT("'数据-取费表'!ah"&amp;$G$1)="",INDIRECT("'数据-取费表'!k"&amp;$G$1),INDIRECT("'数据-取费表'!ah"&amp;$G$1))</f>
        <v>93486.01</v>
      </c>
      <c r="G7" s="1381"/>
      <c r="H7" s="304"/>
      <c r="I7" s="3684"/>
      <c r="J7" s="306"/>
      <c r="K7" s="307"/>
      <c r="L7" s="302" t="s">
        <v>697</v>
      </c>
      <c r="M7" s="303">
        <f ca="1">F7</f>
        <v>93486.01</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38</v>
      </c>
      <c r="D10" s="1363" t="s">
        <v>2115</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62029</v>
      </c>
      <c r="D13" s="1078" t="s">
        <v>705</v>
      </c>
      <c r="E13" s="1078"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48758</v>
      </c>
      <c r="D14" s="1342" t="s">
        <v>708</v>
      </c>
      <c r="E14" s="1339"/>
      <c r="F14" s="319"/>
      <c r="G14" s="1381"/>
      <c r="H14" s="979" t="s">
        <v>398</v>
      </c>
      <c r="I14" s="302" t="s">
        <v>709</v>
      </c>
      <c r="J14" s="21">
        <f ca="1">C29</f>
        <v>70488</v>
      </c>
      <c r="K14" s="12"/>
      <c r="L14" s="804"/>
      <c r="M14" s="805"/>
    </row>
    <row r="15" spans="1:37" s="1394" customFormat="1" ht="18" customHeight="1" thickBot="1">
      <c r="A15" s="979" t="s">
        <v>399</v>
      </c>
      <c r="B15" s="302" t="s">
        <v>710</v>
      </c>
      <c r="C15" s="21">
        <f ca="1">ROUND(C14*F15,0)</f>
        <v>2438</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729</v>
      </c>
      <c r="K16" s="1084" t="s">
        <v>715</v>
      </c>
      <c r="L16" s="1085"/>
      <c r="M16" s="1069"/>
    </row>
    <row r="17" spans="1:37" s="1394" customFormat="1" ht="18" customHeight="1">
      <c r="A17" s="979" t="s">
        <v>681</v>
      </c>
      <c r="B17" s="302" t="s">
        <v>716</v>
      </c>
      <c r="C17" s="21">
        <f ca="1">ROUND(F17*(F43+INDIRECT("'数据-取费表'!S"&amp;$G$1))/10000,0)</f>
        <v>1877</v>
      </c>
      <c r="D17" s="302" t="s">
        <v>717</v>
      </c>
      <c r="E17" s="302" t="s">
        <v>718</v>
      </c>
      <c r="F17" s="23">
        <f>'数据-取费表'!B35</f>
        <v>200</v>
      </c>
      <c r="G17" s="1393"/>
      <c r="H17" s="979" t="s">
        <v>398</v>
      </c>
      <c r="I17" s="302" t="s">
        <v>719</v>
      </c>
      <c r="J17" s="2313">
        <f ca="1">ROUND(IF(AND(项目基本情况!B11="自然人",项目基本情况!B10="北京市"),J6*M17/(1+'数据-取费表'!C42),J18+J19+J20),2)</f>
        <v>24.29</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731</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53804</v>
      </c>
      <c r="D19" s="131" t="s">
        <v>726</v>
      </c>
      <c r="E19" s="1357"/>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1076</v>
      </c>
      <c r="D20" s="323" t="s">
        <v>729</v>
      </c>
      <c r="E20" s="302" t="s">
        <v>712</v>
      </c>
      <c r="F20" s="322">
        <f>'数据-取费表'!B37</f>
        <v>0.02</v>
      </c>
      <c r="G20" s="1393"/>
      <c r="H20" s="979" t="s">
        <v>680</v>
      </c>
      <c r="I20" s="155" t="s">
        <v>730</v>
      </c>
      <c r="J20" s="22">
        <f ca="1">ROUND(M20*M21/10000,2)</f>
        <v>24.29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13491.96</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704.88</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1948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-729</v>
      </c>
      <c r="K25" s="1092" t="s">
        <v>753</v>
      </c>
      <c r="L25" s="1093"/>
      <c r="M25" s="1094"/>
    </row>
    <row r="26" spans="1:37">
      <c r="A26" s="979" t="s">
        <v>397</v>
      </c>
      <c r="B26" s="302" t="s">
        <v>754</v>
      </c>
      <c r="C26" s="21">
        <f ca="1">ROUND((C19+C20)*F26,0)</f>
        <v>8232</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70488</v>
      </c>
      <c r="D29" s="1089"/>
      <c r="E29" s="1087"/>
      <c r="F29" s="1090"/>
      <c r="G29" s="1393"/>
      <c r="H29" s="334" t="s">
        <v>396</v>
      </c>
      <c r="I29" s="335" t="s">
        <v>768</v>
      </c>
      <c r="J29" s="336">
        <f ca="1">ROUND(J26/(1+F40)^F41,0)</f>
        <v>0</v>
      </c>
      <c r="K29" s="337" t="s">
        <v>769</v>
      </c>
      <c r="L29" s="338"/>
      <c r="M29" s="339">
        <f ca="1">INDIRECT("'数据-取费表'!k"&amp;$G$1)</f>
        <v>93486.01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6246</v>
      </c>
      <c r="D30" s="1084" t="s">
        <v>715</v>
      </c>
      <c r="E30" s="1085"/>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5171.87</v>
      </c>
      <c r="D31" s="1342" t="s">
        <v>720</v>
      </c>
      <c r="E31" s="1341"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1637.87</v>
      </c>
      <c r="D32" s="1341"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3509.71</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24.29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13491.96</v>
      </c>
      <c r="G35" s="1381"/>
      <c r="H35" s="2692"/>
      <c r="I35" s="1395"/>
      <c r="J35" s="1396"/>
      <c r="K35" s="2696"/>
      <c r="L35" s="2695"/>
      <c r="M35" s="2695"/>
    </row>
    <row r="36" spans="1:18" ht="18" customHeight="1">
      <c r="A36" s="1099" t="s">
        <v>402</v>
      </c>
      <c r="B36" s="302" t="s">
        <v>738</v>
      </c>
      <c r="C36" s="21">
        <f ca="1">ROUND(C29*F36,2)</f>
        <v>704.88</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62.03</v>
      </c>
      <c r="D37" s="1341" t="s">
        <v>743</v>
      </c>
      <c r="E37" s="302" t="s">
        <v>744</v>
      </c>
      <c r="F37" s="330">
        <f ca="1">INDIRECT("'数据-取费表'!Al"&amp;$G$1)</f>
        <v>1E-3</v>
      </c>
      <c r="G37" s="1381"/>
      <c r="H37" s="2695"/>
      <c r="I37" s="1395"/>
      <c r="J37" s="1396"/>
      <c r="K37" s="2539"/>
      <c r="L37" s="2695"/>
      <c r="M37" s="2695"/>
    </row>
    <row r="38" spans="1:18" ht="18" customHeight="1" thickBot="1">
      <c r="A38" s="1086" t="s">
        <v>684</v>
      </c>
      <c r="B38" s="1087" t="s">
        <v>728</v>
      </c>
      <c r="C38" s="1088">
        <f ca="1">ROUND(C5*F38,2)</f>
        <v>307.48</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24502</v>
      </c>
      <c r="D39" s="1092" t="s">
        <v>773</v>
      </c>
      <c r="E39" s="1093"/>
      <c r="F39" s="1094"/>
      <c r="G39" s="1381"/>
      <c r="H39" s="2695"/>
      <c r="I39" s="1395"/>
      <c r="J39" s="1396"/>
      <c r="K39" s="2699"/>
      <c r="L39" s="2695"/>
      <c r="M39" s="2695"/>
    </row>
    <row r="40" spans="1:18" ht="18" customHeight="1">
      <c r="A40" s="299" t="s">
        <v>395</v>
      </c>
      <c r="B40" s="300" t="s">
        <v>774</v>
      </c>
      <c r="C40" s="301">
        <f ca="1">ROUND(C39*(1-((1+F42)/(1+F40))^F41)/(F40-F42),0)</f>
        <v>532838</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2.5000000000000001E-2</v>
      </c>
      <c r="G42" s="1381"/>
      <c r="H42" s="1188"/>
      <c r="I42" s="1395"/>
      <c r="J42" s="1396"/>
      <c r="K42" s="2539"/>
      <c r="L42" s="1188"/>
      <c r="M42" s="1188"/>
    </row>
    <row r="43" spans="1:18" ht="18" customHeight="1" thickBot="1">
      <c r="A43" s="334" t="s">
        <v>396</v>
      </c>
      <c r="B43" s="335" t="s">
        <v>776</v>
      </c>
      <c r="C43" s="336">
        <f ca="1">ROUND(C40*10000/F43,0)</f>
        <v>56997</v>
      </c>
      <c r="D43" s="337" t="s">
        <v>777</v>
      </c>
      <c r="E43" s="338" t="s">
        <v>778</v>
      </c>
      <c r="F43" s="339">
        <f ca="1">INDIRECT("'数据-取费表'!k"&amp;$G$1)</f>
        <v>93486.01</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-545196</v>
      </c>
      <c r="D46" s="1403" t="str">
        <f>C2</f>
        <v>万元</v>
      </c>
      <c r="E46" s="1397"/>
      <c r="F46" s="1397"/>
      <c r="I46" s="1404" t="s">
        <v>810</v>
      </c>
      <c r="J46" s="1405"/>
      <c r="K46" s="1406"/>
      <c r="L46" s="1407">
        <f ca="1">IF(M47="住宅",0,IF(L48&gt;J51,L60,J60))</f>
        <v>1994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532838</v>
      </c>
      <c r="R47" s="1417" t="s">
        <v>818</v>
      </c>
    </row>
    <row r="48" spans="1:18" s="1381" customFormat="1" ht="28.5" thickBot="1">
      <c r="A48" s="1107" t="s">
        <v>438</v>
      </c>
      <c r="B48" s="300" t="s">
        <v>692</v>
      </c>
      <c r="C48" s="1356">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1994</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f>'数据-取费表'!N19</f>
        <v>2016</v>
      </c>
      <c r="K49" s="1420" t="s">
        <v>824</v>
      </c>
      <c r="L49" s="1424"/>
      <c r="O49" s="1425" t="s">
        <v>405</v>
      </c>
      <c r="P49" s="1416" t="s">
        <v>825</v>
      </c>
      <c r="Q49" s="1417">
        <f ca="1">C29</f>
        <v>70488</v>
      </c>
      <c r="R49" s="1417" t="s">
        <v>818</v>
      </c>
    </row>
    <row r="50" spans="1:18" s="1381" customFormat="1" ht="13.5" thickBot="1">
      <c r="A50" s="973"/>
      <c r="B50" s="976"/>
      <c r="C50" s="1115"/>
      <c r="D50" s="950"/>
      <c r="E50" s="1053" t="s">
        <v>697</v>
      </c>
      <c r="F50" s="1054">
        <f ca="1">F7</f>
        <v>93486.01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372826</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86" t="s">
        <v>837</v>
      </c>
      <c r="L53" s="3687"/>
      <c r="O53" s="1415" t="s">
        <v>409</v>
      </c>
      <c r="P53" s="1416" t="s">
        <v>838</v>
      </c>
      <c r="Q53" s="1417">
        <f ca="1">Q47+Q48</f>
        <v>534832</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62029</v>
      </c>
      <c r="D56" s="1444"/>
      <c r="E56" s="1445"/>
      <c r="F56" s="1437"/>
      <c r="I56" s="1446" t="s">
        <v>842</v>
      </c>
      <c r="J56" s="1447" t="s">
        <v>3410</v>
      </c>
      <c r="K56" s="1418" t="s">
        <v>843</v>
      </c>
      <c r="L56" s="1421" t="str">
        <f ca="1">IF(L48&lt;J51,"——",L48-J53)</f>
        <v>——</v>
      </c>
      <c r="O56" s="1415" t="s">
        <v>403</v>
      </c>
      <c r="P56" s="1416" t="s">
        <v>817</v>
      </c>
      <c r="Q56" s="1417">
        <f ca="1">C40+J29</f>
        <v>532838</v>
      </c>
      <c r="R56" s="1417" t="s">
        <v>818</v>
      </c>
    </row>
    <row r="57" spans="1:18" s="1381" customFormat="1" ht="24.75" thickBot="1">
      <c r="A57" s="1448"/>
      <c r="B57" s="947" t="s">
        <v>767</v>
      </c>
      <c r="C57" s="238">
        <f ca="1">C29</f>
        <v>70488</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791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24</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28195</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1994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3335</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24.29</v>
      </c>
      <c r="D62" s="962" t="s">
        <v>786</v>
      </c>
      <c r="E62" s="947" t="s">
        <v>787</v>
      </c>
      <c r="F62" s="325">
        <f t="shared" si="0"/>
        <v>18</v>
      </c>
      <c r="I62" s="1459" t="s">
        <v>858</v>
      </c>
      <c r="J62" s="1460" t="s">
        <v>859</v>
      </c>
      <c r="K62" s="1460" t="s">
        <v>860</v>
      </c>
      <c r="L62" s="1460" t="s">
        <v>861</v>
      </c>
      <c r="M62" s="1461" t="s">
        <v>862</v>
      </c>
      <c r="O62" s="1415" t="s">
        <v>409</v>
      </c>
      <c r="P62" s="1416" t="s">
        <v>863</v>
      </c>
      <c r="Q62" s="1417">
        <f ca="1">Q56+Q57</f>
        <v>532838</v>
      </c>
      <c r="R62" s="1417" t="s">
        <v>410</v>
      </c>
    </row>
    <row r="63" spans="1:18" s="1381" customFormat="1" ht="13.5" thickBot="1">
      <c r="A63" s="326"/>
      <c r="B63" s="953"/>
      <c r="C63" s="26"/>
      <c r="D63" s="963"/>
      <c r="E63" s="947" t="s">
        <v>788</v>
      </c>
      <c r="F63" s="303">
        <f t="shared" ca="1" si="0"/>
        <v>13491.96</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704.88</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62.03</v>
      </c>
      <c r="D65" s="961" t="s">
        <v>743</v>
      </c>
      <c r="E65" s="947" t="s">
        <v>744</v>
      </c>
      <c r="F65" s="330">
        <f t="shared" ca="1" si="0"/>
        <v>1E-3</v>
      </c>
      <c r="I65" s="1459" t="s">
        <v>867</v>
      </c>
      <c r="J65" s="1460">
        <v>40</v>
      </c>
      <c r="K65" s="1460">
        <v>30</v>
      </c>
      <c r="L65" s="1460">
        <v>50</v>
      </c>
      <c r="M65" s="1462">
        <v>0.02</v>
      </c>
      <c r="O65" s="1415" t="s">
        <v>403</v>
      </c>
      <c r="P65" s="1416" t="s">
        <v>868</v>
      </c>
      <c r="Q65" s="1417">
        <f ca="1">C40+J29</f>
        <v>532838</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-791</v>
      </c>
      <c r="D67" s="960" t="s">
        <v>753</v>
      </c>
      <c r="E67" s="965"/>
      <c r="F67" s="966"/>
      <c r="O67" s="1425" t="s">
        <v>405</v>
      </c>
      <c r="P67" s="1416" t="s">
        <v>850</v>
      </c>
      <c r="Q67" s="1463">
        <f ca="1">L51</f>
        <v>372826</v>
      </c>
      <c r="R67" s="1417" t="s">
        <v>870</v>
      </c>
    </row>
    <row r="68" spans="1:18" s="1381" customFormat="1" ht="16.5" thickBot="1">
      <c r="A68" s="944" t="s">
        <v>395</v>
      </c>
      <c r="B68" s="945" t="s">
        <v>774</v>
      </c>
      <c r="C68" s="301">
        <f ca="1">ROUND(C67*(1-((1+F70)/(1+F68))^F69)/(F68-F70),0)</f>
        <v>-12358</v>
      </c>
      <c r="D68" s="962" t="s">
        <v>758</v>
      </c>
      <c r="E68" s="947" t="s">
        <v>759</v>
      </c>
      <c r="F68" s="312">
        <f ca="1">F40</f>
        <v>5.5E-2</v>
      </c>
      <c r="O68" s="1425" t="s">
        <v>406</v>
      </c>
      <c r="P68" s="1464" t="s">
        <v>871</v>
      </c>
      <c r="Q68" s="1417">
        <f ca="1">ROUND(Q69-Q70*Q71,0)</f>
        <v>20160</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24502</v>
      </c>
      <c r="R69" s="1417" t="s">
        <v>818</v>
      </c>
    </row>
    <row r="70" spans="1:18" s="1381" customFormat="1" ht="13.5" thickBot="1">
      <c r="A70" s="951"/>
      <c r="B70" s="952"/>
      <c r="C70" s="310"/>
      <c r="D70" s="963"/>
      <c r="E70" s="947" t="s">
        <v>766</v>
      </c>
      <c r="F70" s="1051"/>
      <c r="O70" s="1425" t="s">
        <v>412</v>
      </c>
      <c r="P70" s="1464" t="s">
        <v>873</v>
      </c>
      <c r="Q70" s="1417">
        <f ca="1">C13</f>
        <v>62029</v>
      </c>
      <c r="R70" s="1417" t="s">
        <v>818</v>
      </c>
    </row>
    <row r="71" spans="1:18" s="1381" customFormat="1" ht="13.5" thickBot="1">
      <c r="A71" s="968" t="s">
        <v>396</v>
      </c>
      <c r="B71" s="969" t="s">
        <v>776</v>
      </c>
      <c r="C71" s="336">
        <f ca="1">ROUND(C68*10000/F71,0)</f>
        <v>-1322</v>
      </c>
      <c r="D71" s="970" t="s">
        <v>777</v>
      </c>
      <c r="E71" s="971" t="s">
        <v>778</v>
      </c>
      <c r="F71" s="339">
        <f ca="1">F43</f>
        <v>93486.01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4342</v>
      </c>
      <c r="D75" s="1381"/>
      <c r="E75" s="1381"/>
      <c r="F75" s="1381"/>
      <c r="K75" s="1399"/>
      <c r="L75" s="1381"/>
      <c r="O75" s="1415" t="s">
        <v>409</v>
      </c>
      <c r="P75" s="1416" t="s">
        <v>838</v>
      </c>
      <c r="Q75" s="1417">
        <f ca="1">Q65+Q66</f>
        <v>532838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26.63</v>
      </c>
      <c r="G1" s="1375">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13331</v>
      </c>
      <c r="C2" s="1384" t="s">
        <v>805</v>
      </c>
      <c r="D2" s="1384"/>
      <c r="E2" s="1385"/>
      <c r="F2" s="1386"/>
      <c r="G2" s="2701"/>
      <c r="H2" s="2690"/>
      <c r="I2" s="2690"/>
      <c r="J2" s="2690"/>
      <c r="K2" s="2691"/>
      <c r="L2" s="2690"/>
      <c r="M2" s="2690"/>
    </row>
    <row r="3" spans="1:37" ht="18" customHeight="1" thickBot="1">
      <c r="A3" s="1387" t="s">
        <v>806</v>
      </c>
      <c r="B3" s="1388">
        <f ca="1">IF(ISERROR(B2*10000/F43),0,ROUND(B2*10000/F43,0))</f>
        <v>21900</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1001</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1000</v>
      </c>
      <c r="D6" s="155" t="s">
        <v>2107</v>
      </c>
      <c r="E6" s="302" t="s">
        <v>696</v>
      </c>
      <c r="F6" s="303">
        <f ca="1">INDIRECT("'数据-取费表'!u"&amp;$G$1)</f>
        <v>5</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3448" t="s">
        <v>697</v>
      </c>
      <c r="F7" s="303">
        <f ca="1">IF(INDIRECT("'数据-取费表'!ah"&amp;$G$1)="",INDIRECT("'数据-取费表'!k"&amp;$G$1),INDIRECT("'数据-取费表'!ah"&amp;$G$1))</f>
        <v>6087.22</v>
      </c>
      <c r="G7" s="1381"/>
      <c r="H7" s="304"/>
      <c r="I7" s="3684"/>
      <c r="J7" s="306"/>
      <c r="K7" s="307"/>
      <c r="L7" s="302" t="s">
        <v>697</v>
      </c>
      <c r="M7" s="303">
        <f ca="1">F7</f>
        <v>6087.22</v>
      </c>
    </row>
    <row r="8" spans="1:37" ht="18" customHeight="1">
      <c r="A8" s="304"/>
      <c r="B8" s="3684"/>
      <c r="C8" s="306"/>
      <c r="D8" s="307"/>
      <c r="E8" s="302" t="s">
        <v>698</v>
      </c>
      <c r="F8" s="303">
        <f ca="1">INDIRECT("'数据-取费表'!ai"&amp;$G$1)</f>
        <v>365</v>
      </c>
      <c r="G8" s="1381"/>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4037</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3174</v>
      </c>
      <c r="D14" s="3455" t="s">
        <v>708</v>
      </c>
      <c r="E14" s="3454"/>
      <c r="F14" s="319"/>
      <c r="G14" s="1381"/>
      <c r="H14" s="979" t="s">
        <v>398</v>
      </c>
      <c r="I14" s="302" t="s">
        <v>709</v>
      </c>
      <c r="J14" s="21">
        <f ca="1">C29</f>
        <v>4588</v>
      </c>
      <c r="K14" s="3447"/>
      <c r="L14" s="804"/>
      <c r="M14" s="805"/>
    </row>
    <row r="15" spans="1:37" s="1394" customFormat="1" ht="18" customHeight="1" thickBot="1">
      <c r="A15" s="979" t="s">
        <v>399</v>
      </c>
      <c r="B15" s="302" t="s">
        <v>710</v>
      </c>
      <c r="C15" s="21">
        <f ca="1">ROUND(C14*F15,0)</f>
        <v>159</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47</v>
      </c>
      <c r="K16" s="1084" t="s">
        <v>715</v>
      </c>
      <c r="L16" s="3457"/>
      <c r="M16" s="1069"/>
    </row>
    <row r="17" spans="1:37" s="1394" customFormat="1" ht="18" customHeight="1">
      <c r="A17" s="979" t="s">
        <v>681</v>
      </c>
      <c r="B17" s="302" t="s">
        <v>716</v>
      </c>
      <c r="C17" s="21">
        <f ca="1">ROUND(F17*(F43+INDIRECT("'数据-取费表'!S"&amp;$G$1))/10000,0)</f>
        <v>122</v>
      </c>
      <c r="D17" s="302" t="s">
        <v>717</v>
      </c>
      <c r="E17" s="302" t="s">
        <v>718</v>
      </c>
      <c r="F17" s="23">
        <f>'数据-取费表'!B35</f>
        <v>200</v>
      </c>
      <c r="G17" s="1393"/>
      <c r="H17" s="979" t="s">
        <v>398</v>
      </c>
      <c r="I17" s="302" t="s">
        <v>719</v>
      </c>
      <c r="J17" s="2313">
        <f ca="1">ROUND(IF(AND(项目基本情况!B11="自然人",项目基本情况!B10="北京市"),J6*M17/(1+'数据-取费表'!C42),J18+J19+J20),2)</f>
        <v>1.58</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48</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3503</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70</v>
      </c>
      <c r="D20" s="2425" t="s">
        <v>729</v>
      </c>
      <c r="E20" s="302" t="s">
        <v>712</v>
      </c>
      <c r="F20" s="322">
        <f>'数据-取费表'!B37</f>
        <v>0.02</v>
      </c>
      <c r="G20" s="1393"/>
      <c r="H20" s="979" t="s">
        <v>680</v>
      </c>
      <c r="I20" s="155" t="s">
        <v>730</v>
      </c>
      <c r="J20" s="22">
        <f ca="1">ROUND(M20*M21/10000,2)</f>
        <v>1.58</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878.52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45.88</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126</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-47</v>
      </c>
      <c r="K25" s="1092" t="s">
        <v>753</v>
      </c>
      <c r="L25" s="1093"/>
      <c r="M25" s="1094"/>
    </row>
    <row r="26" spans="1:37">
      <c r="A26" s="979" t="s">
        <v>397</v>
      </c>
      <c r="B26" s="302" t="s">
        <v>754</v>
      </c>
      <c r="C26" s="21">
        <f ca="1">ROUND((C19+C20)*F26,0)</f>
        <v>536</v>
      </c>
      <c r="D26" s="2425"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4588</v>
      </c>
      <c r="D29" s="1089"/>
      <c r="E29" s="1087"/>
      <c r="F29" s="1090"/>
      <c r="G29" s="1393"/>
      <c r="H29" s="334" t="s">
        <v>396</v>
      </c>
      <c r="I29" s="335" t="s">
        <v>768</v>
      </c>
      <c r="J29" s="336">
        <f ca="1">ROUND(J26/(1+F40)^F41,0)</f>
        <v>0</v>
      </c>
      <c r="K29" s="337" t="s">
        <v>769</v>
      </c>
      <c r="L29" s="338"/>
      <c r="M29" s="339">
        <f ca="1">INDIRECT("'数据-取费表'!k"&amp;$G$1)</f>
        <v>6087.22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229</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169.2</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53.33</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114.29</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1.58</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878.52</v>
      </c>
      <c r="G35" s="1381"/>
      <c r="H35" s="2692"/>
      <c r="I35" s="1395"/>
      <c r="J35" s="1396"/>
      <c r="K35" s="2696"/>
      <c r="L35" s="2695"/>
      <c r="M35" s="2695"/>
    </row>
    <row r="36" spans="1:18" ht="18" customHeight="1">
      <c r="A36" s="1099" t="s">
        <v>402</v>
      </c>
      <c r="B36" s="302" t="s">
        <v>738</v>
      </c>
      <c r="C36" s="21">
        <f ca="1">ROUND(C29*F36,2)</f>
        <v>45.88</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4.04</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10.01</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772</v>
      </c>
      <c r="D39" s="1092" t="s">
        <v>773</v>
      </c>
      <c r="E39" s="1093"/>
      <c r="F39" s="1094"/>
      <c r="G39" s="1381"/>
      <c r="H39" s="2695"/>
      <c r="I39" s="1395"/>
      <c r="J39" s="1396"/>
      <c r="K39" s="2699"/>
      <c r="L39" s="2695"/>
      <c r="M39" s="2695"/>
    </row>
    <row r="40" spans="1:18" ht="18" customHeight="1">
      <c r="A40" s="299" t="s">
        <v>395</v>
      </c>
      <c r="B40" s="300" t="s">
        <v>774</v>
      </c>
      <c r="C40" s="301">
        <f ca="1">ROUND(C39*(1-((1+F42)/(1+F40))^F41)/(F40-F42),0)</f>
        <v>13037</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26.63</v>
      </c>
      <c r="G41" s="1381"/>
      <c r="H41" s="1188"/>
      <c r="I41" s="1395"/>
      <c r="J41" s="1396"/>
      <c r="K41" s="2539"/>
      <c r="L41" s="1188"/>
      <c r="M41" s="1188"/>
    </row>
    <row r="42" spans="1:18" ht="18" customHeight="1">
      <c r="A42" s="308"/>
      <c r="B42" s="309"/>
      <c r="C42" s="310"/>
      <c r="D42" s="327"/>
      <c r="E42" s="302" t="s">
        <v>766</v>
      </c>
      <c r="F42" s="312">
        <f ca="1">INDIRECT("'数据-取费表'!v"&amp;$G$1)</f>
        <v>2.5000000000000001E-2</v>
      </c>
      <c r="G42" s="1381"/>
      <c r="H42" s="1188"/>
      <c r="I42" s="1395"/>
      <c r="J42" s="1396"/>
      <c r="K42" s="2539"/>
      <c r="L42" s="1188"/>
      <c r="M42" s="1188"/>
    </row>
    <row r="43" spans="1:18" ht="18" customHeight="1" thickBot="1">
      <c r="A43" s="334" t="s">
        <v>396</v>
      </c>
      <c r="B43" s="335" t="s">
        <v>776</v>
      </c>
      <c r="C43" s="336">
        <f ca="1">ROUND(C40*10000/F43,0)</f>
        <v>21417</v>
      </c>
      <c r="D43" s="337" t="s">
        <v>777</v>
      </c>
      <c r="E43" s="338" t="s">
        <v>778</v>
      </c>
      <c r="F43" s="339">
        <f ca="1">INDIRECT("'数据-取费表'!k"&amp;$G$1)</f>
        <v>6087.22</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-13720</v>
      </c>
      <c r="D46" s="1403" t="str">
        <f>C2</f>
        <v>万元</v>
      </c>
      <c r="E46" s="1397"/>
      <c r="F46" s="1397"/>
      <c r="I46" s="1404" t="s">
        <v>810</v>
      </c>
      <c r="J46" s="1405"/>
      <c r="K46" s="1406"/>
      <c r="L46" s="1407">
        <f ca="1">IF(M47="住宅",0,IF(L48&gt;J51,L60,J60))</f>
        <v>294</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40</v>
      </c>
      <c r="M47" s="1377" t="str">
        <f>IF(ISNUMBER(FIND("住宅",C1)),"住宅","非住宅")</f>
        <v>非住宅</v>
      </c>
      <c r="O47" s="1415" t="s">
        <v>403</v>
      </c>
      <c r="P47" s="1416" t="s">
        <v>817</v>
      </c>
      <c r="Q47" s="1417">
        <f ca="1">C40+J29</f>
        <v>13037</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26.63</v>
      </c>
      <c r="O48" s="1415" t="s">
        <v>404</v>
      </c>
      <c r="P48" s="1416" t="s">
        <v>821</v>
      </c>
      <c r="Q48" s="1417">
        <f ca="1">J60</f>
        <v>294</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4588</v>
      </c>
      <c r="R49" s="1417" t="s">
        <v>818</v>
      </c>
    </row>
    <row r="50" spans="1:18" s="1381" customFormat="1" ht="13.5" thickBot="1">
      <c r="A50" s="973"/>
      <c r="B50" s="976"/>
      <c r="C50" s="1115"/>
      <c r="D50" s="950"/>
      <c r="E50" s="1053" t="s">
        <v>697</v>
      </c>
      <c r="F50" s="1054">
        <f ca="1">F7</f>
        <v>6087.22</v>
      </c>
      <c r="H50" s="723"/>
      <c r="I50" s="1418" t="s">
        <v>826</v>
      </c>
      <c r="J50" s="1426">
        <f>SUMPRODUCT((I63:I65=J47)*(J62:L62=J48)*(J63:L65))</f>
        <v>60</v>
      </c>
      <c r="K50" s="1420" t="s">
        <v>827</v>
      </c>
      <c r="L50" s="1424"/>
      <c r="M50" s="1427"/>
      <c r="O50" s="1425" t="s">
        <v>406</v>
      </c>
      <c r="P50" s="1416" t="s">
        <v>828</v>
      </c>
      <c r="Q50" s="1428">
        <f ca="1">J58</f>
        <v>0.44</v>
      </c>
      <c r="R50" s="1417"/>
    </row>
    <row r="51" spans="1:18" s="1381" customFormat="1" ht="13.5" thickBot="1">
      <c r="A51" s="974"/>
      <c r="B51" s="976"/>
      <c r="C51" s="977"/>
      <c r="D51" s="950"/>
      <c r="E51" s="978" t="s">
        <v>698</v>
      </c>
      <c r="F51" s="303">
        <f ca="1">F8</f>
        <v>365</v>
      </c>
      <c r="I51" s="1429" t="s">
        <v>829</v>
      </c>
      <c r="J51" s="1430">
        <f>IF(J49="",J50,J49+J50-YEAR('数据-取费表'!B2))</f>
        <v>53</v>
      </c>
      <c r="K51" s="1431" t="s">
        <v>830</v>
      </c>
      <c r="L51" s="1432">
        <f ca="1">ROUND(-PV(INDIRECT("'数据-取费表'!h"&amp;$G$1),J51,(C39-C13*C76),0),0)</f>
        <v>8377</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26.63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26.63</v>
      </c>
      <c r="K53" s="3686" t="s">
        <v>837</v>
      </c>
      <c r="L53" s="3687"/>
      <c r="O53" s="1415" t="s">
        <v>409</v>
      </c>
      <c r="P53" s="1416" t="s">
        <v>838</v>
      </c>
      <c r="Q53" s="1417">
        <f ca="1">Q47+Q48</f>
        <v>13331</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0.44</v>
      </c>
      <c r="K55" s="1442" t="s">
        <v>841</v>
      </c>
      <c r="L55" s="1443"/>
      <c r="O55" s="1408" t="s">
        <v>811</v>
      </c>
      <c r="P55" s="1409" t="s">
        <v>812</v>
      </c>
      <c r="Q55" s="1410" t="s">
        <v>813</v>
      </c>
      <c r="R55" s="1410" t="s">
        <v>814</v>
      </c>
    </row>
    <row r="56" spans="1:18" s="1381" customFormat="1" ht="25.5" thickTop="1" thickBot="1">
      <c r="A56" s="954">
        <v>2</v>
      </c>
      <c r="B56" s="955" t="s">
        <v>704</v>
      </c>
      <c r="C56" s="232">
        <f ca="1">C13</f>
        <v>4037</v>
      </c>
      <c r="D56" s="1444"/>
      <c r="E56" s="1445"/>
      <c r="F56" s="1437"/>
      <c r="I56" s="1446" t="s">
        <v>842</v>
      </c>
      <c r="J56" s="1447" t="s">
        <v>3410</v>
      </c>
      <c r="K56" s="1418" t="s">
        <v>843</v>
      </c>
      <c r="L56" s="1421" t="str">
        <f ca="1">IF(L48&lt;J51,"——",L48-J53)</f>
        <v>——</v>
      </c>
      <c r="O56" s="1415" t="s">
        <v>403</v>
      </c>
      <c r="P56" s="1416" t="s">
        <v>817</v>
      </c>
      <c r="Q56" s="1417">
        <f ca="1">C40+J29</f>
        <v>13037</v>
      </c>
      <c r="R56" s="1417" t="s">
        <v>818</v>
      </c>
    </row>
    <row r="57" spans="1:18" s="1381" customFormat="1" ht="24.75" thickBot="1">
      <c r="A57" s="1448"/>
      <c r="B57" s="947" t="s">
        <v>767</v>
      </c>
      <c r="C57" s="238">
        <f ca="1">C29</f>
        <v>4588</v>
      </c>
      <c r="D57" s="1449"/>
      <c r="E57" s="1450"/>
      <c r="F57" s="1451"/>
      <c r="I57" s="1452" t="s">
        <v>844</v>
      </c>
      <c r="J57" s="1453">
        <f ca="1">IF(OR(M47="住宅",J51&lt;L48,J56="是"),"——",J51-L48)</f>
        <v>26.37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52</v>
      </c>
      <c r="D58" s="957" t="s">
        <v>715</v>
      </c>
      <c r="E58" s="958"/>
      <c r="F58" s="959"/>
      <c r="I58" s="1452" t="s">
        <v>848</v>
      </c>
      <c r="J58" s="1454">
        <f ca="1">IF(J55&lt;0.4,0.4,J55)</f>
        <v>0.44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2</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2019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294</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1.58</v>
      </c>
      <c r="D62" s="962" t="s">
        <v>786</v>
      </c>
      <c r="E62" s="947" t="s">
        <v>787</v>
      </c>
      <c r="F62" s="325">
        <f t="shared" si="0"/>
        <v>18</v>
      </c>
      <c r="I62" s="1459" t="s">
        <v>858</v>
      </c>
      <c r="J62" s="1460" t="s">
        <v>859</v>
      </c>
      <c r="K62" s="1460" t="s">
        <v>860</v>
      </c>
      <c r="L62" s="1460" t="s">
        <v>861</v>
      </c>
      <c r="M62" s="1461" t="s">
        <v>862</v>
      </c>
      <c r="O62" s="1415" t="s">
        <v>409</v>
      </c>
      <c r="P62" s="1416" t="s">
        <v>838</v>
      </c>
      <c r="Q62" s="1417">
        <f ca="1">Q56+Q57</f>
        <v>13037</v>
      </c>
      <c r="R62" s="1417" t="s">
        <v>410</v>
      </c>
    </row>
    <row r="63" spans="1:18" s="1381" customFormat="1" ht="13.5" thickBot="1">
      <c r="A63" s="326"/>
      <c r="B63" s="953"/>
      <c r="C63" s="26"/>
      <c r="D63" s="963"/>
      <c r="E63" s="947" t="s">
        <v>788</v>
      </c>
      <c r="F63" s="303">
        <f t="shared" ca="1" si="0"/>
        <v>878.52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45.88</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4.04</v>
      </c>
      <c r="D65" s="961" t="s">
        <v>743</v>
      </c>
      <c r="E65" s="947" t="s">
        <v>744</v>
      </c>
      <c r="F65" s="330">
        <f t="shared" ca="1" si="0"/>
        <v>1E-3</v>
      </c>
      <c r="I65" s="1459" t="s">
        <v>867</v>
      </c>
      <c r="J65" s="1460">
        <v>40</v>
      </c>
      <c r="K65" s="1460">
        <v>30</v>
      </c>
      <c r="L65" s="1460">
        <v>50</v>
      </c>
      <c r="M65" s="1462">
        <v>0.02</v>
      </c>
      <c r="O65" s="1415" t="s">
        <v>403</v>
      </c>
      <c r="P65" s="1416" t="s">
        <v>868</v>
      </c>
      <c r="Q65" s="1417">
        <f ca="1">C40+J29</f>
        <v>13037</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-52</v>
      </c>
      <c r="D67" s="960" t="s">
        <v>753</v>
      </c>
      <c r="E67" s="965"/>
      <c r="F67" s="966"/>
      <c r="O67" s="1425" t="s">
        <v>405</v>
      </c>
      <c r="P67" s="1416" t="s">
        <v>850</v>
      </c>
      <c r="Q67" s="1463">
        <f ca="1">L51</f>
        <v>8377</v>
      </c>
      <c r="R67" s="1417" t="s">
        <v>870</v>
      </c>
    </row>
    <row r="68" spans="1:18" s="1381" customFormat="1" ht="16.5" thickBot="1">
      <c r="A68" s="944" t="s">
        <v>395</v>
      </c>
      <c r="B68" s="945" t="s">
        <v>774</v>
      </c>
      <c r="C68" s="301">
        <f ca="1">ROUND(C67*(1-((1+F70)/(1+F68))^F69)/(F68-F70),0)</f>
        <v>-683</v>
      </c>
      <c r="D68" s="962" t="s">
        <v>758</v>
      </c>
      <c r="E68" s="947" t="s">
        <v>759</v>
      </c>
      <c r="F68" s="312">
        <f ca="1">F40</f>
        <v>0.06</v>
      </c>
      <c r="O68" s="1425" t="s">
        <v>406</v>
      </c>
      <c r="P68" s="1464" t="s">
        <v>871</v>
      </c>
      <c r="Q68" s="1417">
        <f ca="1">ROUND(Q69-Q70*Q71,0)</f>
        <v>489</v>
      </c>
      <c r="R68" s="1417" t="s">
        <v>414</v>
      </c>
    </row>
    <row r="69" spans="1:18" s="1381" customFormat="1" ht="13.5" thickBot="1">
      <c r="A69" s="948"/>
      <c r="B69" s="949"/>
      <c r="C69" s="306"/>
      <c r="D69" s="967" t="s">
        <v>762</v>
      </c>
      <c r="E69" s="947" t="s">
        <v>763</v>
      </c>
      <c r="F69" s="333">
        <f ca="1">F41</f>
        <v>26.63</v>
      </c>
      <c r="O69" s="1425" t="s">
        <v>411</v>
      </c>
      <c r="P69" s="1464" t="s">
        <v>872</v>
      </c>
      <c r="Q69" s="1417">
        <f ca="1">C39</f>
        <v>772</v>
      </c>
      <c r="R69" s="1417" t="s">
        <v>818</v>
      </c>
    </row>
    <row r="70" spans="1:18" s="1381" customFormat="1" ht="13.5" thickBot="1">
      <c r="A70" s="951"/>
      <c r="B70" s="952"/>
      <c r="C70" s="310"/>
      <c r="D70" s="963"/>
      <c r="E70" s="947" t="s">
        <v>766</v>
      </c>
      <c r="F70" s="1051"/>
      <c r="O70" s="1425" t="s">
        <v>412</v>
      </c>
      <c r="P70" s="1464" t="s">
        <v>873</v>
      </c>
      <c r="Q70" s="1417">
        <f ca="1">C13</f>
        <v>4037</v>
      </c>
      <c r="R70" s="1417" t="s">
        <v>818</v>
      </c>
    </row>
    <row r="71" spans="1:18" s="1381" customFormat="1" ht="13.5" thickBot="1">
      <c r="A71" s="968" t="s">
        <v>396</v>
      </c>
      <c r="B71" s="969" t="s">
        <v>776</v>
      </c>
      <c r="C71" s="336">
        <f ca="1">ROUND(C68*10000/F71,0)</f>
        <v>-1122</v>
      </c>
      <c r="D71" s="970" t="s">
        <v>777</v>
      </c>
      <c r="E71" s="971" t="s">
        <v>778</v>
      </c>
      <c r="F71" s="339">
        <f ca="1">F43</f>
        <v>6087.22</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283</v>
      </c>
      <c r="D75" s="1381"/>
      <c r="E75" s="1381"/>
      <c r="F75" s="1381"/>
      <c r="K75" s="1399"/>
      <c r="L75" s="1381"/>
      <c r="O75" s="1415" t="s">
        <v>409</v>
      </c>
      <c r="P75" s="1416" t="s">
        <v>838</v>
      </c>
      <c r="Q75" s="1417">
        <f ca="1">Q65+Q66</f>
        <v>13037</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0.63300000000000001</v>
      </c>
    </row>
    <row r="80" spans="1:18">
      <c r="B80" s="340" t="s">
        <v>800</v>
      </c>
      <c r="C80" s="274">
        <f ca="1">ROUND(C75/C39,3)</f>
        <v>0.36699999999999999</v>
      </c>
    </row>
    <row r="81" spans="2:3">
      <c r="B81" s="270" t="s">
        <v>801</v>
      </c>
      <c r="C81" s="238"/>
    </row>
    <row r="82" spans="2:3">
      <c r="B82" s="273" t="s">
        <v>802</v>
      </c>
      <c r="C82" s="275">
        <f ca="1">1-C83</f>
        <v>0.69</v>
      </c>
    </row>
    <row r="83" spans="2:3">
      <c r="B83" s="273" t="s">
        <v>803</v>
      </c>
      <c r="C83" s="274">
        <f ca="1">ROUND(C13/C40,3)</f>
        <v>0.31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受贵公司委托，我公司对北京市朝阳区安定路5号院房地产抵押价值进行了预评估。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估价对象为北京市朝阳区安定路5号院房地产，为所有。根据《国有土地使用证》[]，估价对象（分摊）出让国有建设用地使用权面积为19087.4平方米，建筑面积为132744.37平方米。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估价对象为北京市朝阳区安定路5号院房地产,为开发建设的，该项目尚在开发建设中。根据《国有土地使用证》[]，估价对象（分摊）出让国有建设用地使用权面积为19087.4平方米，规划建筑面积为132744.37平方米。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2023年7月11日（评估专业人员实地查勘之日）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3332</v>
      </c>
      <c r="D1" s="1359" t="s">
        <v>43</v>
      </c>
      <c r="E1" s="1360" t="s">
        <v>678</v>
      </c>
      <c r="F1" s="1059">
        <f ca="1">J53</f>
        <v>36.630000000000003</v>
      </c>
      <c r="G1" s="1375">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13243</v>
      </c>
      <c r="C2" s="1384" t="s">
        <v>805</v>
      </c>
      <c r="D2" s="1384"/>
      <c r="E2" s="1385"/>
      <c r="F2" s="1386"/>
      <c r="G2" s="2701"/>
      <c r="H2" s="2690"/>
      <c r="I2" s="2690"/>
      <c r="J2" s="2690"/>
      <c r="K2" s="2691"/>
      <c r="L2" s="2690"/>
      <c r="M2" s="2690"/>
    </row>
    <row r="3" spans="1:37" ht="18" customHeight="1" thickBot="1">
      <c r="A3" s="1387" t="s">
        <v>806</v>
      </c>
      <c r="B3" s="1388">
        <f ca="1">IF(ISERROR(B2*10000/F43),0,ROUND(B2*10000/F43,0))</f>
        <v>4052</v>
      </c>
      <c r="C3" s="1384" t="s">
        <v>807</v>
      </c>
      <c r="D3" s="1384"/>
      <c r="E3" s="1385"/>
      <c r="F3" s="1386"/>
      <c r="G3" s="2701"/>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1049</v>
      </c>
      <c r="D5" s="1361" t="s">
        <v>693</v>
      </c>
      <c r="E5" s="1068"/>
      <c r="F5" s="1069"/>
      <c r="G5" s="1381"/>
      <c r="H5" s="299">
        <v>1</v>
      </c>
      <c r="I5" s="300" t="s">
        <v>692</v>
      </c>
      <c r="J5" s="1067">
        <f ca="1">J6+J10+J12</f>
        <v>0</v>
      </c>
      <c r="K5" s="1361" t="s">
        <v>693</v>
      </c>
      <c r="L5" s="1068"/>
      <c r="M5" s="1069"/>
    </row>
    <row r="6" spans="1:37" ht="18" customHeight="1">
      <c r="A6" s="1066" t="s">
        <v>398</v>
      </c>
      <c r="B6" s="3683" t="s">
        <v>694</v>
      </c>
      <c r="C6" s="1071">
        <f ca="1">ROUND(F6*F8*F7*(1-F9)/10000,0)</f>
        <v>1048</v>
      </c>
      <c r="D6" s="155" t="s">
        <v>2107</v>
      </c>
      <c r="E6" s="302" t="s">
        <v>696</v>
      </c>
      <c r="F6" s="303">
        <f ca="1">INDIRECT("'数据-取费表'!u"&amp;$G$1)</f>
        <v>1000</v>
      </c>
      <c r="G6" s="1381"/>
      <c r="H6" s="1066" t="s">
        <v>398</v>
      </c>
      <c r="I6" s="3683" t="s">
        <v>694</v>
      </c>
      <c r="J6" s="301">
        <f ca="1">ROUND(M6*M8*M7*(1-M9)/10000,0)</f>
        <v>0</v>
      </c>
      <c r="K6" s="155" t="s">
        <v>2106</v>
      </c>
      <c r="L6" s="302" t="s">
        <v>696</v>
      </c>
      <c r="M6" s="303">
        <f ca="1">INDIRECT("'数据-取费表'!z"&amp;$G$1)</f>
        <v>0</v>
      </c>
    </row>
    <row r="7" spans="1:37" ht="18" customHeight="1">
      <c r="A7" s="1070"/>
      <c r="B7" s="3684"/>
      <c r="C7" s="1072"/>
      <c r="D7" s="307"/>
      <c r="E7" s="3448" t="s">
        <v>697</v>
      </c>
      <c r="F7" s="303">
        <f ca="1">IF(INDIRECT("'数据-取费表'!ah"&amp;$G$1)="",INDIRECT("'数据-取费表'!k"&amp;$G$1),INDIRECT("'数据-取费表'!ah"&amp;$G$1))</f>
        <v>1027</v>
      </c>
      <c r="G7" s="1381"/>
      <c r="H7" s="304"/>
      <c r="I7" s="3684"/>
      <c r="J7" s="306"/>
      <c r="K7" s="307"/>
      <c r="L7" s="302" t="s">
        <v>697</v>
      </c>
      <c r="M7" s="303">
        <f ca="1">F7</f>
        <v>1027</v>
      </c>
    </row>
    <row r="8" spans="1:37" ht="18" customHeight="1">
      <c r="A8" s="304"/>
      <c r="B8" s="3684"/>
      <c r="C8" s="306"/>
      <c r="D8" s="307"/>
      <c r="E8" s="302" t="s">
        <v>698</v>
      </c>
      <c r="F8" s="303">
        <f ca="1">INDIRECT("'数据-取费表'!ai"&amp;$G$1)</f>
        <v>12</v>
      </c>
      <c r="G8" s="1381"/>
      <c r="H8" s="304"/>
      <c r="I8" s="3684"/>
      <c r="J8" s="306"/>
      <c r="K8" s="307"/>
      <c r="L8" s="302" t="s">
        <v>698</v>
      </c>
      <c r="M8" s="303">
        <f ca="1">INDIRECT("'数据-取费表'!ai"&amp;$G$1)</f>
        <v>12</v>
      </c>
    </row>
    <row r="9" spans="1:37" ht="18" customHeight="1">
      <c r="A9" s="304"/>
      <c r="B9" s="3685"/>
      <c r="C9" s="306"/>
      <c r="D9" s="307"/>
      <c r="E9" s="302" t="s">
        <v>699</v>
      </c>
      <c r="F9" s="312">
        <f ca="1">INDIRECT("'数据-取费表'!w"&amp;$G$1)</f>
        <v>0.15</v>
      </c>
      <c r="G9" s="1381"/>
      <c r="H9" s="304"/>
      <c r="I9" s="3685"/>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2114</v>
      </c>
      <c r="E10" s="313" t="s">
        <v>701</v>
      </c>
      <c r="F10" s="1113" t="s">
        <v>3407</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18828</v>
      </c>
      <c r="D13" s="3445" t="s">
        <v>705</v>
      </c>
      <c r="E13" s="3445" t="s">
        <v>706</v>
      </c>
      <c r="F13" s="1079">
        <f ca="1">INDIRECT("'数据-取费表'!y"&amp;$G$1)</f>
        <v>0.88</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15412</v>
      </c>
      <c r="D14" s="3455" t="s">
        <v>708</v>
      </c>
      <c r="E14" s="3454"/>
      <c r="F14" s="319"/>
      <c r="G14" s="1381"/>
      <c r="H14" s="979" t="s">
        <v>398</v>
      </c>
      <c r="I14" s="302" t="s">
        <v>709</v>
      </c>
      <c r="J14" s="21">
        <f ca="1">C29</f>
        <v>21396</v>
      </c>
      <c r="K14" s="3447"/>
      <c r="L14" s="804"/>
      <c r="M14" s="805"/>
    </row>
    <row r="15" spans="1:37" s="1394" customFormat="1" ht="18" customHeight="1" thickBot="1">
      <c r="A15" s="979" t="s">
        <v>399</v>
      </c>
      <c r="B15" s="302" t="s">
        <v>710</v>
      </c>
      <c r="C15" s="21">
        <f ca="1">ROUND(C14*F15,0)</f>
        <v>771</v>
      </c>
      <c r="D15" s="3446" t="s">
        <v>711</v>
      </c>
      <c r="E15" s="3446"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222</v>
      </c>
      <c r="K16" s="1084" t="s">
        <v>715</v>
      </c>
      <c r="L16" s="3457"/>
      <c r="M16" s="1069"/>
    </row>
    <row r="17" spans="1:37" s="1394" customFormat="1" ht="18" customHeight="1">
      <c r="A17" s="979" t="s">
        <v>681</v>
      </c>
      <c r="B17" s="302" t="s">
        <v>716</v>
      </c>
      <c r="C17" s="21">
        <f ca="1">ROUND(F17*(F43+INDIRECT("'数据-取费表'!S"&amp;$G$1))/10000,0)</f>
        <v>656</v>
      </c>
      <c r="D17" s="302" t="s">
        <v>717</v>
      </c>
      <c r="E17" s="302" t="s">
        <v>718</v>
      </c>
      <c r="F17" s="23">
        <f>'数据-取费表'!B35</f>
        <v>200</v>
      </c>
      <c r="G17" s="1393"/>
      <c r="H17" s="979" t="s">
        <v>398</v>
      </c>
      <c r="I17" s="302" t="s">
        <v>719</v>
      </c>
      <c r="J17" s="2313">
        <f ca="1">ROUND(IF(AND(项目基本情况!B11="自然人",项目基本情况!B10="北京市"),J6*M17/(1+'数据-取费表'!C42),J18+J19+J20),2)</f>
        <v>8.49</v>
      </c>
      <c r="K17" s="3455"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231</v>
      </c>
      <c r="D18" s="302" t="s">
        <v>711</v>
      </c>
      <c r="E18" s="302" t="s">
        <v>712</v>
      </c>
      <c r="F18" s="322">
        <f>'数据-取费表'!B36</f>
        <v>1.4999999999999999E-2</v>
      </c>
      <c r="G18" s="1393"/>
      <c r="H18" s="979" t="s">
        <v>397</v>
      </c>
      <c r="I18" s="302" t="s">
        <v>723</v>
      </c>
      <c r="J18" s="21">
        <f ca="1">ROUND(J6*M18/(1+'数据-取费表'!C42),2)</f>
        <v>0</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17070</v>
      </c>
      <c r="D19" s="131" t="s">
        <v>726</v>
      </c>
      <c r="E19" s="3461"/>
      <c r="F19" s="23"/>
      <c r="G19" s="1381"/>
      <c r="H19" s="979" t="s">
        <v>399</v>
      </c>
      <c r="I19" s="302" t="s">
        <v>727</v>
      </c>
      <c r="J19" s="21">
        <f ca="1">IF(K19="按租金收入计税",ROUND(J6*M19/(1+'数据-取费表'!C42),2),ROUND(C29*M19*0.7,2))</f>
        <v>0</v>
      </c>
      <c r="K19" s="1367" t="s">
        <v>3335</v>
      </c>
      <c r="L19" s="302" t="s">
        <v>712</v>
      </c>
      <c r="M19" s="322">
        <f>IF(K19="按租金收入计税",'数据-取费表'!B51,'数据-取费表'!B50)</f>
        <v>0.12</v>
      </c>
    </row>
    <row r="20" spans="1:37" s="1394" customFormat="1" ht="18" customHeight="1">
      <c r="A20" s="979" t="s">
        <v>402</v>
      </c>
      <c r="B20" s="302" t="s">
        <v>728</v>
      </c>
      <c r="C20" s="21">
        <f ca="1">ROUND(C19*F20,0)</f>
        <v>341</v>
      </c>
      <c r="D20" s="2425" t="s">
        <v>729</v>
      </c>
      <c r="E20" s="302" t="s">
        <v>712</v>
      </c>
      <c r="F20" s="322">
        <f>'数据-取费表'!B37</f>
        <v>0.02</v>
      </c>
      <c r="G20" s="1393"/>
      <c r="H20" s="979" t="s">
        <v>680</v>
      </c>
      <c r="I20" s="155" t="s">
        <v>730</v>
      </c>
      <c r="J20" s="22">
        <f ca="1">ROUND(M20*M21/10000,2)</f>
        <v>8.49</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2425" t="s">
        <v>734</v>
      </c>
      <c r="E21" s="302" t="s">
        <v>735</v>
      </c>
      <c r="F21" s="322">
        <f>'数据-取费表'!B38</f>
        <v>0.02</v>
      </c>
      <c r="G21" s="1393"/>
      <c r="H21" s="326"/>
      <c r="I21" s="311"/>
      <c r="J21" s="26"/>
      <c r="K21" s="327"/>
      <c r="L21" s="302" t="s">
        <v>736</v>
      </c>
      <c r="M21" s="303">
        <f ca="1">INDIRECT("'数据-取费表'!r"&amp;$G$1)</f>
        <v>4716.92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1"/>
      <c r="F22" s="23"/>
      <c r="G22" s="1381"/>
      <c r="H22" s="979" t="s">
        <v>402</v>
      </c>
      <c r="I22" s="302" t="s">
        <v>738</v>
      </c>
      <c r="J22" s="21">
        <f ca="1">ROUND(J14*M22,2)</f>
        <v>213.96</v>
      </c>
      <c r="K22" s="3456"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618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6"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1"/>
      <c r="F25" s="23"/>
      <c r="G25" s="1381"/>
      <c r="H25" s="1076" t="s">
        <v>394</v>
      </c>
      <c r="I25" s="1091" t="s">
        <v>752</v>
      </c>
      <c r="J25" s="310">
        <f ca="1">J5-J16</f>
        <v>-222</v>
      </c>
      <c r="K25" s="1092" t="s">
        <v>753</v>
      </c>
      <c r="L25" s="1093"/>
      <c r="M25" s="1094"/>
    </row>
    <row r="26" spans="1:37">
      <c r="A26" s="979" t="s">
        <v>397</v>
      </c>
      <c r="B26" s="302" t="s">
        <v>754</v>
      </c>
      <c r="C26" s="21">
        <f ca="1">ROUND((C19+C20)*F26,0)</f>
        <v>1741</v>
      </c>
      <c r="D26" s="2425"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0.05</v>
      </c>
    </row>
    <row r="27" spans="1:37" ht="18" customHeight="1">
      <c r="A27" s="979" t="s">
        <v>399</v>
      </c>
      <c r="B27" s="302" t="s">
        <v>760</v>
      </c>
      <c r="C27" s="21">
        <f ca="1">ROUND(F21*F26,4)</f>
        <v>2E-3</v>
      </c>
      <c r="D27" s="2425" t="s">
        <v>761</v>
      </c>
      <c r="E27" s="3446"/>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21396</v>
      </c>
      <c r="D29" s="1089"/>
      <c r="E29" s="1087"/>
      <c r="F29" s="1090"/>
      <c r="G29" s="1393"/>
      <c r="H29" s="334" t="s">
        <v>396</v>
      </c>
      <c r="I29" s="335" t="s">
        <v>768</v>
      </c>
      <c r="J29" s="336">
        <f ca="1">ROUND(J26/(1+F40)^F41,0)</f>
        <v>0</v>
      </c>
      <c r="K29" s="337" t="s">
        <v>769</v>
      </c>
      <c r="L29" s="338"/>
      <c r="M29" s="339">
        <f ca="1">INDIRECT("'数据-取费表'!k"&amp;$G$1)</f>
        <v>32683.579999999998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427</v>
      </c>
      <c r="D30" s="1084" t="s">
        <v>715</v>
      </c>
      <c r="E30" s="3457"/>
      <c r="F30" s="1069"/>
      <c r="G30" s="1381"/>
      <c r="H30" s="2692"/>
      <c r="I30" s="1395"/>
      <c r="J30" s="1396"/>
      <c r="K30" s="2470"/>
      <c r="L30" s="2693"/>
      <c r="M30" s="2694"/>
    </row>
    <row r="31" spans="1:37" ht="18" customHeight="1">
      <c r="A31" s="979" t="s">
        <v>398</v>
      </c>
      <c r="B31" s="302" t="s">
        <v>719</v>
      </c>
      <c r="C31" s="2313">
        <f ca="1">ROUND(IF(AND(项目基本情况!B11="自然人",项目基本情况!B10="北京市"),C6*F31/(1+'数据-取费表'!C42),C32+C33+C34),2)</f>
        <v>184.15</v>
      </c>
      <c r="D31" s="3455" t="s">
        <v>720</v>
      </c>
      <c r="E31" s="3456" t="s">
        <v>770</v>
      </c>
      <c r="F31" s="2312" t="str">
        <f>IF(项目基本情况!B11="企业","——",IF(M47="住宅",IF(F6*F7*F8/12/(1+'数据-取费表'!F30)&gt;100000,4%,2.5%),IF(F6*F7*F8/12/(1+'数据-取费表'!F30)&gt;100000,12%,7%)))</f>
        <v>——</v>
      </c>
      <c r="G31" s="1381"/>
      <c r="H31" s="2803" t="s">
        <v>2304</v>
      </c>
      <c r="I31" s="1395"/>
      <c r="J31" s="1396"/>
      <c r="K31" s="2470"/>
      <c r="L31" s="2693"/>
      <c r="M31" s="2694"/>
    </row>
    <row r="32" spans="1:37" ht="18" customHeight="1">
      <c r="A32" s="979" t="s">
        <v>397</v>
      </c>
      <c r="B32" s="302" t="s">
        <v>723</v>
      </c>
      <c r="C32" s="21">
        <f ca="1">IF(项目基本情况!B11="自然人","——",ROUND(C6*F32/(1+'数据-取费表'!C42),2))</f>
        <v>55.89</v>
      </c>
      <c r="D32" s="3456" t="s">
        <v>724</v>
      </c>
      <c r="E32" s="302" t="s">
        <v>712</v>
      </c>
      <c r="F32" s="331">
        <f>'数据-取费表'!B41</f>
        <v>5.6000000000000001E-2</v>
      </c>
      <c r="G32" s="1381"/>
      <c r="H32" s="2692"/>
      <c r="I32" s="1395"/>
      <c r="J32" s="1396"/>
      <c r="K32" s="2470"/>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119.77</v>
      </c>
      <c r="D33" s="1367" t="s">
        <v>3335</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8.49</v>
      </c>
      <c r="D34" s="324" t="s">
        <v>731</v>
      </c>
      <c r="E34" s="302" t="s">
        <v>732</v>
      </c>
      <c r="F34" s="325">
        <f>'数据-取费表'!B52</f>
        <v>18</v>
      </c>
      <c r="G34" s="1381"/>
      <c r="H34" s="2692"/>
      <c r="I34" s="1395"/>
      <c r="J34" s="1396"/>
      <c r="K34" s="2697"/>
      <c r="L34" s="2698"/>
      <c r="M34" s="2698"/>
    </row>
    <row r="35" spans="1:18" ht="18" customHeight="1">
      <c r="A35" s="1100"/>
      <c r="B35" s="1098"/>
      <c r="C35" s="26"/>
      <c r="D35" s="327"/>
      <c r="E35" s="302" t="s">
        <v>736</v>
      </c>
      <c r="F35" s="303">
        <f ca="1">INDIRECT("'数据-取费表'!r"&amp;$G$1)</f>
        <v>4716.92</v>
      </c>
      <c r="G35" s="1381"/>
      <c r="H35" s="2692"/>
      <c r="I35" s="1395"/>
      <c r="J35" s="1396"/>
      <c r="K35" s="2696"/>
      <c r="L35" s="2695"/>
      <c r="M35" s="2695"/>
    </row>
    <row r="36" spans="1:18" ht="18" customHeight="1">
      <c r="A36" s="1099" t="s">
        <v>402</v>
      </c>
      <c r="B36" s="302" t="s">
        <v>738</v>
      </c>
      <c r="C36" s="21">
        <f ca="1">ROUND(C29*F36,2)</f>
        <v>213.96</v>
      </c>
      <c r="D36" s="3456"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ROUND(C13*F37,2)</f>
        <v>18.829999999999998</v>
      </c>
      <c r="D37" s="3456" t="s">
        <v>743</v>
      </c>
      <c r="E37" s="302" t="s">
        <v>744</v>
      </c>
      <c r="F37" s="330">
        <f ca="1">INDIRECT("'数据-取费表'!Al"&amp;$G$1)</f>
        <v>1E-3</v>
      </c>
      <c r="G37" s="1381"/>
      <c r="H37" s="2695"/>
      <c r="I37" s="1395"/>
      <c r="J37" s="1396"/>
      <c r="K37" s="2539"/>
      <c r="L37" s="2695"/>
      <c r="M37" s="2695"/>
    </row>
    <row r="38" spans="1:18" ht="18" customHeight="1" thickBot="1">
      <c r="A38" s="1086" t="s">
        <v>683</v>
      </c>
      <c r="B38" s="1087" t="s">
        <v>728</v>
      </c>
      <c r="C38" s="1088">
        <f ca="1">ROUND(C5*F38,2)</f>
        <v>10.49</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752</v>
      </c>
      <c r="C39" s="310">
        <f ca="1">C5-C30</f>
        <v>622</v>
      </c>
      <c r="D39" s="1092" t="s">
        <v>773</v>
      </c>
      <c r="E39" s="1093"/>
      <c r="F39" s="1094"/>
      <c r="G39" s="1381"/>
      <c r="H39" s="2695"/>
      <c r="I39" s="1395"/>
      <c r="J39" s="1396"/>
      <c r="K39" s="2699"/>
      <c r="L39" s="2695"/>
      <c r="M39" s="2695"/>
    </row>
    <row r="40" spans="1:18" ht="18" customHeight="1">
      <c r="A40" s="299" t="s">
        <v>395</v>
      </c>
      <c r="B40" s="300" t="s">
        <v>774</v>
      </c>
      <c r="C40" s="301">
        <f ca="1">ROUND(C39*(1-((1+F42)/(1+F40))^F41)/(F40-F42),0)</f>
        <v>12638</v>
      </c>
      <c r="D40" s="324" t="s">
        <v>758</v>
      </c>
      <c r="E40" s="302" t="s">
        <v>759</v>
      </c>
      <c r="F40" s="312">
        <f ca="1">INDIRECT("'数据-取费表'!I"&amp;$G$1)</f>
        <v>0.05</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36.630000000000003</v>
      </c>
      <c r="G41" s="1381"/>
      <c r="H41" s="1188"/>
      <c r="I41" s="1395"/>
      <c r="J41" s="1396"/>
      <c r="K41" s="2539"/>
      <c r="L41" s="1188"/>
      <c r="M41" s="1188"/>
    </row>
    <row r="42" spans="1:18" ht="18" customHeight="1">
      <c r="A42" s="308"/>
      <c r="B42" s="309"/>
      <c r="C42" s="310"/>
      <c r="D42" s="327"/>
      <c r="E42" s="302" t="s">
        <v>766</v>
      </c>
      <c r="F42" s="312">
        <f ca="1">INDIRECT("'数据-取费表'!v"&amp;$G$1)</f>
        <v>1.4999999999999999E-2</v>
      </c>
      <c r="G42" s="1381"/>
      <c r="H42" s="1188"/>
      <c r="I42" s="1395"/>
      <c r="J42" s="1396"/>
      <c r="K42" s="2539"/>
      <c r="L42" s="1188"/>
      <c r="M42" s="1188"/>
    </row>
    <row r="43" spans="1:18" ht="18" customHeight="1" thickBot="1">
      <c r="A43" s="334" t="s">
        <v>396</v>
      </c>
      <c r="B43" s="335" t="s">
        <v>776</v>
      </c>
      <c r="C43" s="336">
        <f ca="1">ROUND(C40*10000/F43,0)</f>
        <v>3867</v>
      </c>
      <c r="D43" s="337" t="s">
        <v>777</v>
      </c>
      <c r="E43" s="338" t="s">
        <v>778</v>
      </c>
      <c r="F43" s="339">
        <f ca="1">INDIRECT("'数据-取费表'!k"&amp;$G$1)</f>
        <v>32683.579999999998</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0" t="s">
        <v>808</v>
      </c>
      <c r="P45" s="1458"/>
      <c r="Q45" s="1458"/>
      <c r="R45" s="1458"/>
    </row>
    <row r="46" spans="1:18" s="1381" customFormat="1" ht="13.5" thickBot="1">
      <c r="A46" s="1401" t="s">
        <v>809</v>
      </c>
      <c r="C46" s="1402">
        <f ca="1">C68-C40</f>
        <v>-16651</v>
      </c>
      <c r="D46" s="1403" t="str">
        <f>C2</f>
        <v>万元</v>
      </c>
      <c r="E46" s="1397"/>
      <c r="F46" s="1397"/>
      <c r="I46" s="1404" t="s">
        <v>810</v>
      </c>
      <c r="J46" s="1405"/>
      <c r="K46" s="1406"/>
      <c r="L46" s="1407">
        <f ca="1">IF(M47="住宅",0,IF(L48&gt;J51,L60,J60))</f>
        <v>605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3408</v>
      </c>
      <c r="K47" s="1413" t="s">
        <v>816</v>
      </c>
      <c r="L47" s="1414">
        <f ca="1">INDIRECT("'数据-取费表'!d"&amp;$G$1)</f>
        <v>50</v>
      </c>
      <c r="M47" s="1377" t="str">
        <f>IF(ISNUMBER(FIND("住宅",C1)),"住宅","非住宅")</f>
        <v>非住宅</v>
      </c>
      <c r="O47" s="1415" t="s">
        <v>403</v>
      </c>
      <c r="P47" s="1416" t="s">
        <v>817</v>
      </c>
      <c r="Q47" s="1417">
        <f ca="1">C40+J29</f>
        <v>12638</v>
      </c>
      <c r="R47" s="1417" t="s">
        <v>818</v>
      </c>
    </row>
    <row r="48" spans="1:18" s="1381" customFormat="1" ht="28.5" thickBot="1">
      <c r="A48" s="1107" t="s">
        <v>438</v>
      </c>
      <c r="B48" s="300" t="s">
        <v>692</v>
      </c>
      <c r="C48" s="3460">
        <f ca="1">C49+C53+C55</f>
        <v>0</v>
      </c>
      <c r="D48" s="1109"/>
      <c r="E48" s="1110"/>
      <c r="F48" s="959"/>
      <c r="G48" s="722"/>
      <c r="H48" s="723"/>
      <c r="I48" s="1418" t="s">
        <v>819</v>
      </c>
      <c r="J48" s="1419" t="s">
        <v>3409</v>
      </c>
      <c r="K48" s="1420" t="s">
        <v>820</v>
      </c>
      <c r="L48" s="1421">
        <f ca="1">INDIRECT("'数据-取费表'!f"&amp;$G$1)</f>
        <v>36.630000000000003</v>
      </c>
      <c r="O48" s="1415" t="s">
        <v>404</v>
      </c>
      <c r="P48" s="1416" t="s">
        <v>821</v>
      </c>
      <c r="Q48" s="1417">
        <f ca="1">J60</f>
        <v>605</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f>'数据-取费表'!N19</f>
        <v>2016</v>
      </c>
      <c r="K49" s="1420" t="s">
        <v>824</v>
      </c>
      <c r="L49" s="1424"/>
      <c r="O49" s="1425" t="s">
        <v>405</v>
      </c>
      <c r="P49" s="1416" t="s">
        <v>825</v>
      </c>
      <c r="Q49" s="1417">
        <f ca="1">C29</f>
        <v>21396</v>
      </c>
      <c r="R49" s="1417" t="s">
        <v>818</v>
      </c>
    </row>
    <row r="50" spans="1:18" s="1381" customFormat="1" ht="13.5" thickBot="1">
      <c r="A50" s="973"/>
      <c r="B50" s="976"/>
      <c r="C50" s="1115"/>
      <c r="D50" s="950"/>
      <c r="E50" s="1053" t="s">
        <v>697</v>
      </c>
      <c r="F50" s="1054">
        <f ca="1">F7</f>
        <v>1027</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12</v>
      </c>
      <c r="I51" s="1429" t="s">
        <v>829</v>
      </c>
      <c r="J51" s="1430">
        <f>IF(J49="",J50,J49+J50-YEAR('数据-取费表'!B2))</f>
        <v>53</v>
      </c>
      <c r="K51" s="1431" t="s">
        <v>830</v>
      </c>
      <c r="L51" s="1432">
        <f ca="1">ROUND(-PV(INDIRECT("'数据-取费表'!h"&amp;$G$1),J51,(C39-C13*C76),0),0)</f>
        <v>-13965</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'数据-取费表'!J6+0.005</f>
        <v>7.5000000000000011E-2</v>
      </c>
      <c r="K52" s="1434" t="s">
        <v>833</v>
      </c>
      <c r="L52" s="1435"/>
      <c r="O52" s="1425" t="s">
        <v>408</v>
      </c>
      <c r="P52" s="1416" t="s">
        <v>834</v>
      </c>
      <c r="Q52" s="1417">
        <f ca="1">J53</f>
        <v>36.630000000000003</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36.630000000000003</v>
      </c>
      <c r="K53" s="3686" t="s">
        <v>837</v>
      </c>
      <c r="L53" s="3687"/>
      <c r="O53" s="1415" t="s">
        <v>409</v>
      </c>
      <c r="P53" s="1416" t="s">
        <v>838</v>
      </c>
      <c r="Q53" s="1417">
        <f ca="1">Q47+Q48</f>
        <v>13243</v>
      </c>
      <c r="R53" s="1417" t="s">
        <v>410</v>
      </c>
    </row>
    <row r="54" spans="1:18" s="1381" customFormat="1" ht="13.5" thickBot="1">
      <c r="A54" s="1150"/>
      <c r="B54" s="1364" t="s">
        <v>679</v>
      </c>
      <c r="C54" s="956"/>
      <c r="D54" s="1363"/>
      <c r="E54" s="3449"/>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49"/>
      <c r="F55" s="1437"/>
      <c r="I55" s="1440" t="s">
        <v>840</v>
      </c>
      <c r="J55" s="1441">
        <f ca="1">ROUND(IF(J47="钢混",J57/J50,1-(1-2%)*(J50-J57)/J50),3)</f>
        <v>0.27300000000000002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18828</v>
      </c>
      <c r="D56" s="1444"/>
      <c r="E56" s="1445"/>
      <c r="F56" s="1437"/>
      <c r="I56" s="1446" t="s">
        <v>842</v>
      </c>
      <c r="J56" s="1447" t="s">
        <v>3410</v>
      </c>
      <c r="K56" s="1418" t="s">
        <v>843</v>
      </c>
      <c r="L56" s="1421" t="str">
        <f ca="1">IF(L48&lt;J51,"——",L48-J53)</f>
        <v>——</v>
      </c>
      <c r="O56" s="1415" t="s">
        <v>403</v>
      </c>
      <c r="P56" s="1416" t="s">
        <v>817</v>
      </c>
      <c r="Q56" s="1417">
        <f ca="1">C40+J29</f>
        <v>12638</v>
      </c>
      <c r="R56" s="1417" t="s">
        <v>818</v>
      </c>
    </row>
    <row r="57" spans="1:18" s="1381" customFormat="1" ht="24.75" thickBot="1">
      <c r="A57" s="1448"/>
      <c r="B57" s="947" t="s">
        <v>767</v>
      </c>
      <c r="C57" s="238">
        <f ca="1">C29</f>
        <v>21396</v>
      </c>
      <c r="D57" s="1449"/>
      <c r="E57" s="1450"/>
      <c r="F57" s="1451"/>
      <c r="I57" s="1452" t="s">
        <v>844</v>
      </c>
      <c r="J57" s="1453">
        <f ca="1">IF(OR(M47="住宅",J51&lt;L48,J56="是"),"——",J51-L48)</f>
        <v>16.369999999999997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241</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8558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605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3335</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8.49</v>
      </c>
      <c r="D62" s="962" t="s">
        <v>786</v>
      </c>
      <c r="E62" s="947" t="s">
        <v>787</v>
      </c>
      <c r="F62" s="325">
        <f t="shared" si="0"/>
        <v>18</v>
      </c>
      <c r="I62" s="1459" t="s">
        <v>858</v>
      </c>
      <c r="J62" s="1460" t="s">
        <v>859</v>
      </c>
      <c r="K62" s="1460" t="s">
        <v>860</v>
      </c>
      <c r="L62" s="1460" t="s">
        <v>861</v>
      </c>
      <c r="M62" s="1461" t="s">
        <v>862</v>
      </c>
      <c r="O62" s="1415" t="s">
        <v>409</v>
      </c>
      <c r="P62" s="1416" t="s">
        <v>838</v>
      </c>
      <c r="Q62" s="1417">
        <f ca="1">Q56+Q57</f>
        <v>12638</v>
      </c>
      <c r="R62" s="1417" t="s">
        <v>410</v>
      </c>
    </row>
    <row r="63" spans="1:18" s="1381" customFormat="1" ht="13.5" thickBot="1">
      <c r="A63" s="326"/>
      <c r="B63" s="953"/>
      <c r="C63" s="26"/>
      <c r="D63" s="963"/>
      <c r="E63" s="947" t="s">
        <v>788</v>
      </c>
      <c r="F63" s="303">
        <f t="shared" ca="1" si="0"/>
        <v>4716.92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213.96</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18.829999999999998</v>
      </c>
      <c r="D65" s="961" t="s">
        <v>743</v>
      </c>
      <c r="E65" s="947" t="s">
        <v>744</v>
      </c>
      <c r="F65" s="330">
        <f t="shared" ca="1" si="0"/>
        <v>1E-3</v>
      </c>
      <c r="I65" s="1459" t="s">
        <v>867</v>
      </c>
      <c r="J65" s="1460">
        <v>40</v>
      </c>
      <c r="K65" s="1460">
        <v>30</v>
      </c>
      <c r="L65" s="1460">
        <v>50</v>
      </c>
      <c r="M65" s="1462">
        <v>0.02</v>
      </c>
      <c r="O65" s="1415" t="s">
        <v>403</v>
      </c>
      <c r="P65" s="1416" t="s">
        <v>868</v>
      </c>
      <c r="Q65" s="1417">
        <f ca="1">C40+J29</f>
        <v>12638</v>
      </c>
      <c r="R65" s="1417" t="s">
        <v>818</v>
      </c>
    </row>
    <row r="66" spans="1:18" s="1381" customFormat="1" ht="16.5" thickBot="1">
      <c r="A66" s="979" t="s">
        <v>793</v>
      </c>
      <c r="B66" s="947" t="s">
        <v>728</v>
      </c>
      <c r="C66" s="21">
        <f ca="1">ROUND(C48*F66,2)</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-241</v>
      </c>
      <c r="D67" s="960" t="s">
        <v>753</v>
      </c>
      <c r="E67" s="965"/>
      <c r="F67" s="966"/>
      <c r="O67" s="1425" t="s">
        <v>405</v>
      </c>
      <c r="P67" s="1416" t="s">
        <v>850</v>
      </c>
      <c r="Q67" s="1463">
        <f ca="1">L51</f>
        <v>-13965</v>
      </c>
      <c r="R67" s="1417" t="s">
        <v>870</v>
      </c>
    </row>
    <row r="68" spans="1:18" s="1381" customFormat="1" ht="16.5" thickBot="1">
      <c r="A68" s="944" t="s">
        <v>395</v>
      </c>
      <c r="B68" s="945" t="s">
        <v>774</v>
      </c>
      <c r="C68" s="301">
        <f ca="1">ROUND(C67*(1-((1+F70)/(1+F68))^F69)/(F68-F70),0)</f>
        <v>-4013</v>
      </c>
      <c r="D68" s="962" t="s">
        <v>758</v>
      </c>
      <c r="E68" s="947" t="s">
        <v>759</v>
      </c>
      <c r="F68" s="312">
        <f ca="1">F40</f>
        <v>0.05</v>
      </c>
      <c r="O68" s="1425" t="s">
        <v>406</v>
      </c>
      <c r="P68" s="1464" t="s">
        <v>871</v>
      </c>
      <c r="Q68" s="1417">
        <f ca="1">ROUND(Q69-Q70*Q71,0)</f>
        <v>-696</v>
      </c>
      <c r="R68" s="1417" t="s">
        <v>414</v>
      </c>
    </row>
    <row r="69" spans="1:18" s="1381" customFormat="1" ht="13.5" thickBot="1">
      <c r="A69" s="948"/>
      <c r="B69" s="949"/>
      <c r="C69" s="306"/>
      <c r="D69" s="967" t="s">
        <v>762</v>
      </c>
      <c r="E69" s="947" t="s">
        <v>763</v>
      </c>
      <c r="F69" s="333">
        <f ca="1">F41</f>
        <v>36.630000000000003</v>
      </c>
      <c r="O69" s="1425" t="s">
        <v>411</v>
      </c>
      <c r="P69" s="1464" t="s">
        <v>872</v>
      </c>
      <c r="Q69" s="1417">
        <f ca="1">C39</f>
        <v>622</v>
      </c>
      <c r="R69" s="1417" t="s">
        <v>818</v>
      </c>
    </row>
    <row r="70" spans="1:18" s="1381" customFormat="1" ht="13.5" thickBot="1">
      <c r="A70" s="951"/>
      <c r="B70" s="952"/>
      <c r="C70" s="310"/>
      <c r="D70" s="963"/>
      <c r="E70" s="947" t="s">
        <v>766</v>
      </c>
      <c r="F70" s="1051"/>
      <c r="O70" s="1425" t="s">
        <v>412</v>
      </c>
      <c r="P70" s="1464" t="s">
        <v>873</v>
      </c>
      <c r="Q70" s="1417">
        <f ca="1">C13</f>
        <v>18828</v>
      </c>
      <c r="R70" s="1417" t="s">
        <v>818</v>
      </c>
    </row>
    <row r="71" spans="1:18" s="1381" customFormat="1" ht="13.5" thickBot="1">
      <c r="A71" s="968" t="s">
        <v>396</v>
      </c>
      <c r="B71" s="969" t="s">
        <v>776</v>
      </c>
      <c r="C71" s="336">
        <f ca="1">ROUND(C68*10000/F71,0)</f>
        <v>-1228</v>
      </c>
      <c r="D71" s="970" t="s">
        <v>777</v>
      </c>
      <c r="E71" s="971" t="s">
        <v>778</v>
      </c>
      <c r="F71" s="339">
        <f ca="1">F43</f>
        <v>32683.579999999998</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1318</v>
      </c>
      <c r="D75" s="1381"/>
      <c r="E75" s="1381"/>
      <c r="F75" s="1381"/>
      <c r="K75" s="1399"/>
      <c r="L75" s="1381"/>
      <c r="O75" s="1415" t="s">
        <v>409</v>
      </c>
      <c r="P75" s="1416" t="s">
        <v>838</v>
      </c>
      <c r="Q75" s="1417">
        <f ca="1">Q65+Q66</f>
        <v>12638</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-1.1190000000000002</v>
      </c>
    </row>
    <row r="80" spans="1:18">
      <c r="B80" s="340" t="s">
        <v>800</v>
      </c>
      <c r="C80" s="274">
        <f ca="1">ROUND(C75/C39,3)</f>
        <v>2.1190000000000002</v>
      </c>
    </row>
    <row r="81" spans="2:3">
      <c r="B81" s="270" t="s">
        <v>801</v>
      </c>
      <c r="C81" s="238"/>
    </row>
    <row r="82" spans="2:3">
      <c r="B82" s="273" t="s">
        <v>802</v>
      </c>
      <c r="C82" s="275">
        <f ca="1">1-C83</f>
        <v>-0.49</v>
      </c>
    </row>
    <row r="83" spans="2:3">
      <c r="B83" s="273" t="s">
        <v>803</v>
      </c>
      <c r="C83" s="274">
        <f ca="1">ROUND(C13/C40,3)</f>
        <v>1.49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1"/>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132744.37</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1665</v>
      </c>
      <c r="B4" s="356"/>
      <c r="C4" s="3727" t="s">
        <v>1666</v>
      </c>
      <c r="D4" s="3728"/>
      <c r="E4" s="3729" t="s">
        <v>1667</v>
      </c>
      <c r="F4" s="3730"/>
      <c r="G4" s="3727" t="s">
        <v>1668</v>
      </c>
      <c r="H4" s="3728"/>
      <c r="I4" s="3727" t="s">
        <v>1669</v>
      </c>
      <c r="J4" s="3728"/>
      <c r="K4" s="1886" t="s">
        <v>1670</v>
      </c>
      <c r="L4" s="2710"/>
      <c r="M4" s="2711"/>
      <c r="N4" s="2711"/>
      <c r="O4" s="2711"/>
      <c r="P4" s="3731" t="s">
        <v>1671</v>
      </c>
      <c r="Q4" s="3732"/>
      <c r="R4" s="3714" t="s">
        <v>1667</v>
      </c>
      <c r="S4" s="3715"/>
      <c r="T4" s="3714" t="s">
        <v>1668</v>
      </c>
      <c r="U4" s="3715"/>
      <c r="V4" s="3739" t="s">
        <v>1669</v>
      </c>
      <c r="W4" s="3739"/>
      <c r="X4" s="1352"/>
      <c r="Y4" s="3714" t="s">
        <v>1671</v>
      </c>
      <c r="Z4" s="3715"/>
      <c r="AA4" s="3709" t="s">
        <v>1667</v>
      </c>
      <c r="AB4" s="3709" t="s">
        <v>1668</v>
      </c>
      <c r="AC4" s="3709" t="s">
        <v>1669</v>
      </c>
    </row>
    <row r="5" spans="1:29" ht="15">
      <c r="A5" s="358"/>
      <c r="B5" s="359"/>
      <c r="C5" s="3720" t="s">
        <v>1672</v>
      </c>
      <c r="D5" s="3721"/>
      <c r="E5" s="3718" t="s">
        <v>1673</v>
      </c>
      <c r="F5" s="3719"/>
      <c r="G5" s="3720" t="s">
        <v>1674</v>
      </c>
      <c r="H5" s="3721"/>
      <c r="I5" s="3720" t="s">
        <v>1675</v>
      </c>
      <c r="J5" s="3721"/>
      <c r="K5" s="1887"/>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1887"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12" t="s">
        <v>1679</v>
      </c>
      <c r="Q7" s="3740"/>
      <c r="R7" s="701" t="s">
        <v>20</v>
      </c>
      <c r="S7" s="702">
        <f t="shared" ref="S7:S15" si="0">F7</f>
        <v>0</v>
      </c>
      <c r="T7" s="701" t="s">
        <v>20</v>
      </c>
      <c r="U7" s="702">
        <f t="shared" ref="U7:U15" si="1">H7</f>
        <v>0</v>
      </c>
      <c r="V7" s="701" t="s">
        <v>20</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12" t="s">
        <v>1682</v>
      </c>
      <c r="Q8" s="3713"/>
      <c r="R8" s="701" t="s">
        <v>20</v>
      </c>
      <c r="S8" s="702">
        <f t="shared" si="0"/>
        <v>100</v>
      </c>
      <c r="T8" s="701" t="s">
        <v>20</v>
      </c>
      <c r="U8" s="702">
        <f t="shared" si="1"/>
        <v>100</v>
      </c>
      <c r="V8" s="701" t="s">
        <v>20</v>
      </c>
      <c r="W8" s="702">
        <f t="shared" si="2"/>
        <v>100</v>
      </c>
      <c r="X8" s="703"/>
      <c r="Y8" s="3712" t="s">
        <v>1682</v>
      </c>
      <c r="Z8" s="371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6"/>
      <c r="Q11" s="1340"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726"/>
      <c r="Q12" s="1340">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726"/>
      <c r="Q13" s="1340">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726"/>
      <c r="Q14" s="1340">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15">
      <c r="A15" s="391" t="s">
        <v>1689</v>
      </c>
      <c r="B15" s="61" t="s">
        <v>1256</v>
      </c>
      <c r="C15" s="1893"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3" t="s">
        <v>1690</v>
      </c>
      <c r="Q15" s="1349" t="str">
        <f t="shared" si="6"/>
        <v>居住社区成熟度</v>
      </c>
      <c r="R15" s="705" t="s">
        <v>18</v>
      </c>
      <c r="S15" s="706">
        <f t="shared" si="0"/>
        <v>100</v>
      </c>
      <c r="T15" s="705" t="s">
        <v>18</v>
      </c>
      <c r="U15" s="706">
        <f t="shared" si="1"/>
        <v>100</v>
      </c>
      <c r="V15" s="705" t="s">
        <v>18</v>
      </c>
      <c r="W15" s="706">
        <f t="shared" si="2"/>
        <v>100</v>
      </c>
      <c r="X15" s="1352"/>
      <c r="Y15" s="3746"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54"/>
      <c r="Q16" s="1349"/>
      <c r="R16" s="705"/>
      <c r="S16" s="706"/>
      <c r="T16" s="705"/>
      <c r="U16" s="706"/>
      <c r="V16" s="705"/>
      <c r="W16" s="706"/>
      <c r="X16" s="1352"/>
      <c r="Y16" s="3747"/>
      <c r="Z16" s="1353"/>
      <c r="AA16" s="1350">
        <v>1</v>
      </c>
      <c r="AB16" s="1350">
        <v>1</v>
      </c>
      <c r="AC16" s="1350">
        <v>1</v>
      </c>
    </row>
    <row r="17" spans="1:29" ht="15">
      <c r="A17" s="379"/>
      <c r="B17" s="402" t="s">
        <v>1258</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4"/>
      <c r="Q17" s="1349" t="str">
        <f>B17</f>
        <v>交通便捷度</v>
      </c>
      <c r="R17" s="705" t="s">
        <v>18</v>
      </c>
      <c r="S17" s="706">
        <f>F17</f>
        <v>100</v>
      </c>
      <c r="T17" s="705" t="s">
        <v>18</v>
      </c>
      <c r="U17" s="706">
        <f>H17</f>
        <v>100</v>
      </c>
      <c r="V17" s="705" t="s">
        <v>18</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54"/>
      <c r="Q18" s="1349"/>
      <c r="R18" s="705"/>
      <c r="S18" s="706"/>
      <c r="T18" s="705"/>
      <c r="U18" s="706"/>
      <c r="V18" s="705"/>
      <c r="W18" s="706"/>
      <c r="X18" s="1352"/>
      <c r="Y18" s="3747"/>
      <c r="Z18" s="1353"/>
      <c r="AA18" s="1350">
        <v>1</v>
      </c>
      <c r="AB18" s="1350">
        <v>1</v>
      </c>
      <c r="AC18" s="1350">
        <v>1</v>
      </c>
    </row>
    <row r="19" spans="1:29" ht="15">
      <c r="A19" s="379"/>
      <c r="B19" s="402" t="s">
        <v>1257</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4"/>
      <c r="Q19" s="1349" t="str">
        <f>B19</f>
        <v>公共配套设施</v>
      </c>
      <c r="R19" s="705" t="s">
        <v>18</v>
      </c>
      <c r="S19" s="706">
        <f>F19</f>
        <v>100</v>
      </c>
      <c r="T19" s="705" t="s">
        <v>18</v>
      </c>
      <c r="U19" s="706">
        <f>H19</f>
        <v>100</v>
      </c>
      <c r="V19" s="705" t="s">
        <v>18</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54"/>
      <c r="Q20" s="1349"/>
      <c r="R20" s="705"/>
      <c r="S20" s="706"/>
      <c r="T20" s="705"/>
      <c r="U20" s="706"/>
      <c r="V20" s="705"/>
      <c r="W20" s="706"/>
      <c r="X20" s="1352"/>
      <c r="Y20" s="3747"/>
      <c r="Z20" s="1353"/>
      <c r="AA20" s="1350">
        <v>1</v>
      </c>
      <c r="AB20" s="1350">
        <v>1</v>
      </c>
      <c r="AC20" s="1350">
        <v>1</v>
      </c>
    </row>
    <row r="21" spans="1:29" ht="15">
      <c r="A21" s="379"/>
      <c r="B21" s="1128" t="s">
        <v>1259</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54"/>
      <c r="Q22" s="1349"/>
      <c r="R22" s="705"/>
      <c r="S22" s="706"/>
      <c r="T22" s="705"/>
      <c r="U22" s="706"/>
      <c r="V22" s="705"/>
      <c r="W22" s="706"/>
      <c r="X22" s="1352"/>
      <c r="Y22" s="3747"/>
      <c r="Z22" s="1353"/>
      <c r="AA22" s="1350">
        <v>1</v>
      </c>
      <c r="AB22" s="1350">
        <v>1</v>
      </c>
      <c r="AC22" s="1350">
        <v>1</v>
      </c>
    </row>
    <row r="23" spans="1:29" ht="15">
      <c r="A23" s="379"/>
      <c r="B23" s="402" t="s">
        <v>1260</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4"/>
      <c r="Q23" s="1349" t="str">
        <f>B23</f>
        <v>自然及人文环境</v>
      </c>
      <c r="R23" s="705" t="s">
        <v>18</v>
      </c>
      <c r="S23" s="706">
        <f>F23</f>
        <v>100</v>
      </c>
      <c r="T23" s="705" t="s">
        <v>18</v>
      </c>
      <c r="U23" s="706">
        <f>H23</f>
        <v>100</v>
      </c>
      <c r="V23" s="705" t="s">
        <v>18</v>
      </c>
      <c r="W23" s="706">
        <f>J23</f>
        <v>100</v>
      </c>
      <c r="X23" s="1352"/>
      <c r="Y23" s="3747"/>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54"/>
      <c r="Q24" s="1349"/>
      <c r="R24" s="705"/>
      <c r="S24" s="706"/>
      <c r="T24" s="705"/>
      <c r="U24" s="706"/>
      <c r="V24" s="705"/>
      <c r="W24" s="706"/>
      <c r="X24" s="1352"/>
      <c r="Y24" s="3747"/>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54"/>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47"/>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54"/>
      <c r="Q26" s="1349" t="str">
        <f t="shared" si="11"/>
        <v>朝向</v>
      </c>
      <c r="R26" s="705" t="s">
        <v>18</v>
      </c>
      <c r="S26" s="706">
        <f t="shared" si="12"/>
        <v>100</v>
      </c>
      <c r="T26" s="705" t="s">
        <v>18</v>
      </c>
      <c r="U26" s="706">
        <f t="shared" si="13"/>
        <v>100</v>
      </c>
      <c r="V26" s="705" t="s">
        <v>18</v>
      </c>
      <c r="W26" s="706">
        <f t="shared" si="14"/>
        <v>100</v>
      </c>
      <c r="X26" s="1352"/>
      <c r="Y26" s="3747"/>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54"/>
      <c r="Q27" s="1340">
        <f t="shared" si="11"/>
        <v>111</v>
      </c>
      <c r="R27" s="701" t="s">
        <v>18</v>
      </c>
      <c r="S27" s="702">
        <f t="shared" si="12"/>
        <v>100</v>
      </c>
      <c r="T27" s="701" t="s">
        <v>18</v>
      </c>
      <c r="U27" s="702">
        <f t="shared" si="13"/>
        <v>100</v>
      </c>
      <c r="V27" s="701" t="s">
        <v>18</v>
      </c>
      <c r="W27" s="702">
        <f t="shared" si="14"/>
        <v>100</v>
      </c>
      <c r="X27" s="703"/>
      <c r="Y27" s="3747"/>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54"/>
      <c r="Q28" s="1349">
        <f t="shared" si="11"/>
        <v>111</v>
      </c>
      <c r="R28" s="705" t="s">
        <v>18</v>
      </c>
      <c r="S28" s="706">
        <f t="shared" si="12"/>
        <v>100</v>
      </c>
      <c r="T28" s="705" t="s">
        <v>18</v>
      </c>
      <c r="U28" s="706">
        <f t="shared" si="13"/>
        <v>100</v>
      </c>
      <c r="V28" s="705" t="s">
        <v>18</v>
      </c>
      <c r="W28" s="706">
        <f t="shared" si="14"/>
        <v>100</v>
      </c>
      <c r="X28" s="1352"/>
      <c r="Y28" s="3747"/>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54"/>
      <c r="Q29" s="1349">
        <f t="shared" si="11"/>
        <v>111</v>
      </c>
      <c r="R29" s="705" t="s">
        <v>18</v>
      </c>
      <c r="S29" s="706">
        <f t="shared" si="12"/>
        <v>100</v>
      </c>
      <c r="T29" s="705" t="s">
        <v>18</v>
      </c>
      <c r="U29" s="706">
        <f t="shared" si="13"/>
        <v>100</v>
      </c>
      <c r="V29" s="705" t="s">
        <v>18</v>
      </c>
      <c r="W29" s="706">
        <f t="shared" si="14"/>
        <v>100</v>
      </c>
      <c r="X29" s="1352"/>
      <c r="Y29" s="3747"/>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54"/>
      <c r="Q30" s="1349">
        <f t="shared" si="11"/>
        <v>111</v>
      </c>
      <c r="R30" s="705" t="s">
        <v>18</v>
      </c>
      <c r="S30" s="706">
        <f t="shared" si="12"/>
        <v>100</v>
      </c>
      <c r="T30" s="705" t="s">
        <v>18</v>
      </c>
      <c r="U30" s="706">
        <f t="shared" si="13"/>
        <v>100</v>
      </c>
      <c r="V30" s="705" t="s">
        <v>18</v>
      </c>
      <c r="W30" s="706">
        <f t="shared" si="14"/>
        <v>100</v>
      </c>
      <c r="X30" s="1352"/>
      <c r="Y30" s="3747"/>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54"/>
      <c r="Q31" s="1349">
        <f t="shared" si="11"/>
        <v>111</v>
      </c>
      <c r="R31" s="705" t="s">
        <v>18</v>
      </c>
      <c r="S31" s="706">
        <f t="shared" si="12"/>
        <v>100</v>
      </c>
      <c r="T31" s="705" t="s">
        <v>18</v>
      </c>
      <c r="U31" s="706">
        <f t="shared" si="13"/>
        <v>100</v>
      </c>
      <c r="V31" s="705" t="s">
        <v>18</v>
      </c>
      <c r="W31" s="706">
        <f t="shared" si="14"/>
        <v>100</v>
      </c>
      <c r="X31" s="1352"/>
      <c r="Y31" s="3747"/>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48" t="s">
        <v>1695</v>
      </c>
      <c r="Q32" s="1349" t="str">
        <f t="shared" si="11"/>
        <v>建筑类型</v>
      </c>
      <c r="R32" s="705" t="s">
        <v>18</v>
      </c>
      <c r="S32" s="706">
        <f t="shared" si="12"/>
        <v>100</v>
      </c>
      <c r="T32" s="705" t="s">
        <v>18</v>
      </c>
      <c r="U32" s="706">
        <f t="shared" si="13"/>
        <v>100</v>
      </c>
      <c r="V32" s="705" t="s">
        <v>18</v>
      </c>
      <c r="W32" s="706">
        <f t="shared" si="14"/>
        <v>100</v>
      </c>
      <c r="X32" s="1352"/>
      <c r="Y32" s="3751"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49"/>
      <c r="Q33" s="707" t="str">
        <f t="shared" si="11"/>
        <v>项目建筑规模</v>
      </c>
      <c r="R33" s="708" t="s">
        <v>18</v>
      </c>
      <c r="S33" s="709" t="e">
        <f t="shared" si="12"/>
        <v>#N/A</v>
      </c>
      <c r="T33" s="708" t="s">
        <v>18</v>
      </c>
      <c r="U33" s="709" t="e">
        <f t="shared" si="13"/>
        <v>#N/A</v>
      </c>
      <c r="V33" s="708" t="s">
        <v>18</v>
      </c>
      <c r="W33" s="709" t="e">
        <f t="shared" si="14"/>
        <v>#N/A</v>
      </c>
      <c r="X33" s="710"/>
      <c r="Y33" s="3751"/>
      <c r="Z33" s="711"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49"/>
      <c r="Q34" s="1349" t="str">
        <f t="shared" si="11"/>
        <v>建筑结构</v>
      </c>
      <c r="R34" s="705" t="s">
        <v>18</v>
      </c>
      <c r="S34" s="706">
        <f t="shared" si="12"/>
        <v>100</v>
      </c>
      <c r="T34" s="705" t="s">
        <v>18</v>
      </c>
      <c r="U34" s="706">
        <f t="shared" si="13"/>
        <v>100</v>
      </c>
      <c r="V34" s="705" t="s">
        <v>18</v>
      </c>
      <c r="W34" s="706">
        <f t="shared" si="14"/>
        <v>100</v>
      </c>
      <c r="X34" s="1352"/>
      <c r="Y34" s="3751"/>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49"/>
      <c r="Q35" s="1349" t="str">
        <f t="shared" si="11"/>
        <v>建筑品质</v>
      </c>
      <c r="R35" s="705" t="s">
        <v>18</v>
      </c>
      <c r="S35" s="706">
        <f t="shared" si="12"/>
        <v>100</v>
      </c>
      <c r="T35" s="705" t="s">
        <v>18</v>
      </c>
      <c r="U35" s="706">
        <f t="shared" si="13"/>
        <v>100</v>
      </c>
      <c r="V35" s="705" t="s">
        <v>18</v>
      </c>
      <c r="W35" s="706">
        <f t="shared" si="14"/>
        <v>100</v>
      </c>
      <c r="X35" s="1352"/>
      <c r="Y35" s="3751"/>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49"/>
      <c r="Q36" s="1349" t="str">
        <f t="shared" si="11"/>
        <v>公共部分装修</v>
      </c>
      <c r="R36" s="705" t="s">
        <v>18</v>
      </c>
      <c r="S36" s="706">
        <f t="shared" si="12"/>
        <v>100</v>
      </c>
      <c r="T36" s="705" t="s">
        <v>18</v>
      </c>
      <c r="U36" s="706">
        <f t="shared" si="13"/>
        <v>100</v>
      </c>
      <c r="V36" s="705" t="s">
        <v>18</v>
      </c>
      <c r="W36" s="706">
        <f t="shared" si="14"/>
        <v>100</v>
      </c>
      <c r="X36" s="1352"/>
      <c r="Y36" s="3751"/>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49"/>
      <c r="Q37" s="1340" t="str">
        <f t="shared" si="11"/>
        <v>成新度</v>
      </c>
      <c r="R37" s="701" t="s">
        <v>18</v>
      </c>
      <c r="S37" s="702" t="e">
        <f t="shared" si="12"/>
        <v>#N/A</v>
      </c>
      <c r="T37" s="701" t="s">
        <v>18</v>
      </c>
      <c r="U37" s="702" t="e">
        <f t="shared" si="13"/>
        <v>#N/A</v>
      </c>
      <c r="V37" s="701" t="s">
        <v>18</v>
      </c>
      <c r="W37" s="702" t="e">
        <f t="shared" si="14"/>
        <v>#N/A</v>
      </c>
      <c r="X37" s="703"/>
      <c r="Y37" s="3751"/>
      <c r="Z37" s="52" t="str">
        <f t="shared" si="18"/>
        <v>成新度</v>
      </c>
      <c r="AA37" s="704" t="e">
        <f t="shared" si="15"/>
        <v>#N/A</v>
      </c>
      <c r="AB37" s="704" t="e">
        <f t="shared" si="16"/>
        <v>#N/A</v>
      </c>
      <c r="AC37" s="704"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49" t="s">
        <v>1695</v>
      </c>
      <c r="Q38" s="1349" t="str">
        <f t="shared" si="11"/>
        <v>物业管理</v>
      </c>
      <c r="R38" s="705" t="s">
        <v>18</v>
      </c>
      <c r="S38" s="706">
        <f t="shared" si="12"/>
        <v>100</v>
      </c>
      <c r="T38" s="705" t="s">
        <v>18</v>
      </c>
      <c r="U38" s="706">
        <f t="shared" si="13"/>
        <v>100</v>
      </c>
      <c r="V38" s="705" t="s">
        <v>18</v>
      </c>
      <c r="W38" s="706">
        <f t="shared" si="14"/>
        <v>100</v>
      </c>
      <c r="X38" s="1352"/>
      <c r="Y38" s="3751"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49"/>
      <c r="Q39" s="1349" t="str">
        <f t="shared" si="11"/>
        <v>市政基础设施</v>
      </c>
      <c r="R39" s="705" t="s">
        <v>18</v>
      </c>
      <c r="S39" s="706">
        <f t="shared" si="12"/>
        <v>100</v>
      </c>
      <c r="T39" s="705" t="s">
        <v>18</v>
      </c>
      <c r="U39" s="706">
        <f t="shared" si="13"/>
        <v>100</v>
      </c>
      <c r="V39" s="705" t="s">
        <v>18</v>
      </c>
      <c r="W39" s="706">
        <f t="shared" si="14"/>
        <v>100</v>
      </c>
      <c r="X39" s="1352"/>
      <c r="Y39" s="3751"/>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49"/>
      <c r="Q40" s="1349" t="str">
        <f t="shared" si="11"/>
        <v>房型</v>
      </c>
      <c r="R40" s="705" t="s">
        <v>18</v>
      </c>
      <c r="S40" s="706">
        <f t="shared" si="12"/>
        <v>100</v>
      </c>
      <c r="T40" s="705" t="s">
        <v>18</v>
      </c>
      <c r="U40" s="706">
        <f t="shared" si="13"/>
        <v>100</v>
      </c>
      <c r="V40" s="705" t="s">
        <v>18</v>
      </c>
      <c r="W40" s="706">
        <f t="shared" si="14"/>
        <v>100</v>
      </c>
      <c r="X40" s="1352"/>
      <c r="Y40" s="3751"/>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49"/>
      <c r="Q41" s="707" t="str">
        <f t="shared" si="11"/>
        <v>单套/主力户型建筑面积</v>
      </c>
      <c r="R41" s="708" t="s">
        <v>18</v>
      </c>
      <c r="S41" s="709">
        <f t="shared" si="12"/>
        <v>100</v>
      </c>
      <c r="T41" s="708" t="s">
        <v>18</v>
      </c>
      <c r="U41" s="709">
        <f t="shared" si="13"/>
        <v>100</v>
      </c>
      <c r="V41" s="708" t="s">
        <v>18</v>
      </c>
      <c r="W41" s="709">
        <f t="shared" si="14"/>
        <v>100</v>
      </c>
      <c r="X41" s="710"/>
      <c r="Y41" s="3751"/>
      <c r="Z41" s="711"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49"/>
      <c r="Q42" s="1349" t="str">
        <f t="shared" si="11"/>
        <v>内部装修</v>
      </c>
      <c r="R42" s="705" t="s">
        <v>18</v>
      </c>
      <c r="S42" s="706">
        <f t="shared" si="12"/>
        <v>100</v>
      </c>
      <c r="T42" s="705" t="s">
        <v>18</v>
      </c>
      <c r="U42" s="706">
        <f t="shared" si="13"/>
        <v>100</v>
      </c>
      <c r="V42" s="705" t="s">
        <v>18</v>
      </c>
      <c r="W42" s="706">
        <f t="shared" si="14"/>
        <v>100</v>
      </c>
      <c r="X42" s="1352"/>
      <c r="Y42" s="3751"/>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49"/>
      <c r="Q43" s="1349" t="str">
        <f t="shared" si="11"/>
        <v>内部装修维护情况</v>
      </c>
      <c r="R43" s="705" t="s">
        <v>18</v>
      </c>
      <c r="S43" s="706">
        <f t="shared" si="12"/>
        <v>100</v>
      </c>
      <c r="T43" s="705" t="s">
        <v>18</v>
      </c>
      <c r="U43" s="706">
        <f t="shared" si="13"/>
        <v>100</v>
      </c>
      <c r="V43" s="705" t="s">
        <v>18</v>
      </c>
      <c r="W43" s="706">
        <f t="shared" si="14"/>
        <v>100</v>
      </c>
      <c r="X43" s="1352"/>
      <c r="Y43" s="3751"/>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49"/>
      <c r="Q44" s="1340">
        <f t="shared" si="11"/>
        <v>111</v>
      </c>
      <c r="R44" s="701" t="s">
        <v>18</v>
      </c>
      <c r="S44" s="702">
        <f t="shared" si="12"/>
        <v>100</v>
      </c>
      <c r="T44" s="701" t="s">
        <v>18</v>
      </c>
      <c r="U44" s="702">
        <f t="shared" si="13"/>
        <v>100</v>
      </c>
      <c r="V44" s="701" t="s">
        <v>18</v>
      </c>
      <c r="W44" s="702">
        <f t="shared" si="14"/>
        <v>100</v>
      </c>
      <c r="X44" s="703"/>
      <c r="Y44" s="3751"/>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49"/>
      <c r="Q45" s="1349">
        <f t="shared" si="11"/>
        <v>111</v>
      </c>
      <c r="R45" s="705" t="s">
        <v>18</v>
      </c>
      <c r="S45" s="706">
        <f t="shared" si="12"/>
        <v>100</v>
      </c>
      <c r="T45" s="705" t="s">
        <v>18</v>
      </c>
      <c r="U45" s="706">
        <f t="shared" si="13"/>
        <v>100</v>
      </c>
      <c r="V45" s="705" t="s">
        <v>18</v>
      </c>
      <c r="W45" s="706">
        <f t="shared" si="14"/>
        <v>100</v>
      </c>
      <c r="X45" s="1352"/>
      <c r="Y45" s="3751"/>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50"/>
      <c r="Q46" s="1349">
        <f t="shared" si="11"/>
        <v>111</v>
      </c>
      <c r="R46" s="705" t="s">
        <v>17</v>
      </c>
      <c r="S46" s="706">
        <f t="shared" si="12"/>
        <v>100</v>
      </c>
      <c r="T46" s="705" t="s">
        <v>17</v>
      </c>
      <c r="U46" s="706">
        <f t="shared" si="13"/>
        <v>100</v>
      </c>
      <c r="V46" s="705" t="s">
        <v>17</v>
      </c>
      <c r="W46" s="706">
        <f t="shared" si="14"/>
        <v>100</v>
      </c>
      <c r="X46" s="1352"/>
      <c r="Y46" s="3752"/>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19"/>
      <c r="M47" s="2720"/>
      <c r="N47" s="2711"/>
      <c r="O47" s="2720"/>
      <c r="P47" s="3744" t="str">
        <f>A47</f>
        <v>成交单价（元/平方米）</v>
      </c>
      <c r="Q47" s="3744"/>
      <c r="R47" s="3745">
        <f>E47</f>
        <v>0</v>
      </c>
      <c r="S47" s="3745"/>
      <c r="T47" s="3745">
        <f>G47</f>
        <v>0</v>
      </c>
      <c r="U47" s="3745"/>
      <c r="V47" s="3745">
        <f>I47</f>
        <v>0</v>
      </c>
      <c r="W47" s="3745"/>
      <c r="X47" s="690"/>
      <c r="Y47" s="712"/>
      <c r="Z47" s="690"/>
      <c r="AA47" s="690"/>
      <c r="AB47" s="690"/>
      <c r="AC47" s="690"/>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19"/>
      <c r="M48" s="2720"/>
      <c r="N48" s="2720"/>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1709</v>
      </c>
      <c r="B49" s="442"/>
      <c r="C49" s="1159" t="e">
        <f>R49</f>
        <v>#DIV/0!</v>
      </c>
      <c r="D49" s="1160"/>
      <c r="E49" s="1160"/>
      <c r="F49" s="1160"/>
      <c r="G49" s="1160"/>
      <c r="H49" s="1160"/>
      <c r="I49" s="1160"/>
      <c r="J49" s="1160"/>
      <c r="K49" s="1912"/>
      <c r="L49" s="2719"/>
      <c r="M49" s="2720"/>
      <c r="N49" s="2720"/>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4" t="s">
        <v>1713</v>
      </c>
      <c r="B57" s="690"/>
      <c r="C57" s="695"/>
      <c r="D57" s="695"/>
      <c r="E57" s="695"/>
      <c r="F57" s="696"/>
      <c r="G57" s="696"/>
      <c r="H57" s="695"/>
      <c r="I57" s="695"/>
      <c r="J57" s="695"/>
      <c r="K57" s="938"/>
      <c r="L57" s="939"/>
      <c r="M57" s="937"/>
      <c r="N57" s="937"/>
      <c r="O57" s="937"/>
      <c r="P57" s="1915"/>
      <c r="Q57" s="453"/>
    </row>
    <row r="58" spans="1:29" s="457" customFormat="1" ht="15">
      <c r="A58" s="454" t="s">
        <v>1714</v>
      </c>
      <c r="B58" s="455"/>
      <c r="C58" s="1183" t="str">
        <f>YEAR(C7)&amp;"-"&amp;MONTH(C7)</f>
        <v>2023-7</v>
      </c>
      <c r="D58" s="1182">
        <f>EDATE(C58,-1)</f>
        <v>45078</v>
      </c>
      <c r="E58" s="1182">
        <f>EDATE(D58,-1)</f>
        <v>45047</v>
      </c>
      <c r="F58" s="1182">
        <f t="shared" ref="F58:O58" si="19">EDATE(E58,-1)</f>
        <v>45017</v>
      </c>
      <c r="G58" s="1182">
        <f t="shared" si="19"/>
        <v>44986</v>
      </c>
      <c r="H58" s="1182">
        <f t="shared" si="19"/>
        <v>44958</v>
      </c>
      <c r="I58" s="1182">
        <f t="shared" si="19"/>
        <v>44927</v>
      </c>
      <c r="J58" s="1182">
        <f t="shared" si="19"/>
        <v>44896</v>
      </c>
      <c r="K58" s="1182">
        <f t="shared" si="19"/>
        <v>44866</v>
      </c>
      <c r="L58" s="1182">
        <f t="shared" si="19"/>
        <v>44835</v>
      </c>
      <c r="M58" s="1182">
        <f t="shared" si="19"/>
        <v>44805</v>
      </c>
      <c r="N58" s="1182">
        <f t="shared" si="19"/>
        <v>44774</v>
      </c>
      <c r="O58" s="1182">
        <f t="shared" si="19"/>
        <v>44743</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1718</v>
      </c>
      <c r="B63" s="477" t="s">
        <v>1684</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1687</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1733</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1734</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1693</v>
      </c>
      <c r="B100" s="477" t="s">
        <v>1735</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1737</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1738</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1739</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1740</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1741</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1742</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1704</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1743</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4">
        <v>6</v>
      </c>
      <c r="C139" s="865">
        <v>96</v>
      </c>
      <c r="D139" s="1937" t="s">
        <v>1754</v>
      </c>
      <c r="E139" s="866">
        <v>100</v>
      </c>
      <c r="F139" s="867">
        <v>102.5</v>
      </c>
      <c r="G139" s="1937" t="s">
        <v>1754</v>
      </c>
      <c r="H139" s="868">
        <v>105</v>
      </c>
      <c r="I139" s="1938" t="s">
        <v>1755</v>
      </c>
      <c r="J139" s="865">
        <v>20</v>
      </c>
      <c r="K139" s="869">
        <f>C145/(J139-2)</f>
        <v>4.0555555555555553E-3</v>
      </c>
    </row>
    <row r="140" spans="1:17" ht="15">
      <c r="B140" s="870">
        <v>5</v>
      </c>
      <c r="C140" s="871">
        <v>100</v>
      </c>
      <c r="D140" s="871"/>
      <c r="E140" s="872"/>
      <c r="F140" s="873">
        <v>102</v>
      </c>
      <c r="G140" s="871"/>
      <c r="H140" s="874"/>
      <c r="I140" s="1939" t="s">
        <v>1756</v>
      </c>
      <c r="J140" s="271">
        <f>ROUNDUP((J139-1)/2,0)</f>
        <v>10</v>
      </c>
      <c r="K140" s="875">
        <v>100</v>
      </c>
    </row>
    <row r="141" spans="1:17" ht="15">
      <c r="B141" s="870">
        <v>4</v>
      </c>
      <c r="C141" s="871">
        <v>102</v>
      </c>
      <c r="D141" s="871"/>
      <c r="E141" s="872"/>
      <c r="F141" s="873">
        <v>101.5</v>
      </c>
      <c r="G141" s="871"/>
      <c r="H141" s="874"/>
      <c r="I141" s="1939" t="s">
        <v>1757</v>
      </c>
      <c r="J141" s="271">
        <v>1</v>
      </c>
      <c r="K141" s="876">
        <f>ROUND(100+(J141-J140)*K139*100,1)</f>
        <v>96.4</v>
      </c>
    </row>
    <row r="142" spans="1:17" ht="15">
      <c r="B142" s="870">
        <v>3</v>
      </c>
      <c r="C142" s="871">
        <v>103</v>
      </c>
      <c r="D142" s="871"/>
      <c r="E142" s="872"/>
      <c r="F142" s="873">
        <v>101</v>
      </c>
      <c r="G142" s="871"/>
      <c r="H142" s="874"/>
      <c r="I142" s="1939" t="s">
        <v>1758</v>
      </c>
      <c r="J142" s="271">
        <f>J139</f>
        <v>20</v>
      </c>
      <c r="K142" s="877">
        <v>95</v>
      </c>
    </row>
    <row r="143" spans="1:17" ht="15">
      <c r="B143" s="870">
        <v>2</v>
      </c>
      <c r="C143" s="871">
        <v>100</v>
      </c>
      <c r="D143" s="871"/>
      <c r="E143" s="872"/>
      <c r="F143" s="873">
        <v>100.5</v>
      </c>
      <c r="G143" s="871"/>
      <c r="H143" s="874"/>
      <c r="I143" s="1939" t="s">
        <v>1759</v>
      </c>
      <c r="J143" s="871">
        <v>15</v>
      </c>
      <c r="K143" s="876">
        <f>ROUND(100+(J143-J140)*K139*100,1)</f>
        <v>102</v>
      </c>
    </row>
    <row r="144" spans="1:17" ht="15">
      <c r="B144" s="870">
        <v>1</v>
      </c>
      <c r="C144" s="871">
        <v>98</v>
      </c>
      <c r="D144" s="1940" t="s">
        <v>1760</v>
      </c>
      <c r="E144" s="872">
        <v>102</v>
      </c>
      <c r="F144" s="878">
        <v>100</v>
      </c>
      <c r="G144" s="1940" t="s">
        <v>1760</v>
      </c>
      <c r="H144" s="874">
        <v>105</v>
      </c>
      <c r="I144" s="1939" t="s">
        <v>1759</v>
      </c>
      <c r="J144" s="871">
        <v>18</v>
      </c>
      <c r="K144" s="876">
        <f>ROUND(100+(J144-J140)*K139*100,1)</f>
        <v>103.2</v>
      </c>
    </row>
    <row r="145" spans="2:11" ht="15.75" thickBot="1">
      <c r="B145" s="1941" t="s">
        <v>1761</v>
      </c>
      <c r="C145" s="879">
        <f>ROUND(MAX(C139:C144)/MIN(C139:C144)-1,3)</f>
        <v>7.2999999999999995E-2</v>
      </c>
      <c r="D145" s="880"/>
      <c r="E145" s="880"/>
      <c r="F145" s="1942" t="s">
        <v>1762</v>
      </c>
      <c r="G145" s="1943"/>
      <c r="H145" s="1944"/>
      <c r="I145" s="1945" t="s">
        <v>1759</v>
      </c>
      <c r="J145" s="881">
        <v>8</v>
      </c>
      <c r="K145" s="882">
        <f>ROUND(100+(J145-J140)*K139*100,1)</f>
        <v>99.2</v>
      </c>
    </row>
    <row r="147" spans="2:11">
      <c r="B147" s="1926" t="s">
        <v>1763</v>
      </c>
    </row>
    <row r="148" spans="2:11">
      <c r="B148" s="192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c r="E1" s="3421"/>
      <c r="F1" s="1876"/>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1463</v>
      </c>
      <c r="B3" s="558">
        <f>IF(C2="——",C49,ROUND(B2*10000/D3,0))</f>
        <v>0</v>
      </c>
      <c r="C3" s="354" t="s">
        <v>1767</v>
      </c>
      <c r="D3" s="353">
        <f>IF(D1="",'数据-汇总表'!E3,SUMIF('数据-汇总表'!$C19:$C33,D1,'数据-汇总表'!$E19:$E33))</f>
        <v>132744.37</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39"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39"/>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39"/>
      <c r="AC6" s="3711"/>
    </row>
    <row r="7" spans="1:29" s="108" customFormat="1" ht="15.75" thickBot="1">
      <c r="A7" s="362" t="s">
        <v>1678</v>
      </c>
      <c r="B7" s="363"/>
      <c r="C7" s="364">
        <f>'数据-取费表'!B2</f>
        <v>45118</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26"/>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26"/>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6"/>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6"/>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15">
      <c r="A15" s="391" t="s">
        <v>1689</v>
      </c>
      <c r="B15" s="61" t="s">
        <v>1776</v>
      </c>
      <c r="C15" s="1893"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53" t="s">
        <v>1690</v>
      </c>
      <c r="Q15" s="1349" t="str">
        <f t="shared" si="6"/>
        <v>商业繁华度</v>
      </c>
      <c r="R15" s="705" t="s">
        <v>14</v>
      </c>
      <c r="S15" s="706">
        <f t="shared" si="0"/>
        <v>100</v>
      </c>
      <c r="T15" s="705" t="s">
        <v>14</v>
      </c>
      <c r="U15" s="706">
        <f t="shared" si="1"/>
        <v>100</v>
      </c>
      <c r="V15" s="705" t="s">
        <v>14</v>
      </c>
      <c r="W15" s="706">
        <f t="shared" si="2"/>
        <v>100</v>
      </c>
      <c r="X15" s="1352"/>
      <c r="Y15" s="3746" t="s">
        <v>1690</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54"/>
      <c r="Q16" s="1349"/>
      <c r="R16" s="705"/>
      <c r="S16" s="706"/>
      <c r="T16" s="705"/>
      <c r="U16" s="706"/>
      <c r="V16" s="705"/>
      <c r="W16" s="706"/>
      <c r="X16" s="1352"/>
      <c r="Y16" s="3747"/>
      <c r="Z16" s="1353"/>
      <c r="AA16" s="1350">
        <v>1</v>
      </c>
      <c r="AB16" s="1350">
        <v>1</v>
      </c>
      <c r="AC16" s="1350">
        <v>1</v>
      </c>
    </row>
    <row r="17" spans="1:29" ht="15">
      <c r="A17" s="379"/>
      <c r="B17" s="402" t="s">
        <v>1258</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54"/>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7"/>
      <c r="M18" s="2711"/>
      <c r="N18" s="2711"/>
      <c r="O18" s="2711"/>
      <c r="P18" s="3754"/>
      <c r="Q18" s="1349"/>
      <c r="R18" s="705"/>
      <c r="S18" s="706"/>
      <c r="T18" s="705"/>
      <c r="U18" s="706"/>
      <c r="V18" s="705"/>
      <c r="W18" s="706"/>
      <c r="X18" s="1352"/>
      <c r="Y18" s="3747"/>
      <c r="Z18" s="1353"/>
      <c r="AA18" s="1350">
        <v>1</v>
      </c>
      <c r="AB18" s="1350">
        <v>1</v>
      </c>
      <c r="AC18" s="1350">
        <v>1</v>
      </c>
    </row>
    <row r="19" spans="1:29" ht="15">
      <c r="A19" s="379"/>
      <c r="B19" s="402" t="s">
        <v>1777</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54"/>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7"/>
      <c r="M20" s="2711"/>
      <c r="N20" s="2711"/>
      <c r="O20" s="2711"/>
      <c r="P20" s="3754"/>
      <c r="Q20" s="1349"/>
      <c r="R20" s="705"/>
      <c r="S20" s="706"/>
      <c r="T20" s="705"/>
      <c r="U20" s="706"/>
      <c r="V20" s="705"/>
      <c r="W20" s="706"/>
      <c r="X20" s="1352"/>
      <c r="Y20" s="3747"/>
      <c r="Z20" s="1353"/>
      <c r="AA20" s="1350">
        <v>1</v>
      </c>
      <c r="AB20" s="1350">
        <v>1</v>
      </c>
      <c r="AC20" s="1350">
        <v>1</v>
      </c>
    </row>
    <row r="21" spans="1:29" ht="15">
      <c r="A21" s="379"/>
      <c r="B21" s="1128" t="s">
        <v>1778</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7"/>
      <c r="M22" s="2711"/>
      <c r="N22" s="2711"/>
      <c r="O22" s="2711"/>
      <c r="P22" s="3754"/>
      <c r="Q22" s="1349"/>
      <c r="R22" s="705"/>
      <c r="S22" s="706"/>
      <c r="T22" s="705"/>
      <c r="U22" s="706"/>
      <c r="V22" s="705"/>
      <c r="W22" s="706"/>
      <c r="X22" s="1352"/>
      <c r="Y22" s="3747"/>
      <c r="Z22" s="1353"/>
      <c r="AA22" s="1350">
        <v>1</v>
      </c>
      <c r="AB22" s="1350">
        <v>1</v>
      </c>
      <c r="AC22" s="1350">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54"/>
      <c r="Q23" s="1349" t="str">
        <f>B23</f>
        <v>自然及人文环境</v>
      </c>
      <c r="R23" s="705" t="s">
        <v>14</v>
      </c>
      <c r="S23" s="706">
        <f>F23</f>
        <v>100</v>
      </c>
      <c r="T23" s="705" t="s">
        <v>14</v>
      </c>
      <c r="U23" s="706">
        <f>H23</f>
        <v>100</v>
      </c>
      <c r="V23" s="705" t="s">
        <v>14</v>
      </c>
      <c r="W23" s="706">
        <f>J23</f>
        <v>100</v>
      </c>
      <c r="X23" s="1352"/>
      <c r="Y23" s="3747"/>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7"/>
      <c r="M24" s="2711"/>
      <c r="N24" s="2711"/>
      <c r="O24" s="2711"/>
      <c r="P24" s="3754"/>
      <c r="Q24" s="1349"/>
      <c r="R24" s="705"/>
      <c r="S24" s="706"/>
      <c r="T24" s="705"/>
      <c r="U24" s="706"/>
      <c r="V24" s="705"/>
      <c r="W24" s="706"/>
      <c r="X24" s="1352"/>
      <c r="Y24" s="3747"/>
      <c r="Z24" s="1353"/>
      <c r="AA24" s="1350">
        <v>1</v>
      </c>
      <c r="AB24" s="1350">
        <v>1</v>
      </c>
      <c r="AC24" s="1350">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54"/>
      <c r="Q25" s="1349" t="str">
        <f t="shared" ref="Q25:Q46" si="11">B25</f>
        <v>临街状况</v>
      </c>
      <c r="R25" s="705" t="s">
        <v>14</v>
      </c>
      <c r="S25" s="706">
        <f>F25</f>
        <v>100</v>
      </c>
      <c r="T25" s="705" t="s">
        <v>14</v>
      </c>
      <c r="U25" s="706">
        <f>H25</f>
        <v>100</v>
      </c>
      <c r="V25" s="705" t="s">
        <v>14</v>
      </c>
      <c r="W25" s="706">
        <f>J25</f>
        <v>100</v>
      </c>
      <c r="X25" s="1352"/>
      <c r="Y25" s="3747"/>
      <c r="Z25" s="1353" t="str">
        <f>Q25</f>
        <v>临街状况</v>
      </c>
      <c r="AA25" s="1350">
        <f t="shared" si="3"/>
        <v>1</v>
      </c>
      <c r="AB25" s="1350">
        <f t="shared" si="4"/>
        <v>1</v>
      </c>
      <c r="AC25" s="1350">
        <f t="shared" si="5"/>
        <v>1</v>
      </c>
    </row>
    <row r="26" spans="1:29" ht="15">
      <c r="A26" s="379"/>
      <c r="B26" s="1130" t="s">
        <v>1780</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54"/>
      <c r="Q26" s="1349" t="str">
        <f t="shared" si="11"/>
        <v>平面位置/可视性</v>
      </c>
      <c r="R26" s="705" t="s">
        <v>14</v>
      </c>
      <c r="S26" s="706">
        <f>F26</f>
        <v>100</v>
      </c>
      <c r="T26" s="705" t="s">
        <v>14</v>
      </c>
      <c r="U26" s="706">
        <f>H26</f>
        <v>100</v>
      </c>
      <c r="V26" s="705" t="s">
        <v>14</v>
      </c>
      <c r="W26" s="706">
        <f>J26</f>
        <v>100</v>
      </c>
      <c r="X26" s="1352"/>
      <c r="Y26" s="3747"/>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2"/>
      <c r="M27" s="2713"/>
      <c r="N27" s="2713"/>
      <c r="O27" s="2713"/>
      <c r="P27" s="3754"/>
      <c r="Q27" s="1340" t="str">
        <f t="shared" si="11"/>
        <v>人流量</v>
      </c>
      <c r="R27" s="701" t="s">
        <v>14</v>
      </c>
      <c r="S27" s="702">
        <f>F27</f>
        <v>100</v>
      </c>
      <c r="T27" s="701" t="s">
        <v>14</v>
      </c>
      <c r="U27" s="702">
        <f>H27</f>
        <v>100</v>
      </c>
      <c r="V27" s="701" t="s">
        <v>14</v>
      </c>
      <c r="W27" s="702">
        <f>J27</f>
        <v>100</v>
      </c>
      <c r="X27" s="703"/>
      <c r="Y27" s="3747"/>
      <c r="Z27" s="52" t="str">
        <f>Q27</f>
        <v>人流量</v>
      </c>
      <c r="AA27" s="1350">
        <f>D27/F27</f>
        <v>1</v>
      </c>
      <c r="AB27" s="1350">
        <f>D27/H27</f>
        <v>1</v>
      </c>
      <c r="AC27" s="1350">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54"/>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47"/>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4"/>
      <c r="Q29" s="1349">
        <f t="shared" si="11"/>
        <v>111</v>
      </c>
      <c r="R29" s="705" t="s">
        <v>14</v>
      </c>
      <c r="S29" s="706">
        <f t="shared" si="12"/>
        <v>100</v>
      </c>
      <c r="T29" s="705" t="s">
        <v>14</v>
      </c>
      <c r="U29" s="706">
        <f t="shared" si="13"/>
        <v>100</v>
      </c>
      <c r="V29" s="705" t="s">
        <v>14</v>
      </c>
      <c r="W29" s="706">
        <f t="shared" si="14"/>
        <v>100</v>
      </c>
      <c r="X29" s="1352"/>
      <c r="Y29" s="3747"/>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4"/>
      <c r="Q30" s="1349">
        <f t="shared" si="11"/>
        <v>111</v>
      </c>
      <c r="R30" s="705" t="s">
        <v>14</v>
      </c>
      <c r="S30" s="706">
        <f t="shared" si="12"/>
        <v>100</v>
      </c>
      <c r="T30" s="705" t="s">
        <v>14</v>
      </c>
      <c r="U30" s="706">
        <f t="shared" si="13"/>
        <v>100</v>
      </c>
      <c r="V30" s="705" t="s">
        <v>14</v>
      </c>
      <c r="W30" s="706">
        <f t="shared" si="14"/>
        <v>100</v>
      </c>
      <c r="X30" s="1352"/>
      <c r="Y30" s="3747"/>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4"/>
      <c r="Q31" s="1349">
        <f t="shared" si="11"/>
        <v>111</v>
      </c>
      <c r="R31" s="705" t="s">
        <v>14</v>
      </c>
      <c r="S31" s="706">
        <f t="shared" si="12"/>
        <v>100</v>
      </c>
      <c r="T31" s="705" t="s">
        <v>14</v>
      </c>
      <c r="U31" s="706">
        <f t="shared" si="13"/>
        <v>100</v>
      </c>
      <c r="V31" s="705" t="s">
        <v>14</v>
      </c>
      <c r="W31" s="706">
        <f t="shared" si="14"/>
        <v>100</v>
      </c>
      <c r="X31" s="1352"/>
      <c r="Y31" s="3747"/>
      <c r="Z31" s="1353">
        <f t="shared" si="15"/>
        <v>111</v>
      </c>
      <c r="AA31" s="1350">
        <f t="shared" si="3"/>
        <v>1</v>
      </c>
      <c r="AB31" s="1350">
        <f t="shared" si="4"/>
        <v>1</v>
      </c>
      <c r="AC31" s="1350">
        <f t="shared" si="5"/>
        <v>1</v>
      </c>
    </row>
    <row r="32" spans="1:29" ht="15">
      <c r="A32" s="391" t="s">
        <v>1693</v>
      </c>
      <c r="B32" s="63" t="s">
        <v>1783</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7"/>
      <c r="M32" s="2711"/>
      <c r="N32" s="2711"/>
      <c r="O32" s="2711"/>
      <c r="P32" s="3748" t="s">
        <v>1695</v>
      </c>
      <c r="Q32" s="1349" t="str">
        <f t="shared" si="11"/>
        <v>商业类型</v>
      </c>
      <c r="R32" s="705" t="s">
        <v>14</v>
      </c>
      <c r="S32" s="706">
        <f t="shared" si="12"/>
        <v>100</v>
      </c>
      <c r="T32" s="705" t="s">
        <v>14</v>
      </c>
      <c r="U32" s="706">
        <f t="shared" si="13"/>
        <v>100</v>
      </c>
      <c r="V32" s="705" t="s">
        <v>14</v>
      </c>
      <c r="W32" s="706">
        <f t="shared" si="14"/>
        <v>100</v>
      </c>
      <c r="X32" s="1352"/>
      <c r="Y32" s="3751" t="s">
        <v>1695</v>
      </c>
      <c r="Z32" s="1353" t="str">
        <f t="shared" si="15"/>
        <v>商业类型</v>
      </c>
      <c r="AA32" s="1350">
        <f t="shared" si="3"/>
        <v>1</v>
      </c>
      <c r="AB32" s="1350">
        <f t="shared" si="4"/>
        <v>1</v>
      </c>
      <c r="AC32" s="1350">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49"/>
      <c r="Q33" s="707" t="str">
        <f t="shared" si="11"/>
        <v>项目建筑规模</v>
      </c>
      <c r="R33" s="708" t="s">
        <v>14</v>
      </c>
      <c r="S33" s="709" t="e">
        <f t="shared" si="12"/>
        <v>#N/A</v>
      </c>
      <c r="T33" s="708" t="s">
        <v>14</v>
      </c>
      <c r="U33" s="709" t="e">
        <f t="shared" si="13"/>
        <v>#N/A</v>
      </c>
      <c r="V33" s="708" t="s">
        <v>14</v>
      </c>
      <c r="W33" s="709" t="e">
        <f t="shared" si="14"/>
        <v>#N/A</v>
      </c>
      <c r="X33" s="710"/>
      <c r="Y33" s="3751"/>
      <c r="Z33" s="711" t="str">
        <f t="shared" si="15"/>
        <v>项目建筑规模</v>
      </c>
      <c r="AA33" s="1350" t="e">
        <f t="shared" si="3"/>
        <v>#N/A</v>
      </c>
      <c r="AB33" s="1350" t="e">
        <f t="shared" si="4"/>
        <v>#N/A</v>
      </c>
      <c r="AC33" s="1350" t="e">
        <f t="shared" si="5"/>
        <v>#N/A</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49"/>
      <c r="Q34" s="1349" t="str">
        <f t="shared" si="11"/>
        <v>建筑结构</v>
      </c>
      <c r="R34" s="705" t="s">
        <v>14</v>
      </c>
      <c r="S34" s="706">
        <f t="shared" si="12"/>
        <v>100</v>
      </c>
      <c r="T34" s="705" t="s">
        <v>14</v>
      </c>
      <c r="U34" s="706">
        <f t="shared" si="13"/>
        <v>100</v>
      </c>
      <c r="V34" s="705" t="s">
        <v>14</v>
      </c>
      <c r="W34" s="706">
        <f t="shared" si="14"/>
        <v>100</v>
      </c>
      <c r="X34" s="1352"/>
      <c r="Y34" s="3751"/>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7"/>
      <c r="M35" s="2711"/>
      <c r="N35" s="2711"/>
      <c r="O35" s="2711"/>
      <c r="P35" s="3749"/>
      <c r="Q35" s="1349" t="str">
        <f t="shared" si="11"/>
        <v>公共部分装修</v>
      </c>
      <c r="R35" s="705" t="s">
        <v>14</v>
      </c>
      <c r="S35" s="706">
        <f t="shared" si="12"/>
        <v>100</v>
      </c>
      <c r="T35" s="705" t="s">
        <v>14</v>
      </c>
      <c r="U35" s="706">
        <f t="shared" si="13"/>
        <v>100</v>
      </c>
      <c r="V35" s="705" t="s">
        <v>14</v>
      </c>
      <c r="W35" s="706">
        <f t="shared" si="14"/>
        <v>100</v>
      </c>
      <c r="X35" s="1352"/>
      <c r="Y35" s="3751"/>
      <c r="Z35" s="1353" t="str">
        <f t="shared" si="15"/>
        <v>公共部分装修</v>
      </c>
      <c r="AA35" s="1350">
        <f t="shared" si="3"/>
        <v>1</v>
      </c>
      <c r="AB35" s="1350">
        <f t="shared" si="4"/>
        <v>1</v>
      </c>
      <c r="AC35" s="1350">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49"/>
      <c r="Q36" s="1349" t="str">
        <f t="shared" si="11"/>
        <v>成新度</v>
      </c>
      <c r="R36" s="705" t="s">
        <v>14</v>
      </c>
      <c r="S36" s="706" t="e">
        <f t="shared" si="12"/>
        <v>#N/A</v>
      </c>
      <c r="T36" s="705" t="s">
        <v>14</v>
      </c>
      <c r="U36" s="706" t="e">
        <f t="shared" si="13"/>
        <v>#N/A</v>
      </c>
      <c r="V36" s="705" t="s">
        <v>14</v>
      </c>
      <c r="W36" s="706" t="e">
        <f t="shared" si="14"/>
        <v>#N/A</v>
      </c>
      <c r="X36" s="1352"/>
      <c r="Y36" s="3751"/>
      <c r="Z36" s="1353" t="str">
        <f t="shared" si="15"/>
        <v>成新度</v>
      </c>
      <c r="AA36" s="1350" t="e">
        <f t="shared" si="3"/>
        <v>#N/A</v>
      </c>
      <c r="AB36" s="1350" t="e">
        <f t="shared" si="4"/>
        <v>#N/A</v>
      </c>
      <c r="AC36" s="1350" t="e">
        <f t="shared" si="5"/>
        <v>#N/A</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2"/>
      <c r="M37" s="2713"/>
      <c r="N37" s="2713"/>
      <c r="O37" s="2713"/>
      <c r="P37" s="3749"/>
      <c r="Q37" s="1340" t="str">
        <f t="shared" si="11"/>
        <v>市政基础设施</v>
      </c>
      <c r="R37" s="701" t="s">
        <v>14</v>
      </c>
      <c r="S37" s="702">
        <f t="shared" si="12"/>
        <v>100</v>
      </c>
      <c r="T37" s="701" t="s">
        <v>14</v>
      </c>
      <c r="U37" s="702">
        <f t="shared" si="13"/>
        <v>100</v>
      </c>
      <c r="V37" s="701" t="s">
        <v>14</v>
      </c>
      <c r="W37" s="702">
        <f t="shared" si="14"/>
        <v>100</v>
      </c>
      <c r="X37" s="703"/>
      <c r="Y37" s="3751"/>
      <c r="Z37" s="52" t="str">
        <f t="shared" si="15"/>
        <v>市政基础设施</v>
      </c>
      <c r="AA37" s="704">
        <f t="shared" si="3"/>
        <v>1</v>
      </c>
      <c r="AB37" s="704">
        <f t="shared" si="4"/>
        <v>1</v>
      </c>
      <c r="AC37" s="704">
        <f t="shared" si="5"/>
        <v>1</v>
      </c>
    </row>
    <row r="38" spans="1:29" ht="15">
      <c r="A38" s="423"/>
      <c r="B38" s="375" t="s">
        <v>1787</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7"/>
      <c r="M38" s="2711"/>
      <c r="N38" s="2711"/>
      <c r="O38" s="2711"/>
      <c r="P38" s="3749" t="s">
        <v>1695</v>
      </c>
      <c r="Q38" s="1349" t="str">
        <f t="shared" si="11"/>
        <v>业态</v>
      </c>
      <c r="R38" s="705" t="s">
        <v>14</v>
      </c>
      <c r="S38" s="706">
        <f t="shared" si="12"/>
        <v>100</v>
      </c>
      <c r="T38" s="705" t="s">
        <v>14</v>
      </c>
      <c r="U38" s="706">
        <f t="shared" si="13"/>
        <v>100</v>
      </c>
      <c r="V38" s="705" t="s">
        <v>14</v>
      </c>
      <c r="W38" s="706">
        <f t="shared" si="14"/>
        <v>100</v>
      </c>
      <c r="X38" s="1352"/>
      <c r="Y38" s="3751" t="s">
        <v>1695</v>
      </c>
      <c r="Z38" s="1353" t="str">
        <f t="shared" si="15"/>
        <v>业态</v>
      </c>
      <c r="AA38" s="1350">
        <f t="shared" si="3"/>
        <v>1</v>
      </c>
      <c r="AB38" s="1350">
        <f t="shared" si="4"/>
        <v>1</v>
      </c>
      <c r="AC38" s="1350">
        <f t="shared" si="5"/>
        <v>1</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7"/>
      <c r="M39" s="2711"/>
      <c r="N39" s="2711"/>
      <c r="O39" s="2711"/>
      <c r="P39" s="3749"/>
      <c r="Q39" s="1349" t="str">
        <f t="shared" si="11"/>
        <v>层高</v>
      </c>
      <c r="R39" s="705" t="s">
        <v>14</v>
      </c>
      <c r="S39" s="706">
        <f t="shared" si="12"/>
        <v>100</v>
      </c>
      <c r="T39" s="705" t="s">
        <v>14</v>
      </c>
      <c r="U39" s="706">
        <f t="shared" si="13"/>
        <v>100</v>
      </c>
      <c r="V39" s="705" t="s">
        <v>14</v>
      </c>
      <c r="W39" s="706">
        <f t="shared" si="14"/>
        <v>100</v>
      </c>
      <c r="X39" s="1352"/>
      <c r="Y39" s="3751"/>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49"/>
      <c r="Q40" s="1349" t="str">
        <f t="shared" si="11"/>
        <v>单套建筑面积</v>
      </c>
      <c r="R40" s="705" t="s">
        <v>14</v>
      </c>
      <c r="S40" s="706">
        <f t="shared" si="12"/>
        <v>100</v>
      </c>
      <c r="T40" s="705" t="s">
        <v>14</v>
      </c>
      <c r="U40" s="706">
        <f t="shared" si="13"/>
        <v>100</v>
      </c>
      <c r="V40" s="705" t="s">
        <v>14</v>
      </c>
      <c r="W40" s="706">
        <f t="shared" si="14"/>
        <v>100</v>
      </c>
      <c r="X40" s="1352"/>
      <c r="Y40" s="3751"/>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49"/>
      <c r="Q41" s="707" t="str">
        <f t="shared" si="11"/>
        <v>进深比</v>
      </c>
      <c r="R41" s="708" t="s">
        <v>14</v>
      </c>
      <c r="S41" s="709">
        <f t="shared" si="12"/>
        <v>100</v>
      </c>
      <c r="T41" s="708" t="s">
        <v>14</v>
      </c>
      <c r="U41" s="709">
        <f t="shared" si="13"/>
        <v>100</v>
      </c>
      <c r="V41" s="708" t="s">
        <v>14</v>
      </c>
      <c r="W41" s="709">
        <f t="shared" si="14"/>
        <v>100</v>
      </c>
      <c r="X41" s="710"/>
      <c r="Y41" s="3751"/>
      <c r="Z41" s="711" t="str">
        <f t="shared" si="15"/>
        <v>进深比</v>
      </c>
      <c r="AA41" s="1350">
        <f t="shared" si="3"/>
        <v>1</v>
      </c>
      <c r="AB41" s="1350">
        <f t="shared" si="4"/>
        <v>1</v>
      </c>
      <c r="AC41" s="1350">
        <f t="shared" si="5"/>
        <v>1</v>
      </c>
    </row>
    <row r="42" spans="1:29" ht="15">
      <c r="A42" s="423"/>
      <c r="B42" s="375" t="s">
        <v>1791</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7"/>
      <c r="M42" s="2711"/>
      <c r="N42" s="2711"/>
      <c r="O42" s="2711"/>
      <c r="P42" s="3749"/>
      <c r="Q42" s="1349" t="str">
        <f t="shared" si="11"/>
        <v>内部装修</v>
      </c>
      <c r="R42" s="705" t="s">
        <v>14</v>
      </c>
      <c r="S42" s="706">
        <f t="shared" si="12"/>
        <v>100</v>
      </c>
      <c r="T42" s="705" t="s">
        <v>14</v>
      </c>
      <c r="U42" s="706">
        <f t="shared" si="13"/>
        <v>100</v>
      </c>
      <c r="V42" s="705" t="s">
        <v>14</v>
      </c>
      <c r="W42" s="706">
        <f t="shared" si="14"/>
        <v>100</v>
      </c>
      <c r="X42" s="1352"/>
      <c r="Y42" s="3751"/>
      <c r="Z42" s="1353" t="str">
        <f t="shared" si="15"/>
        <v>内部装修</v>
      </c>
      <c r="AA42" s="1350">
        <f t="shared" si="3"/>
        <v>1</v>
      </c>
      <c r="AB42" s="1350">
        <f t="shared" si="4"/>
        <v>1</v>
      </c>
      <c r="AC42" s="1350">
        <f t="shared" si="5"/>
        <v>1</v>
      </c>
    </row>
    <row r="43" spans="1:29" ht="15">
      <c r="A43" s="423"/>
      <c r="B43" s="375" t="s">
        <v>1706</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7"/>
      <c r="M43" s="2711"/>
      <c r="N43" s="2711"/>
      <c r="O43" s="2711"/>
      <c r="P43" s="3749"/>
      <c r="Q43" s="1349" t="str">
        <f t="shared" si="11"/>
        <v>内部装修维护情况</v>
      </c>
      <c r="R43" s="705" t="s">
        <v>14</v>
      </c>
      <c r="S43" s="706">
        <f t="shared" si="12"/>
        <v>100</v>
      </c>
      <c r="T43" s="705" t="s">
        <v>14</v>
      </c>
      <c r="U43" s="706">
        <f t="shared" si="13"/>
        <v>100</v>
      </c>
      <c r="V43" s="705" t="s">
        <v>14</v>
      </c>
      <c r="W43" s="706">
        <f t="shared" si="14"/>
        <v>100</v>
      </c>
      <c r="X43" s="1352"/>
      <c r="Y43" s="3751"/>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49"/>
      <c r="Q44" s="1340">
        <f t="shared" si="11"/>
        <v>111</v>
      </c>
      <c r="R44" s="701" t="s">
        <v>14</v>
      </c>
      <c r="S44" s="702">
        <f t="shared" si="12"/>
        <v>100</v>
      </c>
      <c r="T44" s="701" t="s">
        <v>14</v>
      </c>
      <c r="U44" s="702">
        <f t="shared" si="13"/>
        <v>100</v>
      </c>
      <c r="V44" s="701" t="s">
        <v>14</v>
      </c>
      <c r="W44" s="702">
        <f t="shared" si="14"/>
        <v>100</v>
      </c>
      <c r="X44" s="703"/>
      <c r="Y44" s="3751"/>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49"/>
      <c r="Q45" s="1349">
        <f t="shared" si="11"/>
        <v>111</v>
      </c>
      <c r="R45" s="705" t="s">
        <v>14</v>
      </c>
      <c r="S45" s="706">
        <f t="shared" si="12"/>
        <v>100</v>
      </c>
      <c r="T45" s="705" t="s">
        <v>14</v>
      </c>
      <c r="U45" s="706">
        <f t="shared" si="13"/>
        <v>100</v>
      </c>
      <c r="V45" s="705" t="s">
        <v>14</v>
      </c>
      <c r="W45" s="706">
        <f t="shared" si="14"/>
        <v>100</v>
      </c>
      <c r="X45" s="1352"/>
      <c r="Y45" s="3751"/>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0"/>
      <c r="Q46" s="1349">
        <f t="shared" si="11"/>
        <v>111</v>
      </c>
      <c r="R46" s="705" t="s">
        <v>14</v>
      </c>
      <c r="S46" s="706">
        <f t="shared" si="12"/>
        <v>100</v>
      </c>
      <c r="T46" s="705" t="s">
        <v>14</v>
      </c>
      <c r="U46" s="706">
        <f t="shared" si="13"/>
        <v>100</v>
      </c>
      <c r="V46" s="705" t="s">
        <v>14</v>
      </c>
      <c r="W46" s="706">
        <f t="shared" si="14"/>
        <v>100</v>
      </c>
      <c r="X46" s="1352"/>
      <c r="Y46" s="3752"/>
      <c r="Z46" s="1353">
        <f t="shared" si="15"/>
        <v>111</v>
      </c>
      <c r="AA46" s="1350">
        <f t="shared" si="3"/>
        <v>1</v>
      </c>
      <c r="AB46" s="1350">
        <f t="shared" si="4"/>
        <v>1</v>
      </c>
      <c r="AC46" s="1350">
        <f t="shared" si="5"/>
        <v>1</v>
      </c>
    </row>
    <row r="47" spans="1:29" ht="15">
      <c r="A47" s="430" t="s">
        <v>1707</v>
      </c>
      <c r="B47" s="431"/>
      <c r="C47" s="1151" t="s">
        <v>0</v>
      </c>
      <c r="D47" s="1152"/>
      <c r="E47" s="1153"/>
      <c r="F47" s="1154"/>
      <c r="G47" s="1155"/>
      <c r="H47" s="1156"/>
      <c r="I47" s="1153"/>
      <c r="J47" s="1156"/>
      <c r="K47" s="714"/>
      <c r="L47" s="2719"/>
      <c r="M47" s="2720"/>
      <c r="N47" s="2711"/>
      <c r="O47" s="2720"/>
      <c r="P47" s="3744" t="str">
        <f>A47</f>
        <v>成交单价（元/平方米）</v>
      </c>
      <c r="Q47" s="3744"/>
      <c r="R47" s="3739">
        <f>E47</f>
        <v>0</v>
      </c>
      <c r="S47" s="3739"/>
      <c r="T47" s="3739">
        <f>G47</f>
        <v>0</v>
      </c>
      <c r="U47" s="3739"/>
      <c r="V47" s="3739">
        <f>I47</f>
        <v>0</v>
      </c>
      <c r="W47" s="3739"/>
      <c r="X47" s="690"/>
      <c r="Y47" s="712"/>
      <c r="Z47" s="690"/>
      <c r="AA47" s="690"/>
      <c r="AB47" s="690"/>
      <c r="AC47" s="690"/>
    </row>
    <row r="48" spans="1:29" ht="15.75" thickBot="1">
      <c r="A48" s="437" t="s">
        <v>1792</v>
      </c>
      <c r="B48" s="438"/>
      <c r="C48" s="1157" t="e">
        <f>R49</f>
        <v>#DIV/0!</v>
      </c>
      <c r="D48" s="2314" t="s">
        <v>2136</v>
      </c>
      <c r="E48" s="1158" t="e">
        <f>R48</f>
        <v>#DIV/0!</v>
      </c>
      <c r="F48" s="2315"/>
      <c r="G48" s="1157" t="e">
        <f>T48</f>
        <v>#DIV/0!</v>
      </c>
      <c r="H48" s="2315"/>
      <c r="I48" s="1158" t="e">
        <f>V48</f>
        <v>#DIV/0!</v>
      </c>
      <c r="J48" s="2315"/>
      <c r="K48" s="2317">
        <f>F48+H48+J48</f>
        <v>0</v>
      </c>
      <c r="L48" s="2719"/>
      <c r="M48" s="2720"/>
      <c r="N48" s="2711"/>
      <c r="O48" s="2720"/>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90"/>
      <c r="Y48" s="690"/>
      <c r="Z48" s="690"/>
      <c r="AA48" s="690"/>
      <c r="AB48" s="690"/>
      <c r="AC48" s="690"/>
    </row>
    <row r="49" spans="1:29" ht="15.75" thickBot="1">
      <c r="A49" s="441" t="s">
        <v>1793</v>
      </c>
      <c r="B49" s="442"/>
      <c r="C49" s="1160" t="e">
        <f>R49</f>
        <v>#DIV/0!</v>
      </c>
      <c r="D49" s="1160"/>
      <c r="E49" s="1160"/>
      <c r="F49" s="1160"/>
      <c r="G49" s="1160"/>
      <c r="H49" s="1160"/>
      <c r="I49" s="1160"/>
      <c r="J49" s="1160"/>
      <c r="K49" s="715"/>
      <c r="L49" s="2719"/>
      <c r="M49" s="2720"/>
      <c r="N49" s="2711"/>
      <c r="O49" s="2720"/>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1797</v>
      </c>
      <c r="B57" s="690"/>
      <c r="C57" s="695"/>
      <c r="D57" s="695"/>
      <c r="E57" s="695"/>
      <c r="F57" s="696"/>
      <c r="G57" s="696"/>
      <c r="H57" s="695"/>
      <c r="I57" s="695"/>
      <c r="J57" s="695"/>
      <c r="K57" s="697"/>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1678</v>
      </c>
      <c r="B58" s="455"/>
      <c r="C58" s="1181" t="str">
        <f>YEAR(C7)&amp;"-"&amp;MONTH(C7)</f>
        <v>2023-7</v>
      </c>
      <c r="D58" s="1182">
        <f>EDATE(C58,-1)</f>
        <v>45078</v>
      </c>
      <c r="E58" s="1182">
        <f t="shared" ref="E58:N58" si="16">EDATE(D58,-1)</f>
        <v>45047</v>
      </c>
      <c r="F58" s="1182">
        <f t="shared" si="16"/>
        <v>45017</v>
      </c>
      <c r="G58" s="1182">
        <f t="shared" si="16"/>
        <v>44986</v>
      </c>
      <c r="H58" s="1182">
        <f t="shared" si="16"/>
        <v>44958</v>
      </c>
      <c r="I58" s="1182">
        <f t="shared" si="16"/>
        <v>44927</v>
      </c>
      <c r="J58" s="1182">
        <f t="shared" si="16"/>
        <v>44896</v>
      </c>
      <c r="K58" s="1182">
        <f t="shared" si="16"/>
        <v>44866</v>
      </c>
      <c r="L58" s="1182">
        <f t="shared" si="16"/>
        <v>44835</v>
      </c>
      <c r="M58" s="1182">
        <f t="shared" si="16"/>
        <v>44805</v>
      </c>
      <c r="N58" s="1182">
        <f t="shared" si="16"/>
        <v>44774</v>
      </c>
      <c r="O58" s="1182">
        <f>EDATE(N58,-1)</f>
        <v>44743</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1718</v>
      </c>
      <c r="B63" s="477" t="s">
        <v>1684</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1687</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1778</v>
      </c>
      <c r="C82" s="608" t="s">
        <v>1798</v>
      </c>
      <c r="D82" s="608" t="s">
        <v>1799</v>
      </c>
      <c r="E82" s="608" t="s">
        <v>1800</v>
      </c>
      <c r="F82" s="608" t="s">
        <v>1801</v>
      </c>
      <c r="G82" s="608" t="s">
        <v>1802</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1803</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4"/>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1693</v>
      </c>
      <c r="B100" s="477" t="s">
        <v>1804</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1462</v>
      </c>
      <c r="F2" s="1880"/>
      <c r="G2" s="905"/>
      <c r="H2" s="905"/>
      <c r="I2" s="905"/>
      <c r="J2" s="905"/>
      <c r="K2" s="905"/>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132744.37</v>
      </c>
      <c r="E3" s="1951"/>
      <c r="F3" s="906"/>
      <c r="G3" s="905"/>
      <c r="H3" s="905"/>
      <c r="I3" s="905"/>
      <c r="J3" s="905"/>
      <c r="K3" s="907"/>
      <c r="L3" s="2729"/>
      <c r="M3" s="2730"/>
      <c r="N3" s="2730"/>
      <c r="O3" s="2730"/>
      <c r="P3" s="699"/>
      <c r="Q3" s="699"/>
      <c r="R3" s="699"/>
      <c r="S3" s="699"/>
      <c r="T3" s="699"/>
      <c r="U3" s="699"/>
      <c r="V3" s="699"/>
      <c r="W3" s="699"/>
      <c r="X3" s="699"/>
      <c r="Y3" s="699"/>
      <c r="Z3" s="699"/>
      <c r="AA3" s="699"/>
      <c r="AB3" s="699"/>
      <c r="AC3" s="700"/>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61" t="s">
        <v>1774</v>
      </c>
      <c r="Q4" s="3762"/>
      <c r="R4" s="3756" t="s">
        <v>1770</v>
      </c>
      <c r="S4" s="3757"/>
      <c r="T4" s="3756" t="s">
        <v>1771</v>
      </c>
      <c r="U4" s="3757"/>
      <c r="V4" s="3765" t="s">
        <v>1772</v>
      </c>
      <c r="W4" s="3765"/>
      <c r="X4" s="1955"/>
      <c r="Y4" s="3756" t="s">
        <v>1774</v>
      </c>
      <c r="Z4" s="3757"/>
      <c r="AA4" s="3755" t="s">
        <v>1770</v>
      </c>
      <c r="AB4" s="3755" t="s">
        <v>1771</v>
      </c>
      <c r="AC4" s="3758" t="s">
        <v>1772</v>
      </c>
    </row>
    <row r="5" spans="1:29" ht="15">
      <c r="A5" s="358"/>
      <c r="B5" s="359"/>
      <c r="C5" s="3720" t="s">
        <v>1672</v>
      </c>
      <c r="D5" s="3721"/>
      <c r="E5" s="3718" t="s">
        <v>1673</v>
      </c>
      <c r="F5" s="3719"/>
      <c r="G5" s="3720" t="s">
        <v>1674</v>
      </c>
      <c r="H5" s="3721"/>
      <c r="I5" s="3720" t="s">
        <v>1675</v>
      </c>
      <c r="J5" s="3721"/>
      <c r="K5" s="559"/>
      <c r="L5" s="2710"/>
      <c r="M5" s="2711"/>
      <c r="N5" s="2711"/>
      <c r="O5" s="2711"/>
      <c r="P5" s="3763"/>
      <c r="Q5" s="3734"/>
      <c r="R5" s="3716"/>
      <c r="S5" s="3717"/>
      <c r="T5" s="3716"/>
      <c r="U5" s="3717"/>
      <c r="V5" s="3739"/>
      <c r="W5" s="3739"/>
      <c r="X5" s="1352"/>
      <c r="Y5" s="3716"/>
      <c r="Z5" s="3717"/>
      <c r="AA5" s="3710"/>
      <c r="AB5" s="3710"/>
      <c r="AC5" s="3759"/>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64"/>
      <c r="Q6" s="3736"/>
      <c r="R6" s="3716"/>
      <c r="S6" s="3717"/>
      <c r="T6" s="3737"/>
      <c r="U6" s="3738"/>
      <c r="V6" s="3739"/>
      <c r="W6" s="3739"/>
      <c r="X6" s="1352"/>
      <c r="Y6" s="3737"/>
      <c r="Z6" s="3738"/>
      <c r="AA6" s="3711"/>
      <c r="AB6" s="3711"/>
      <c r="AC6" s="3760"/>
    </row>
    <row r="7" spans="1:29" s="108" customFormat="1" ht="15.75" thickBot="1">
      <c r="A7" s="362" t="s">
        <v>1678</v>
      </c>
      <c r="B7" s="363"/>
      <c r="C7" s="364">
        <f>'数据-取费表'!B2</f>
        <v>45118</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66"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66" t="s">
        <v>1682</v>
      </c>
      <c r="Q8" s="3713"/>
      <c r="R8" s="701" t="s">
        <v>14</v>
      </c>
      <c r="S8" s="702">
        <f t="shared" si="0"/>
        <v>100</v>
      </c>
      <c r="T8" s="701" t="s">
        <v>14</v>
      </c>
      <c r="U8" s="702">
        <f t="shared" si="1"/>
        <v>100</v>
      </c>
      <c r="V8" s="701" t="s">
        <v>14</v>
      </c>
      <c r="W8" s="702">
        <f t="shared" si="2"/>
        <v>100</v>
      </c>
      <c r="X8" s="703"/>
      <c r="Y8" s="3712" t="s">
        <v>1682</v>
      </c>
      <c r="Z8" s="3713"/>
      <c r="AA8" s="704">
        <f t="shared" ref="AA8:AA47" si="3">D8/F8</f>
        <v>1</v>
      </c>
      <c r="AB8" s="704">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6"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1956">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26"/>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6"/>
      <c r="Q11" s="1340"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726"/>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726"/>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7"/>
      <c r="M14" s="2711"/>
      <c r="N14" s="2711"/>
      <c r="O14" s="2711"/>
      <c r="P14" s="3726"/>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6">
        <f t="shared" si="5"/>
        <v>1</v>
      </c>
    </row>
    <row r="15" spans="1:29" ht="15">
      <c r="A15" s="391" t="s">
        <v>1689</v>
      </c>
      <c r="B15" s="577" t="s">
        <v>1810</v>
      </c>
      <c r="C15" s="1958"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3" t="s">
        <v>1690</v>
      </c>
      <c r="Q15" s="1349" t="str">
        <f t="shared" si="6"/>
        <v>办公集聚程度</v>
      </c>
      <c r="R15" s="705" t="s">
        <v>14</v>
      </c>
      <c r="S15" s="706">
        <f t="shared" si="0"/>
        <v>100</v>
      </c>
      <c r="T15" s="705" t="s">
        <v>14</v>
      </c>
      <c r="U15" s="706">
        <f t="shared" si="1"/>
        <v>100</v>
      </c>
      <c r="V15" s="705" t="s">
        <v>14</v>
      </c>
      <c r="W15" s="706">
        <f t="shared" si="2"/>
        <v>100</v>
      </c>
      <c r="X15" s="1352"/>
      <c r="Y15" s="3746" t="s">
        <v>1690</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7"/>
      <c r="M16" s="2711"/>
      <c r="N16" s="2711"/>
      <c r="O16" s="2711"/>
      <c r="P16" s="3754"/>
      <c r="Q16" s="1349"/>
      <c r="R16" s="705"/>
      <c r="S16" s="706"/>
      <c r="T16" s="705"/>
      <c r="U16" s="706"/>
      <c r="V16" s="705"/>
      <c r="W16" s="706"/>
      <c r="X16" s="1352"/>
      <c r="Y16" s="3747"/>
      <c r="Z16" s="1353"/>
      <c r="AA16" s="1350">
        <v>1</v>
      </c>
      <c r="AB16" s="1350">
        <v>1</v>
      </c>
      <c r="AC16" s="1959">
        <v>1</v>
      </c>
    </row>
    <row r="17" spans="1:29" ht="15">
      <c r="A17" s="379"/>
      <c r="B17" s="579" t="s">
        <v>1258</v>
      </c>
      <c r="C17" s="1960"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54"/>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7"/>
      <c r="M18" s="2711"/>
      <c r="N18" s="2711"/>
      <c r="O18" s="2711"/>
      <c r="P18" s="3754"/>
      <c r="Q18" s="1349"/>
      <c r="R18" s="705"/>
      <c r="S18" s="706"/>
      <c r="T18" s="705"/>
      <c r="U18" s="706"/>
      <c r="V18" s="705"/>
      <c r="W18" s="706"/>
      <c r="X18" s="1352"/>
      <c r="Y18" s="3747"/>
      <c r="Z18" s="1353"/>
      <c r="AA18" s="1350">
        <v>1</v>
      </c>
      <c r="AB18" s="1350">
        <v>1</v>
      </c>
      <c r="AC18" s="1959">
        <v>1</v>
      </c>
    </row>
    <row r="19" spans="1:29" ht="15">
      <c r="A19" s="379"/>
      <c r="B19" s="579" t="s">
        <v>1811</v>
      </c>
      <c r="C19" s="1960"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54"/>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7"/>
      <c r="M20" s="2711"/>
      <c r="N20" s="2711"/>
      <c r="O20" s="2711"/>
      <c r="P20" s="3754"/>
      <c r="Q20" s="1349"/>
      <c r="R20" s="705"/>
      <c r="S20" s="706"/>
      <c r="T20" s="705"/>
      <c r="U20" s="706"/>
      <c r="V20" s="705"/>
      <c r="W20" s="706"/>
      <c r="X20" s="1352"/>
      <c r="Y20" s="3747"/>
      <c r="Z20" s="1353"/>
      <c r="AA20" s="1350">
        <v>1</v>
      </c>
      <c r="AB20" s="1350">
        <v>1</v>
      </c>
      <c r="AC20" s="1959">
        <v>1</v>
      </c>
    </row>
    <row r="21" spans="1:29" ht="15">
      <c r="A21" s="379"/>
      <c r="B21" s="581"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54"/>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7"/>
      <c r="M22" s="2711"/>
      <c r="N22" s="2711"/>
      <c r="O22" s="2711"/>
      <c r="P22" s="3754"/>
      <c r="Q22" s="1349"/>
      <c r="R22" s="705"/>
      <c r="S22" s="706"/>
      <c r="T22" s="705"/>
      <c r="U22" s="706"/>
      <c r="V22" s="705"/>
      <c r="W22" s="706"/>
      <c r="X22" s="1352"/>
      <c r="Y22" s="3747"/>
      <c r="Z22" s="1353"/>
      <c r="AA22" s="1350">
        <v>1</v>
      </c>
      <c r="AB22" s="1350">
        <v>1</v>
      </c>
      <c r="AC22" s="1959">
        <v>1</v>
      </c>
    </row>
    <row r="23" spans="1:29" ht="15">
      <c r="A23" s="379"/>
      <c r="B23" s="579"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54"/>
      <c r="Q23" s="1349" t="str">
        <f>B23</f>
        <v>环境质量</v>
      </c>
      <c r="R23" s="705" t="s">
        <v>14</v>
      </c>
      <c r="S23" s="706">
        <f>F23</f>
        <v>100</v>
      </c>
      <c r="T23" s="705" t="s">
        <v>14</v>
      </c>
      <c r="U23" s="706">
        <f>H23</f>
        <v>100</v>
      </c>
      <c r="V23" s="705" t="s">
        <v>14</v>
      </c>
      <c r="W23" s="706">
        <f>J23</f>
        <v>100</v>
      </c>
      <c r="X23" s="1352"/>
      <c r="Y23" s="3747"/>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7"/>
      <c r="M24" s="2711"/>
      <c r="N24" s="2711"/>
      <c r="O24" s="2711"/>
      <c r="P24" s="3754"/>
      <c r="Q24" s="1349"/>
      <c r="R24" s="705"/>
      <c r="S24" s="706"/>
      <c r="T24" s="705"/>
      <c r="U24" s="706"/>
      <c r="V24" s="705"/>
      <c r="W24" s="706"/>
      <c r="X24" s="1352"/>
      <c r="Y24" s="3747"/>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c r="L25" s="2717"/>
      <c r="M25" s="2711"/>
      <c r="N25" s="2711"/>
      <c r="O25" s="2711"/>
      <c r="P25" s="3754"/>
      <c r="Q25" s="1349" t="str">
        <f>B25</f>
        <v>毗邻道路的类型与等级</v>
      </c>
      <c r="R25" s="705" t="s">
        <v>14</v>
      </c>
      <c r="S25" s="706">
        <f>F25</f>
        <v>100</v>
      </c>
      <c r="T25" s="705" t="s">
        <v>14</v>
      </c>
      <c r="U25" s="706">
        <f>H25</f>
        <v>100</v>
      </c>
      <c r="V25" s="705" t="s">
        <v>14</v>
      </c>
      <c r="W25" s="706">
        <f>J25</f>
        <v>100</v>
      </c>
      <c r="X25" s="1352"/>
      <c r="Y25" s="3747"/>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7"/>
      <c r="M26" s="2711"/>
      <c r="N26" s="2711"/>
      <c r="O26" s="2711"/>
      <c r="P26" s="3754"/>
      <c r="Q26" s="1349"/>
      <c r="R26" s="705"/>
      <c r="S26" s="706"/>
      <c r="T26" s="705"/>
      <c r="U26" s="706"/>
      <c r="V26" s="705"/>
      <c r="W26" s="706"/>
      <c r="X26" s="1352"/>
      <c r="Y26" s="3747"/>
      <c r="Z26" s="1353"/>
      <c r="AA26" s="1350">
        <v>1</v>
      </c>
      <c r="AB26" s="1350">
        <v>1</v>
      </c>
      <c r="AC26" s="1959">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54"/>
      <c r="Q27" s="1349" t="str">
        <f t="shared" ref="Q27:Q47" si="11">B27</f>
        <v>楼层</v>
      </c>
      <c r="R27" s="705" t="s">
        <v>14</v>
      </c>
      <c r="S27" s="706">
        <f>F27</f>
        <v>100</v>
      </c>
      <c r="T27" s="705" t="s">
        <v>14</v>
      </c>
      <c r="U27" s="706">
        <f>H27</f>
        <v>100</v>
      </c>
      <c r="V27" s="705" t="s">
        <v>14</v>
      </c>
      <c r="W27" s="706">
        <f>J27</f>
        <v>100</v>
      </c>
      <c r="X27" s="1352"/>
      <c r="Y27" s="3747"/>
      <c r="Z27" s="1353" t="str">
        <f>Q27</f>
        <v>楼层</v>
      </c>
      <c r="AA27" s="1350">
        <f t="shared" si="3"/>
        <v>1</v>
      </c>
      <c r="AB27" s="1350">
        <f t="shared" si="4"/>
        <v>1</v>
      </c>
      <c r="AC27" s="1959">
        <f t="shared" si="5"/>
        <v>1</v>
      </c>
    </row>
    <row r="28" spans="1:29" s="108" customFormat="1" ht="15">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54"/>
      <c r="Q28" s="1340" t="str">
        <f t="shared" si="11"/>
        <v>朝向</v>
      </c>
      <c r="R28" s="701" t="s">
        <v>14</v>
      </c>
      <c r="S28" s="702">
        <f>F28</f>
        <v>100</v>
      </c>
      <c r="T28" s="701" t="s">
        <v>14</v>
      </c>
      <c r="U28" s="702">
        <f>H28</f>
        <v>100</v>
      </c>
      <c r="V28" s="701" t="s">
        <v>14</v>
      </c>
      <c r="W28" s="702">
        <f>J28</f>
        <v>100</v>
      </c>
      <c r="X28" s="703"/>
      <c r="Y28" s="3747"/>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54"/>
      <c r="Q29" s="1349">
        <f t="shared" si="11"/>
        <v>111</v>
      </c>
      <c r="R29" s="705" t="s">
        <v>14</v>
      </c>
      <c r="S29" s="706">
        <f t="shared" ref="S29:S47" si="12">F29</f>
        <v>100</v>
      </c>
      <c r="T29" s="705" t="s">
        <v>14</v>
      </c>
      <c r="U29" s="706">
        <f t="shared" ref="U29:U47" si="13">H29</f>
        <v>100</v>
      </c>
      <c r="V29" s="705" t="s">
        <v>14</v>
      </c>
      <c r="W29" s="706">
        <f t="shared" ref="W29:W47" si="14">J29</f>
        <v>100</v>
      </c>
      <c r="X29" s="1352"/>
      <c r="Y29" s="3747"/>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54"/>
      <c r="Q30" s="1349">
        <f t="shared" si="11"/>
        <v>111</v>
      </c>
      <c r="R30" s="705" t="s">
        <v>14</v>
      </c>
      <c r="S30" s="706">
        <f t="shared" si="12"/>
        <v>100</v>
      </c>
      <c r="T30" s="705" t="s">
        <v>14</v>
      </c>
      <c r="U30" s="706">
        <f t="shared" si="13"/>
        <v>100</v>
      </c>
      <c r="V30" s="705" t="s">
        <v>14</v>
      </c>
      <c r="W30" s="706">
        <f t="shared" si="14"/>
        <v>100</v>
      </c>
      <c r="X30" s="1352"/>
      <c r="Y30" s="3747"/>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54"/>
      <c r="Q31" s="1349">
        <f t="shared" si="11"/>
        <v>111</v>
      </c>
      <c r="R31" s="705" t="s">
        <v>14</v>
      </c>
      <c r="S31" s="706">
        <f t="shared" si="12"/>
        <v>100</v>
      </c>
      <c r="T31" s="705" t="s">
        <v>14</v>
      </c>
      <c r="U31" s="706">
        <f t="shared" si="13"/>
        <v>100</v>
      </c>
      <c r="V31" s="705" t="s">
        <v>14</v>
      </c>
      <c r="W31" s="706">
        <f t="shared" si="14"/>
        <v>100</v>
      </c>
      <c r="X31" s="1352"/>
      <c r="Y31" s="3747"/>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54"/>
      <c r="Q32" s="1349">
        <f t="shared" si="11"/>
        <v>111</v>
      </c>
      <c r="R32" s="705" t="s">
        <v>14</v>
      </c>
      <c r="S32" s="706">
        <f t="shared" si="12"/>
        <v>100</v>
      </c>
      <c r="T32" s="705" t="s">
        <v>14</v>
      </c>
      <c r="U32" s="706">
        <f t="shared" si="13"/>
        <v>100</v>
      </c>
      <c r="V32" s="705" t="s">
        <v>14</v>
      </c>
      <c r="W32" s="706">
        <f t="shared" si="14"/>
        <v>100</v>
      </c>
      <c r="X32" s="1352"/>
      <c r="Y32" s="3747"/>
      <c r="Z32" s="1353">
        <f t="shared" si="15"/>
        <v>111</v>
      </c>
      <c r="AA32" s="1350">
        <f t="shared" si="3"/>
        <v>1</v>
      </c>
      <c r="AB32" s="1350">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7"/>
      <c r="M33" s="2711"/>
      <c r="N33" s="2711"/>
      <c r="O33" s="2711"/>
      <c r="P33" s="3748" t="s">
        <v>1695</v>
      </c>
      <c r="Q33" s="1349" t="str">
        <f t="shared" si="11"/>
        <v>建筑类型</v>
      </c>
      <c r="R33" s="705" t="s">
        <v>14</v>
      </c>
      <c r="S33" s="706">
        <f t="shared" si="12"/>
        <v>100</v>
      </c>
      <c r="T33" s="705" t="s">
        <v>14</v>
      </c>
      <c r="U33" s="706">
        <f t="shared" si="13"/>
        <v>100</v>
      </c>
      <c r="V33" s="705" t="s">
        <v>14</v>
      </c>
      <c r="W33" s="706">
        <f t="shared" si="14"/>
        <v>100</v>
      </c>
      <c r="X33" s="1352"/>
      <c r="Y33" s="3751" t="s">
        <v>1695</v>
      </c>
      <c r="Z33" s="1353" t="str">
        <f t="shared" si="15"/>
        <v>建筑类型</v>
      </c>
      <c r="AA33" s="1350">
        <f t="shared" si="3"/>
        <v>1</v>
      </c>
      <c r="AB33" s="1350">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49"/>
      <c r="Q34" s="707" t="str">
        <f t="shared" si="11"/>
        <v>项目建筑规模</v>
      </c>
      <c r="R34" s="708" t="s">
        <v>14</v>
      </c>
      <c r="S34" s="709" t="e">
        <f t="shared" si="12"/>
        <v>#N/A</v>
      </c>
      <c r="T34" s="708" t="s">
        <v>14</v>
      </c>
      <c r="U34" s="709" t="e">
        <f t="shared" si="13"/>
        <v>#N/A</v>
      </c>
      <c r="V34" s="708" t="s">
        <v>14</v>
      </c>
      <c r="W34" s="709" t="e">
        <f t="shared" si="14"/>
        <v>#N/A</v>
      </c>
      <c r="X34" s="710"/>
      <c r="Y34" s="3751"/>
      <c r="Z34" s="711" t="str">
        <f t="shared" si="15"/>
        <v>项目建筑规模</v>
      </c>
      <c r="AA34" s="1350" t="e">
        <f t="shared" si="3"/>
        <v>#N/A</v>
      </c>
      <c r="AB34" s="1350"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49"/>
      <c r="Q35" s="1349" t="str">
        <f t="shared" si="11"/>
        <v>建筑结构</v>
      </c>
      <c r="R35" s="705" t="s">
        <v>14</v>
      </c>
      <c r="S35" s="706">
        <f t="shared" si="12"/>
        <v>100</v>
      </c>
      <c r="T35" s="705" t="s">
        <v>14</v>
      </c>
      <c r="U35" s="706">
        <f t="shared" si="13"/>
        <v>100</v>
      </c>
      <c r="V35" s="705" t="s">
        <v>14</v>
      </c>
      <c r="W35" s="706">
        <f t="shared" si="14"/>
        <v>100</v>
      </c>
      <c r="X35" s="1352"/>
      <c r="Y35" s="3751"/>
      <c r="Z35" s="1353" t="str">
        <f t="shared" si="15"/>
        <v>建筑结构</v>
      </c>
      <c r="AA35" s="1350">
        <f t="shared" si="3"/>
        <v>1</v>
      </c>
      <c r="AB35" s="1350">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49"/>
      <c r="Q36" s="1349" t="str">
        <f t="shared" si="11"/>
        <v>公共部分装修</v>
      </c>
      <c r="R36" s="705" t="s">
        <v>14</v>
      </c>
      <c r="S36" s="706">
        <f t="shared" si="12"/>
        <v>100</v>
      </c>
      <c r="T36" s="705" t="s">
        <v>14</v>
      </c>
      <c r="U36" s="706">
        <f t="shared" si="13"/>
        <v>100</v>
      </c>
      <c r="V36" s="705" t="s">
        <v>14</v>
      </c>
      <c r="W36" s="706">
        <f t="shared" si="14"/>
        <v>100</v>
      </c>
      <c r="X36" s="1352"/>
      <c r="Y36" s="3751"/>
      <c r="Z36" s="1353" t="str">
        <f t="shared" si="15"/>
        <v>公共部分装修</v>
      </c>
      <c r="AA36" s="1350">
        <f t="shared" si="3"/>
        <v>1</v>
      </c>
      <c r="AB36" s="1350">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49"/>
      <c r="Q37" s="1349" t="str">
        <f t="shared" si="11"/>
        <v>成新度</v>
      </c>
      <c r="R37" s="705" t="s">
        <v>14</v>
      </c>
      <c r="S37" s="706" t="e">
        <f t="shared" si="12"/>
        <v>#N/A</v>
      </c>
      <c r="T37" s="705" t="s">
        <v>14</v>
      </c>
      <c r="U37" s="706" t="e">
        <f t="shared" si="13"/>
        <v>#N/A</v>
      </c>
      <c r="V37" s="705" t="s">
        <v>14</v>
      </c>
      <c r="W37" s="706" t="e">
        <f t="shared" si="14"/>
        <v>#N/A</v>
      </c>
      <c r="X37" s="1352"/>
      <c r="Y37" s="3751"/>
      <c r="Z37" s="1353" t="str">
        <f t="shared" si="15"/>
        <v>成新度</v>
      </c>
      <c r="AA37" s="1350" t="e">
        <f t="shared" si="3"/>
        <v>#N/A</v>
      </c>
      <c r="AB37" s="1350"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49"/>
      <c r="Q38" s="1340" t="str">
        <f t="shared" si="11"/>
        <v>写字楼等级</v>
      </c>
      <c r="R38" s="701" t="s">
        <v>14</v>
      </c>
      <c r="S38" s="702">
        <f t="shared" si="12"/>
        <v>100</v>
      </c>
      <c r="T38" s="701" t="s">
        <v>14</v>
      </c>
      <c r="U38" s="702">
        <f t="shared" si="13"/>
        <v>100</v>
      </c>
      <c r="V38" s="701" t="s">
        <v>14</v>
      </c>
      <c r="W38" s="702">
        <f t="shared" si="14"/>
        <v>100</v>
      </c>
      <c r="X38" s="703"/>
      <c r="Y38" s="3751"/>
      <c r="Z38" s="52" t="str">
        <f t="shared" si="15"/>
        <v>写字楼等级</v>
      </c>
      <c r="AA38" s="704">
        <f t="shared" si="3"/>
        <v>1</v>
      </c>
      <c r="AB38" s="704">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49" t="s">
        <v>1695</v>
      </c>
      <c r="Q39" s="1349" t="str">
        <f t="shared" si="11"/>
        <v>物业管理</v>
      </c>
      <c r="R39" s="705" t="s">
        <v>14</v>
      </c>
      <c r="S39" s="706">
        <f t="shared" si="12"/>
        <v>100</v>
      </c>
      <c r="T39" s="705" t="s">
        <v>14</v>
      </c>
      <c r="U39" s="706">
        <f t="shared" si="13"/>
        <v>100</v>
      </c>
      <c r="V39" s="705" t="s">
        <v>14</v>
      </c>
      <c r="W39" s="706">
        <f t="shared" si="14"/>
        <v>100</v>
      </c>
      <c r="X39" s="1352"/>
      <c r="Y39" s="3751" t="s">
        <v>1695</v>
      </c>
      <c r="Z39" s="1353" t="str">
        <f t="shared" si="15"/>
        <v>物业管理</v>
      </c>
      <c r="AA39" s="1350">
        <f t="shared" si="3"/>
        <v>1</v>
      </c>
      <c r="AB39" s="1350">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49"/>
      <c r="Q40" s="1349" t="str">
        <f t="shared" si="11"/>
        <v>市政基础设施</v>
      </c>
      <c r="R40" s="705" t="s">
        <v>14</v>
      </c>
      <c r="S40" s="706">
        <f t="shared" si="12"/>
        <v>100</v>
      </c>
      <c r="T40" s="705" t="s">
        <v>14</v>
      </c>
      <c r="U40" s="706">
        <f t="shared" si="13"/>
        <v>100</v>
      </c>
      <c r="V40" s="705" t="s">
        <v>14</v>
      </c>
      <c r="W40" s="706">
        <f t="shared" si="14"/>
        <v>100</v>
      </c>
      <c r="X40" s="1352"/>
      <c r="Y40" s="3751"/>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49"/>
      <c r="Q41" s="1349" t="str">
        <f t="shared" si="11"/>
        <v>层高</v>
      </c>
      <c r="R41" s="705" t="s">
        <v>14</v>
      </c>
      <c r="S41" s="706">
        <f t="shared" si="12"/>
        <v>100</v>
      </c>
      <c r="T41" s="705" t="s">
        <v>14</v>
      </c>
      <c r="U41" s="706">
        <f t="shared" si="13"/>
        <v>100</v>
      </c>
      <c r="V41" s="705" t="s">
        <v>14</v>
      </c>
      <c r="W41" s="706">
        <f t="shared" si="14"/>
        <v>100</v>
      </c>
      <c r="X41" s="1352"/>
      <c r="Y41" s="3751"/>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49"/>
      <c r="Q42" s="707" t="str">
        <f t="shared" si="11"/>
        <v>单套建筑面积</v>
      </c>
      <c r="R42" s="708" t="s">
        <v>14</v>
      </c>
      <c r="S42" s="709">
        <f t="shared" si="12"/>
        <v>100</v>
      </c>
      <c r="T42" s="708" t="s">
        <v>14</v>
      </c>
      <c r="U42" s="709">
        <f t="shared" si="13"/>
        <v>100</v>
      </c>
      <c r="V42" s="708" t="s">
        <v>14</v>
      </c>
      <c r="W42" s="709">
        <f t="shared" si="14"/>
        <v>100</v>
      </c>
      <c r="X42" s="710"/>
      <c r="Y42" s="3751"/>
      <c r="Z42" s="711" t="str">
        <f t="shared" si="15"/>
        <v>单套建筑面积</v>
      </c>
      <c r="AA42" s="1350">
        <f t="shared" si="3"/>
        <v>1</v>
      </c>
      <c r="AB42" s="1350">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49"/>
      <c r="Q43" s="1349" t="str">
        <f t="shared" si="11"/>
        <v>内部装修</v>
      </c>
      <c r="R43" s="705" t="s">
        <v>14</v>
      </c>
      <c r="S43" s="706">
        <f t="shared" si="12"/>
        <v>100</v>
      </c>
      <c r="T43" s="705" t="s">
        <v>14</v>
      </c>
      <c r="U43" s="706">
        <f t="shared" si="13"/>
        <v>100</v>
      </c>
      <c r="V43" s="705" t="s">
        <v>14</v>
      </c>
      <c r="W43" s="706">
        <f t="shared" si="14"/>
        <v>100</v>
      </c>
      <c r="X43" s="1352"/>
      <c r="Y43" s="3751"/>
      <c r="Z43" s="1353" t="str">
        <f t="shared" si="15"/>
        <v>内部装修</v>
      </c>
      <c r="AA43" s="1350">
        <f t="shared" si="3"/>
        <v>1</v>
      </c>
      <c r="AB43" s="1350">
        <f t="shared" si="4"/>
        <v>1</v>
      </c>
      <c r="AC43" s="1959">
        <f t="shared" si="5"/>
        <v>1</v>
      </c>
    </row>
    <row r="44" spans="1:29" ht="15">
      <c r="A44" s="423"/>
      <c r="B44" s="375" t="s">
        <v>1706</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7"/>
      <c r="M44" s="2711"/>
      <c r="N44" s="2711"/>
      <c r="O44" s="2711"/>
      <c r="P44" s="3749"/>
      <c r="Q44" s="1349" t="str">
        <f t="shared" si="11"/>
        <v>内部装修维护情况</v>
      </c>
      <c r="R44" s="705" t="s">
        <v>14</v>
      </c>
      <c r="S44" s="706">
        <f t="shared" si="12"/>
        <v>100</v>
      </c>
      <c r="T44" s="705" t="s">
        <v>14</v>
      </c>
      <c r="U44" s="706">
        <f t="shared" si="13"/>
        <v>100</v>
      </c>
      <c r="V44" s="705" t="s">
        <v>14</v>
      </c>
      <c r="W44" s="706">
        <f t="shared" si="14"/>
        <v>100</v>
      </c>
      <c r="X44" s="1352"/>
      <c r="Y44" s="3751"/>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49"/>
      <c r="Q45" s="1340">
        <f t="shared" si="11"/>
        <v>111</v>
      </c>
      <c r="R45" s="701" t="s">
        <v>14</v>
      </c>
      <c r="S45" s="702">
        <f t="shared" si="12"/>
        <v>100</v>
      </c>
      <c r="T45" s="701" t="s">
        <v>14</v>
      </c>
      <c r="U45" s="702">
        <f t="shared" si="13"/>
        <v>100</v>
      </c>
      <c r="V45" s="701" t="s">
        <v>14</v>
      </c>
      <c r="W45" s="702">
        <f t="shared" si="14"/>
        <v>100</v>
      </c>
      <c r="X45" s="703"/>
      <c r="Y45" s="3751"/>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49"/>
      <c r="Q46" s="1349">
        <f t="shared" si="11"/>
        <v>111</v>
      </c>
      <c r="R46" s="705" t="s">
        <v>14</v>
      </c>
      <c r="S46" s="706">
        <f t="shared" si="12"/>
        <v>100</v>
      </c>
      <c r="T46" s="705" t="s">
        <v>14</v>
      </c>
      <c r="U46" s="706">
        <f t="shared" si="13"/>
        <v>100</v>
      </c>
      <c r="V46" s="705" t="s">
        <v>14</v>
      </c>
      <c r="W46" s="706">
        <f t="shared" si="14"/>
        <v>100</v>
      </c>
      <c r="X46" s="1352"/>
      <c r="Y46" s="3751"/>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0"/>
      <c r="Q47" s="1349">
        <f t="shared" si="11"/>
        <v>111</v>
      </c>
      <c r="R47" s="705" t="s">
        <v>14</v>
      </c>
      <c r="S47" s="706">
        <f t="shared" si="12"/>
        <v>100</v>
      </c>
      <c r="T47" s="705" t="s">
        <v>14</v>
      </c>
      <c r="U47" s="706">
        <f t="shared" si="13"/>
        <v>100</v>
      </c>
      <c r="V47" s="705" t="s">
        <v>14</v>
      </c>
      <c r="W47" s="706">
        <f t="shared" si="14"/>
        <v>100</v>
      </c>
      <c r="X47" s="1352"/>
      <c r="Y47" s="3752"/>
      <c r="Z47" s="1353">
        <f t="shared" si="15"/>
        <v>111</v>
      </c>
      <c r="AA47" s="1350">
        <f t="shared" si="3"/>
        <v>1</v>
      </c>
      <c r="AB47" s="1350">
        <f t="shared" si="4"/>
        <v>1</v>
      </c>
      <c r="AC47" s="1959">
        <f t="shared" si="5"/>
        <v>1</v>
      </c>
    </row>
    <row r="48" spans="1:29" ht="15">
      <c r="A48" s="430" t="s">
        <v>1707</v>
      </c>
      <c r="B48" s="431"/>
      <c r="C48" s="1151" t="s">
        <v>0</v>
      </c>
      <c r="D48" s="1152"/>
      <c r="E48" s="1153"/>
      <c r="F48" s="1154"/>
      <c r="G48" s="1155"/>
      <c r="H48" s="1156"/>
      <c r="I48" s="1153"/>
      <c r="J48" s="436"/>
      <c r="K48" s="714"/>
      <c r="L48" s="2719"/>
      <c r="M48" s="2711"/>
      <c r="N48" s="2711"/>
      <c r="O48" s="2711"/>
      <c r="P48" s="3726" t="str">
        <f>A48</f>
        <v>成交单价（元/平方米）</v>
      </c>
      <c r="Q48" s="3744"/>
      <c r="R48" s="3745">
        <f>E48</f>
        <v>0</v>
      </c>
      <c r="S48" s="3745"/>
      <c r="T48" s="3745">
        <f>G48</f>
        <v>0</v>
      </c>
      <c r="U48" s="3745"/>
      <c r="V48" s="3745">
        <f>I48</f>
        <v>0</v>
      </c>
      <c r="W48" s="3745"/>
      <c r="X48" s="397"/>
      <c r="Y48" s="712"/>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19"/>
      <c r="M49" s="2711"/>
      <c r="N49" s="2711"/>
      <c r="O49" s="2711"/>
      <c r="P49" s="3726" t="str">
        <f>A49</f>
        <v>比较价值（元/平方米）</v>
      </c>
      <c r="Q49" s="3744"/>
      <c r="R49" s="3745" t="e">
        <f>IF(F1="售价",ROUND(PRODUCT(R48,AA7:AA47),0),ROUND(PRODUCT(R48,AA7:AA47),1))</f>
        <v>#DIV/0!</v>
      </c>
      <c r="S49" s="3745"/>
      <c r="T49" s="3745" t="e">
        <f>IF(F1="售价",ROUND(PRODUCT(T48,AB7:AB47),0),ROUND(PRODUCT(T48,AB7:AB47),1))</f>
        <v>#DIV/0!</v>
      </c>
      <c r="U49" s="3745"/>
      <c r="V49" s="3745" t="e">
        <f>IF(F1="售价",ROUND(PRODUCT(V48,AC7:AC47),0),ROUND(PRODUCT(V48,AC7:AC47),1))</f>
        <v>#DIV/0!</v>
      </c>
      <c r="W49" s="3745"/>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5"/>
      <c r="L50" s="2719"/>
      <c r="M50" s="2711"/>
      <c r="N50" s="2711"/>
      <c r="O50" s="2711"/>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1797</v>
      </c>
      <c r="B58" s="690"/>
      <c r="C58" s="695"/>
      <c r="D58" s="695"/>
      <c r="E58" s="695"/>
      <c r="F58" s="696"/>
      <c r="G58" s="696"/>
      <c r="H58" s="695"/>
      <c r="I58" s="695"/>
      <c r="J58" s="695"/>
      <c r="K58" s="697"/>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1678</v>
      </c>
      <c r="B59" s="455"/>
      <c r="C59" s="1181" t="str">
        <f>YEAR(C7)&amp;"-"&amp;MONTH(C7)</f>
        <v>2023-7</v>
      </c>
      <c r="D59" s="1182">
        <f>EDATE(C59,-1)</f>
        <v>45078</v>
      </c>
      <c r="E59" s="1182">
        <f>EDATE(D59,-1)</f>
        <v>45047</v>
      </c>
      <c r="F59" s="1182">
        <f t="shared" ref="F59:O59" si="16">EDATE(E59,-1)</f>
        <v>45017</v>
      </c>
      <c r="G59" s="1182">
        <f t="shared" si="16"/>
        <v>44986</v>
      </c>
      <c r="H59" s="1182">
        <f t="shared" si="16"/>
        <v>44958</v>
      </c>
      <c r="I59" s="1182">
        <f t="shared" si="16"/>
        <v>44927</v>
      </c>
      <c r="J59" s="1182">
        <f t="shared" si="16"/>
        <v>44896</v>
      </c>
      <c r="K59" s="1182">
        <f t="shared" si="16"/>
        <v>44866</v>
      </c>
      <c r="L59" s="1182">
        <f t="shared" si="16"/>
        <v>44835</v>
      </c>
      <c r="M59" s="1182">
        <f t="shared" si="16"/>
        <v>44805</v>
      </c>
      <c r="N59" s="1182">
        <f t="shared" si="16"/>
        <v>44774</v>
      </c>
      <c r="O59" s="1182">
        <f t="shared" si="16"/>
        <v>44743</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1812</v>
      </c>
      <c r="C83" s="608" t="s">
        <v>1798</v>
      </c>
      <c r="D83" s="608" t="s">
        <v>1799</v>
      </c>
      <c r="E83" s="608" t="s">
        <v>1800</v>
      </c>
      <c r="F83" s="608" t="s">
        <v>1801</v>
      </c>
      <c r="G83" s="608" t="s">
        <v>1802</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132744.37</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910"/>
      <c r="M4" s="911"/>
      <c r="N4" s="911"/>
      <c r="O4" s="9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910"/>
      <c r="M5" s="911"/>
      <c r="N5" s="911"/>
      <c r="O5" s="9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910"/>
      <c r="M6" s="911"/>
      <c r="N6" s="911"/>
      <c r="O6" s="9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SUMIF(52:52,YEAR(E7)&amp;"-"&amp;MONTH(E7),53:53)</f>
        <v>0</v>
      </c>
      <c r="G7" s="366"/>
      <c r="H7" s="365">
        <f>SUMIF(52:52,YEAR(G7)&amp;"-"&amp;MONTH(G7),53:53)</f>
        <v>0</v>
      </c>
      <c r="I7" s="366"/>
      <c r="J7" s="365">
        <f>SUMIF(52:52,YEAR(I7)&amp;"-"&amp;MONTH(I7),53:53)</f>
        <v>0</v>
      </c>
      <c r="K7" s="560"/>
      <c r="L7" s="912"/>
      <c r="M7" s="913"/>
      <c r="N7" s="913"/>
      <c r="O7" s="9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44"/>
      <c r="Q11" s="1340"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46" t="s">
        <v>1690</v>
      </c>
      <c r="Q15" s="1349" t="str">
        <f t="shared" si="6"/>
        <v>产业集聚程度</v>
      </c>
      <c r="R15" s="705" t="s">
        <v>14</v>
      </c>
      <c r="S15" s="706">
        <f t="shared" si="0"/>
        <v>100</v>
      </c>
      <c r="T15" s="705" t="s">
        <v>14</v>
      </c>
      <c r="U15" s="706">
        <f t="shared" si="1"/>
        <v>100</v>
      </c>
      <c r="V15" s="705" t="s">
        <v>14</v>
      </c>
      <c r="W15" s="706">
        <f t="shared" si="2"/>
        <v>100</v>
      </c>
      <c r="X15" s="1352"/>
      <c r="Y15" s="3746"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47"/>
      <c r="Q16" s="1349"/>
      <c r="R16" s="705"/>
      <c r="S16" s="706"/>
      <c r="T16" s="705"/>
      <c r="U16" s="706"/>
      <c r="V16" s="705"/>
      <c r="W16" s="706"/>
      <c r="X16" s="1352"/>
      <c r="Y16" s="3747"/>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47"/>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47"/>
      <c r="Q18" s="1349"/>
      <c r="R18" s="705"/>
      <c r="S18" s="706"/>
      <c r="T18" s="705"/>
      <c r="U18" s="706"/>
      <c r="V18" s="705"/>
      <c r="W18" s="706"/>
      <c r="X18" s="1352"/>
      <c r="Y18" s="3747"/>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47"/>
      <c r="Q19" s="1349" t="str">
        <f>B19</f>
        <v>公共配套设施</v>
      </c>
      <c r="R19" s="705" t="s">
        <v>14</v>
      </c>
      <c r="S19" s="706">
        <f>F19</f>
        <v>100</v>
      </c>
      <c r="T19" s="705" t="s">
        <v>14</v>
      </c>
      <c r="U19" s="706">
        <f>H19</f>
        <v>100</v>
      </c>
      <c r="V19" s="705" t="s">
        <v>14</v>
      </c>
      <c r="W19" s="706">
        <f>J19</f>
        <v>100</v>
      </c>
      <c r="X19" s="1352"/>
      <c r="Y19" s="3747"/>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47"/>
      <c r="Q20" s="1349"/>
      <c r="R20" s="705"/>
      <c r="S20" s="706"/>
      <c r="T20" s="705"/>
      <c r="U20" s="706"/>
      <c r="V20" s="705"/>
      <c r="W20" s="706"/>
      <c r="X20" s="1352"/>
      <c r="Y20" s="3747"/>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47"/>
      <c r="Q21" s="1349" t="str">
        <f>B21</f>
        <v>基础设施水平</v>
      </c>
      <c r="R21" s="705" t="s">
        <v>14</v>
      </c>
      <c r="S21" s="706">
        <f>F21</f>
        <v>100</v>
      </c>
      <c r="T21" s="705" t="s">
        <v>14</v>
      </c>
      <c r="U21" s="706">
        <f>H21</f>
        <v>100</v>
      </c>
      <c r="V21" s="705" t="s">
        <v>14</v>
      </c>
      <c r="W21" s="706">
        <f>J21</f>
        <v>100</v>
      </c>
      <c r="X21" s="1352"/>
      <c r="Y21" s="3747"/>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47"/>
      <c r="Q22" s="1349"/>
      <c r="R22" s="705"/>
      <c r="S22" s="706"/>
      <c r="T22" s="705"/>
      <c r="U22" s="706"/>
      <c r="V22" s="705"/>
      <c r="W22" s="706"/>
      <c r="X22" s="1352"/>
      <c r="Y22" s="3747"/>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47"/>
      <c r="Q23" s="1349" t="str">
        <f>B23</f>
        <v>环境质量</v>
      </c>
      <c r="R23" s="705" t="s">
        <v>14</v>
      </c>
      <c r="S23" s="706">
        <f>F23</f>
        <v>100</v>
      </c>
      <c r="T23" s="705" t="s">
        <v>14</v>
      </c>
      <c r="U23" s="706">
        <f>H23</f>
        <v>100</v>
      </c>
      <c r="V23" s="705" t="s">
        <v>14</v>
      </c>
      <c r="W23" s="706">
        <f>J23</f>
        <v>100</v>
      </c>
      <c r="X23" s="1352"/>
      <c r="Y23" s="3747"/>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47"/>
      <c r="Q24" s="1349"/>
      <c r="R24" s="705"/>
      <c r="S24" s="706"/>
      <c r="T24" s="705"/>
      <c r="U24" s="706"/>
      <c r="V24" s="705"/>
      <c r="W24" s="706"/>
      <c r="X24" s="1352"/>
      <c r="Y24" s="3747"/>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47"/>
      <c r="Q25" s="1349">
        <f>B25</f>
        <v>111</v>
      </c>
      <c r="R25" s="705" t="s">
        <v>14</v>
      </c>
      <c r="S25" s="706">
        <f>F25</f>
        <v>100</v>
      </c>
      <c r="T25" s="705" t="s">
        <v>14</v>
      </c>
      <c r="U25" s="706">
        <f>H25</f>
        <v>100</v>
      </c>
      <c r="V25" s="705" t="s">
        <v>14</v>
      </c>
      <c r="W25" s="706">
        <f>J25</f>
        <v>100</v>
      </c>
      <c r="X25" s="1352"/>
      <c r="Y25" s="3747"/>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47"/>
      <c r="Q26" s="1349">
        <f t="shared" ref="Q26:Q40" si="11">B26</f>
        <v>111</v>
      </c>
      <c r="R26" s="705" t="s">
        <v>14</v>
      </c>
      <c r="S26" s="706">
        <f>F26</f>
        <v>100</v>
      </c>
      <c r="T26" s="705" t="s">
        <v>14</v>
      </c>
      <c r="U26" s="706">
        <f>H26</f>
        <v>100</v>
      </c>
      <c r="V26" s="705" t="s">
        <v>14</v>
      </c>
      <c r="W26" s="706">
        <f>J26</f>
        <v>100</v>
      </c>
      <c r="X26" s="1352"/>
      <c r="Y26" s="3747"/>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47"/>
      <c r="Q27" s="1340">
        <f t="shared" si="11"/>
        <v>111</v>
      </c>
      <c r="R27" s="701" t="s">
        <v>14</v>
      </c>
      <c r="S27" s="702">
        <f>F27</f>
        <v>100</v>
      </c>
      <c r="T27" s="701" t="s">
        <v>14</v>
      </c>
      <c r="U27" s="702">
        <f>H27</f>
        <v>100</v>
      </c>
      <c r="V27" s="701" t="s">
        <v>14</v>
      </c>
      <c r="W27" s="702">
        <f>J27</f>
        <v>100</v>
      </c>
      <c r="X27" s="703"/>
      <c r="Y27" s="3747"/>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47"/>
      <c r="Q28" s="1349">
        <f t="shared" si="11"/>
        <v>111</v>
      </c>
      <c r="R28" s="705" t="s">
        <v>14</v>
      </c>
      <c r="S28" s="706">
        <f t="shared" ref="S28:S40" si="12">F28</f>
        <v>100</v>
      </c>
      <c r="T28" s="705" t="s">
        <v>14</v>
      </c>
      <c r="U28" s="706">
        <f t="shared" ref="U28:U40" si="13">H28</f>
        <v>100</v>
      </c>
      <c r="V28" s="705" t="s">
        <v>14</v>
      </c>
      <c r="W28" s="706">
        <f t="shared" ref="W28:W40" si="14">J28</f>
        <v>100</v>
      </c>
      <c r="X28" s="1352"/>
      <c r="Y28" s="3747"/>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70" t="s">
        <v>1695</v>
      </c>
      <c r="Q29" s="1349" t="str">
        <f t="shared" si="11"/>
        <v>建筑类型</v>
      </c>
      <c r="R29" s="705" t="s">
        <v>14</v>
      </c>
      <c r="S29" s="706">
        <f t="shared" si="12"/>
        <v>100</v>
      </c>
      <c r="T29" s="705" t="s">
        <v>14</v>
      </c>
      <c r="U29" s="706">
        <f t="shared" si="13"/>
        <v>100</v>
      </c>
      <c r="V29" s="705" t="s">
        <v>14</v>
      </c>
      <c r="W29" s="706">
        <f t="shared" si="14"/>
        <v>100</v>
      </c>
      <c r="X29" s="1352"/>
      <c r="Y29" s="3751"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51"/>
      <c r="Q30" s="707" t="str">
        <f t="shared" si="11"/>
        <v>项目建筑规模</v>
      </c>
      <c r="R30" s="708" t="s">
        <v>14</v>
      </c>
      <c r="S30" s="709" t="e">
        <f t="shared" si="12"/>
        <v>#N/A</v>
      </c>
      <c r="T30" s="708" t="s">
        <v>14</v>
      </c>
      <c r="U30" s="709" t="e">
        <f t="shared" si="13"/>
        <v>#N/A</v>
      </c>
      <c r="V30" s="708" t="s">
        <v>14</v>
      </c>
      <c r="W30" s="709" t="e">
        <f t="shared" si="14"/>
        <v>#N/A</v>
      </c>
      <c r="X30" s="710"/>
      <c r="Y30" s="3751"/>
      <c r="Z30" s="711"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51"/>
      <c r="Q31" s="1349" t="str">
        <f t="shared" si="11"/>
        <v>建筑结构</v>
      </c>
      <c r="R31" s="705" t="s">
        <v>14</v>
      </c>
      <c r="S31" s="706">
        <f t="shared" si="12"/>
        <v>100</v>
      </c>
      <c r="T31" s="705" t="s">
        <v>14</v>
      </c>
      <c r="U31" s="706">
        <f t="shared" si="13"/>
        <v>100</v>
      </c>
      <c r="V31" s="705" t="s">
        <v>14</v>
      </c>
      <c r="W31" s="706">
        <f t="shared" si="14"/>
        <v>100</v>
      </c>
      <c r="X31" s="1352"/>
      <c r="Y31" s="3751"/>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51"/>
      <c r="Q32" s="1349" t="str">
        <f t="shared" si="11"/>
        <v>公共部分装修</v>
      </c>
      <c r="R32" s="705" t="s">
        <v>14</v>
      </c>
      <c r="S32" s="706">
        <f t="shared" si="12"/>
        <v>100</v>
      </c>
      <c r="T32" s="705" t="s">
        <v>14</v>
      </c>
      <c r="U32" s="706">
        <f t="shared" si="13"/>
        <v>100</v>
      </c>
      <c r="V32" s="705" t="s">
        <v>14</v>
      </c>
      <c r="W32" s="706">
        <f t="shared" si="14"/>
        <v>100</v>
      </c>
      <c r="X32" s="1352"/>
      <c r="Y32" s="3751"/>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51"/>
      <c r="Q33" s="1349" t="str">
        <f t="shared" si="11"/>
        <v>成新度</v>
      </c>
      <c r="R33" s="705" t="s">
        <v>14</v>
      </c>
      <c r="S33" s="706" t="e">
        <f t="shared" si="12"/>
        <v>#N/A</v>
      </c>
      <c r="T33" s="705" t="s">
        <v>14</v>
      </c>
      <c r="U33" s="706" t="e">
        <f t="shared" si="13"/>
        <v>#N/A</v>
      </c>
      <c r="V33" s="705" t="s">
        <v>14</v>
      </c>
      <c r="W33" s="706" t="e">
        <f t="shared" si="14"/>
        <v>#N/A</v>
      </c>
      <c r="X33" s="1352"/>
      <c r="Y33" s="3751"/>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51"/>
      <c r="Q34" s="1340" t="str">
        <f t="shared" si="11"/>
        <v>物业管理</v>
      </c>
      <c r="R34" s="701" t="s">
        <v>14</v>
      </c>
      <c r="S34" s="702">
        <f t="shared" si="12"/>
        <v>100</v>
      </c>
      <c r="T34" s="701" t="s">
        <v>14</v>
      </c>
      <c r="U34" s="702">
        <f t="shared" si="13"/>
        <v>100</v>
      </c>
      <c r="V34" s="701" t="s">
        <v>14</v>
      </c>
      <c r="W34" s="702">
        <f t="shared" si="14"/>
        <v>100</v>
      </c>
      <c r="X34" s="703"/>
      <c r="Y34" s="375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51" t="s">
        <v>1695</v>
      </c>
      <c r="Q35" s="1349" t="str">
        <f t="shared" si="11"/>
        <v>市政基础设施</v>
      </c>
      <c r="R35" s="705" t="s">
        <v>14</v>
      </c>
      <c r="S35" s="706">
        <f t="shared" si="12"/>
        <v>100</v>
      </c>
      <c r="T35" s="705" t="s">
        <v>14</v>
      </c>
      <c r="U35" s="706">
        <f t="shared" si="13"/>
        <v>100</v>
      </c>
      <c r="V35" s="705" t="s">
        <v>14</v>
      </c>
      <c r="W35" s="706">
        <f t="shared" si="14"/>
        <v>100</v>
      </c>
      <c r="X35" s="1352"/>
      <c r="Y35" s="3751"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51"/>
      <c r="Q36" s="1349" t="str">
        <f t="shared" si="11"/>
        <v>内部装修</v>
      </c>
      <c r="R36" s="705" t="s">
        <v>14</v>
      </c>
      <c r="S36" s="706">
        <f t="shared" si="12"/>
        <v>100</v>
      </c>
      <c r="T36" s="705" t="s">
        <v>14</v>
      </c>
      <c r="U36" s="706">
        <f t="shared" si="13"/>
        <v>100</v>
      </c>
      <c r="V36" s="705" t="s">
        <v>14</v>
      </c>
      <c r="W36" s="706">
        <f t="shared" si="14"/>
        <v>100</v>
      </c>
      <c r="X36" s="1352"/>
      <c r="Y36" s="3751"/>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51"/>
      <c r="Q37" s="1349" t="str">
        <f t="shared" si="11"/>
        <v>内部装修状况</v>
      </c>
      <c r="R37" s="705" t="s">
        <v>14</v>
      </c>
      <c r="S37" s="706">
        <f t="shared" si="12"/>
        <v>100</v>
      </c>
      <c r="T37" s="705" t="s">
        <v>14</v>
      </c>
      <c r="U37" s="706">
        <f t="shared" si="13"/>
        <v>100</v>
      </c>
      <c r="V37" s="705" t="s">
        <v>14</v>
      </c>
      <c r="W37" s="706">
        <f t="shared" si="14"/>
        <v>100</v>
      </c>
      <c r="X37" s="1352"/>
      <c r="Y37" s="3751"/>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51"/>
      <c r="Q38" s="707">
        <f t="shared" si="11"/>
        <v>111</v>
      </c>
      <c r="R38" s="708" t="s">
        <v>14</v>
      </c>
      <c r="S38" s="709">
        <f t="shared" si="12"/>
        <v>100</v>
      </c>
      <c r="T38" s="708" t="s">
        <v>14</v>
      </c>
      <c r="U38" s="709">
        <f t="shared" si="13"/>
        <v>100</v>
      </c>
      <c r="V38" s="708" t="s">
        <v>14</v>
      </c>
      <c r="W38" s="709">
        <f t="shared" si="14"/>
        <v>100</v>
      </c>
      <c r="X38" s="710"/>
      <c r="Y38" s="3751"/>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51"/>
      <c r="Q39" s="1349">
        <f t="shared" si="11"/>
        <v>111</v>
      </c>
      <c r="R39" s="705" t="s">
        <v>14</v>
      </c>
      <c r="S39" s="706">
        <f t="shared" si="12"/>
        <v>100</v>
      </c>
      <c r="T39" s="705" t="s">
        <v>14</v>
      </c>
      <c r="U39" s="706">
        <f t="shared" si="13"/>
        <v>100</v>
      </c>
      <c r="V39" s="705" t="s">
        <v>14</v>
      </c>
      <c r="W39" s="706">
        <f t="shared" si="14"/>
        <v>100</v>
      </c>
      <c r="X39" s="1352"/>
      <c r="Y39" s="3751"/>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52"/>
      <c r="Q40" s="1349">
        <f t="shared" si="11"/>
        <v>111</v>
      </c>
      <c r="R40" s="705" t="s">
        <v>14</v>
      </c>
      <c r="S40" s="706">
        <f t="shared" si="12"/>
        <v>100</v>
      </c>
      <c r="T40" s="705" t="s">
        <v>14</v>
      </c>
      <c r="U40" s="706">
        <f t="shared" si="13"/>
        <v>100</v>
      </c>
      <c r="V40" s="705" t="s">
        <v>14</v>
      </c>
      <c r="W40" s="706">
        <f t="shared" si="14"/>
        <v>100</v>
      </c>
      <c r="X40" s="1352"/>
      <c r="Y40" s="3752"/>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4"/>
      <c r="L41" s="923"/>
      <c r="M41" s="924"/>
      <c r="N41" s="911"/>
      <c r="O41" s="924"/>
      <c r="P41" s="3744" t="str">
        <f>A41</f>
        <v>成交单价（元/平方米）</v>
      </c>
      <c r="Q41" s="3744"/>
      <c r="R41" s="3745">
        <f>E41</f>
        <v>0</v>
      </c>
      <c r="S41" s="3745"/>
      <c r="T41" s="3745">
        <f>G41</f>
        <v>0</v>
      </c>
      <c r="U41" s="3745"/>
      <c r="V41" s="3745">
        <f>I41</f>
        <v>0</v>
      </c>
      <c r="W41" s="3745"/>
      <c r="X41" s="690"/>
      <c r="Y41" s="712"/>
      <c r="Z41" s="690"/>
      <c r="AA41" s="690"/>
      <c r="AB41" s="690"/>
      <c r="AC41" s="690"/>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3"/>
      <c r="M42" s="924"/>
      <c r="N42" s="911"/>
      <c r="O42" s="924"/>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90"/>
      <c r="Y42" s="690"/>
      <c r="Z42" s="690"/>
      <c r="AA42" s="690"/>
      <c r="AB42" s="690"/>
      <c r="AC42" s="690"/>
    </row>
    <row r="43" spans="1:29" ht="15.75" thickBot="1">
      <c r="A43" s="441" t="s">
        <v>1793</v>
      </c>
      <c r="B43" s="442"/>
      <c r="C43" s="1160" t="e">
        <f>R43</f>
        <v>#DIV/0!</v>
      </c>
      <c r="D43" s="1160"/>
      <c r="E43" s="1160"/>
      <c r="F43" s="1160"/>
      <c r="G43" s="1160"/>
      <c r="H43" s="1160"/>
      <c r="I43" s="1160"/>
      <c r="J43" s="1160"/>
      <c r="K43" s="715"/>
      <c r="L43" s="923"/>
      <c r="M43" s="924"/>
      <c r="N43" s="924"/>
      <c r="O43" s="924"/>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90"/>
      <c r="Y43" s="690"/>
      <c r="Z43" s="690"/>
      <c r="AA43" s="690"/>
      <c r="AB43" s="690"/>
      <c r="AC43" s="690"/>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4" t="s">
        <v>1797</v>
      </c>
      <c r="B51" s="690"/>
      <c r="C51" s="695"/>
      <c r="D51" s="695"/>
      <c r="E51" s="695"/>
      <c r="F51" s="696"/>
      <c r="G51" s="696"/>
      <c r="H51" s="695"/>
      <c r="I51" s="695"/>
      <c r="J51" s="695"/>
      <c r="K51" s="938"/>
      <c r="L51" s="939"/>
      <c r="M51" s="937"/>
      <c r="N51" s="937"/>
      <c r="O51" s="937"/>
      <c r="P51" s="452"/>
      <c r="Q51" s="453"/>
    </row>
    <row r="52" spans="1:17" s="457" customFormat="1" ht="15">
      <c r="A52" s="454" t="s">
        <v>1678</v>
      </c>
      <c r="B52" s="455"/>
      <c r="C52" s="1181" t="str">
        <f>YEAR(C7)&amp;"-"&amp;MONTH(C7)</f>
        <v>2023-7</v>
      </c>
      <c r="D52" s="1182">
        <f>EDATE(C52,-1)</f>
        <v>45078</v>
      </c>
      <c r="E52" s="1182">
        <f t="shared" ref="E52:O52" si="16">EDATE(D52,-1)</f>
        <v>45047</v>
      </c>
      <c r="F52" s="1182">
        <f t="shared" si="16"/>
        <v>45017</v>
      </c>
      <c r="G52" s="1182">
        <f t="shared" si="16"/>
        <v>44986</v>
      </c>
      <c r="H52" s="1182">
        <f t="shared" si="16"/>
        <v>44958</v>
      </c>
      <c r="I52" s="1182">
        <f t="shared" si="16"/>
        <v>44927</v>
      </c>
      <c r="J52" s="1182">
        <f t="shared" si="16"/>
        <v>44896</v>
      </c>
      <c r="K52" s="1182">
        <f t="shared" si="16"/>
        <v>44866</v>
      </c>
      <c r="L52" s="1182">
        <f t="shared" si="16"/>
        <v>44835</v>
      </c>
      <c r="M52" s="1182">
        <f t="shared" si="16"/>
        <v>44805</v>
      </c>
      <c r="N52" s="1182">
        <f t="shared" si="16"/>
        <v>44774</v>
      </c>
      <c r="O52" s="1182">
        <f t="shared" si="16"/>
        <v>44743</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5"/>
      <c r="O54" s="2766"/>
      <c r="P54" s="453"/>
      <c r="Q54" s="453"/>
    </row>
    <row r="55" spans="1:17" s="108" customFormat="1" ht="15">
      <c r="A55" s="470" t="s">
        <v>1680</v>
      </c>
      <c r="B55" s="459"/>
      <c r="C55" s="471" t="s">
        <v>1775</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1718</v>
      </c>
      <c r="B57" s="477" t="s">
        <v>1684</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1687</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1693</v>
      </c>
      <c r="B88" s="477" t="s">
        <v>1735</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1737</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1739</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1740</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1741</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1743</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3332</v>
      </c>
      <c r="C1" s="1221" t="s">
        <v>1661</v>
      </c>
      <c r="D1" s="1222"/>
      <c r="E1" s="3428"/>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1162"/>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44" t="s">
        <v>1685</v>
      </c>
      <c r="Q9" s="1340"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4"/>
      <c r="Q11" s="1340">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55" t="s">
        <v>1689</v>
      </c>
      <c r="B14" s="577" t="s">
        <v>1832</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46" t="s">
        <v>1690</v>
      </c>
      <c r="Q14" s="1349" t="str">
        <f t="shared" si="6"/>
        <v>交通便捷度</v>
      </c>
      <c r="R14" s="705" t="s">
        <v>14</v>
      </c>
      <c r="S14" s="706">
        <f t="shared" si="0"/>
        <v>100</v>
      </c>
      <c r="T14" s="705" t="s">
        <v>14</v>
      </c>
      <c r="U14" s="706">
        <f t="shared" si="1"/>
        <v>100</v>
      </c>
      <c r="V14" s="705" t="s">
        <v>14</v>
      </c>
      <c r="W14" s="706">
        <f t="shared" si="2"/>
        <v>100</v>
      </c>
      <c r="X14" s="1352"/>
      <c r="Y14" s="3746"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7"/>
      <c r="M15" s="2711"/>
      <c r="N15" s="2711"/>
      <c r="O15" s="2711"/>
      <c r="P15" s="3747"/>
      <c r="Q15" s="1349"/>
      <c r="R15" s="705"/>
      <c r="S15" s="706"/>
      <c r="T15" s="705"/>
      <c r="U15" s="706"/>
      <c r="V15" s="705"/>
      <c r="W15" s="706"/>
      <c r="X15" s="1352"/>
      <c r="Y15" s="3747"/>
      <c r="Z15" s="1353"/>
      <c r="AA15" s="1350">
        <v>1</v>
      </c>
      <c r="AB15" s="1350">
        <v>1</v>
      </c>
      <c r="AC15" s="1350">
        <v>1</v>
      </c>
    </row>
    <row r="16" spans="1:29" ht="15">
      <c r="A16" s="358"/>
      <c r="B16" s="579" t="s">
        <v>1811</v>
      </c>
      <c r="C16" s="1897"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47"/>
      <c r="Q16" s="1349" t="str">
        <f>B16</f>
        <v>公共配套设施</v>
      </c>
      <c r="R16" s="705" t="s">
        <v>14</v>
      </c>
      <c r="S16" s="706">
        <f>F16</f>
        <v>100</v>
      </c>
      <c r="T16" s="705" t="s">
        <v>14</v>
      </c>
      <c r="U16" s="706">
        <f>H16</f>
        <v>100</v>
      </c>
      <c r="V16" s="705" t="s">
        <v>14</v>
      </c>
      <c r="W16" s="706">
        <f>J16</f>
        <v>100</v>
      </c>
      <c r="X16" s="1352"/>
      <c r="Y16" s="3747"/>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7"/>
      <c r="M17" s="2711"/>
      <c r="N17" s="2711"/>
      <c r="O17" s="2711"/>
      <c r="P17" s="3747"/>
      <c r="Q17" s="1349"/>
      <c r="R17" s="705"/>
      <c r="S17" s="706"/>
      <c r="T17" s="705"/>
      <c r="U17" s="706"/>
      <c r="V17" s="705"/>
      <c r="W17" s="706"/>
      <c r="X17" s="1352"/>
      <c r="Y17" s="3747"/>
      <c r="Z17" s="1353"/>
      <c r="AA17" s="1350">
        <v>1</v>
      </c>
      <c r="AB17" s="1350">
        <v>1</v>
      </c>
      <c r="AC17" s="1350">
        <v>1</v>
      </c>
    </row>
    <row r="18" spans="1:29" ht="15">
      <c r="A18" s="358"/>
      <c r="B18" s="581" t="s">
        <v>1812</v>
      </c>
      <c r="C18" s="1897"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47"/>
      <c r="Q18" s="1349" t="str">
        <f>B18</f>
        <v>基础设施水平</v>
      </c>
      <c r="R18" s="705" t="s">
        <v>14</v>
      </c>
      <c r="S18" s="706">
        <f>F18</f>
        <v>100</v>
      </c>
      <c r="T18" s="705" t="s">
        <v>14</v>
      </c>
      <c r="U18" s="706">
        <f>H18</f>
        <v>100</v>
      </c>
      <c r="V18" s="705" t="s">
        <v>14</v>
      </c>
      <c r="W18" s="706">
        <f>J18</f>
        <v>100</v>
      </c>
      <c r="X18" s="1352"/>
      <c r="Y18" s="3747"/>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7"/>
      <c r="M19" s="2711"/>
      <c r="N19" s="2711"/>
      <c r="O19" s="2711"/>
      <c r="P19" s="3747"/>
      <c r="Q19" s="1349"/>
      <c r="R19" s="705"/>
      <c r="S19" s="706"/>
      <c r="T19" s="705"/>
      <c r="U19" s="706"/>
      <c r="V19" s="705"/>
      <c r="W19" s="706"/>
      <c r="X19" s="1352"/>
      <c r="Y19" s="3747"/>
      <c r="Z19" s="1353"/>
      <c r="AA19" s="1350">
        <v>1</v>
      </c>
      <c r="AB19" s="1350">
        <v>1</v>
      </c>
      <c r="AC19" s="1350">
        <v>1</v>
      </c>
    </row>
    <row r="20" spans="1:29" ht="15">
      <c r="A20" s="358"/>
      <c r="B20" s="579" t="s">
        <v>1833</v>
      </c>
      <c r="C20" s="1897"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47"/>
      <c r="Q20" s="1349" t="str">
        <f>B20</f>
        <v>自然及人文环境</v>
      </c>
      <c r="R20" s="705" t="s">
        <v>14</v>
      </c>
      <c r="S20" s="706">
        <f>F20</f>
        <v>100</v>
      </c>
      <c r="T20" s="705" t="s">
        <v>14</v>
      </c>
      <c r="U20" s="706">
        <f>H20</f>
        <v>100</v>
      </c>
      <c r="V20" s="705" t="s">
        <v>14</v>
      </c>
      <c r="W20" s="706">
        <f>J20</f>
        <v>100</v>
      </c>
      <c r="X20" s="1352"/>
      <c r="Y20" s="3747"/>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7"/>
      <c r="M21" s="2711"/>
      <c r="N21" s="2711"/>
      <c r="O21" s="2711"/>
      <c r="P21" s="3747"/>
      <c r="Q21" s="1349"/>
      <c r="R21" s="705"/>
      <c r="S21" s="706"/>
      <c r="T21" s="705"/>
      <c r="U21" s="706"/>
      <c r="V21" s="705"/>
      <c r="W21" s="706"/>
      <c r="X21" s="1352"/>
      <c r="Y21" s="3747"/>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47"/>
      <c r="Q22" s="1349" t="str">
        <f>B22</f>
        <v>楼层</v>
      </c>
      <c r="R22" s="705" t="s">
        <v>14</v>
      </c>
      <c r="S22" s="706">
        <f>F22</f>
        <v>100</v>
      </c>
      <c r="T22" s="705" t="s">
        <v>14</v>
      </c>
      <c r="U22" s="706">
        <f>H22</f>
        <v>100</v>
      </c>
      <c r="V22" s="705" t="s">
        <v>14</v>
      </c>
      <c r="W22" s="706">
        <f>J22</f>
        <v>100</v>
      </c>
      <c r="X22" s="1352"/>
      <c r="Y22" s="3747"/>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47"/>
      <c r="Q23" s="1349">
        <f>B23</f>
        <v>111</v>
      </c>
      <c r="R23" s="705" t="s">
        <v>14</v>
      </c>
      <c r="S23" s="706">
        <f>F23</f>
        <v>100</v>
      </c>
      <c r="T23" s="705" t="s">
        <v>14</v>
      </c>
      <c r="U23" s="706">
        <f>H23</f>
        <v>100</v>
      </c>
      <c r="V23" s="705" t="s">
        <v>14</v>
      </c>
      <c r="W23" s="706">
        <f>J23</f>
        <v>100</v>
      </c>
      <c r="X23" s="1352"/>
      <c r="Y23" s="3747"/>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47"/>
      <c r="Q24" s="1349">
        <f t="shared" ref="Q24:Q36" si="11">B24</f>
        <v>111</v>
      </c>
      <c r="R24" s="705" t="s">
        <v>14</v>
      </c>
      <c r="S24" s="706">
        <f>F24</f>
        <v>100</v>
      </c>
      <c r="T24" s="705" t="s">
        <v>14</v>
      </c>
      <c r="U24" s="706">
        <f>H24</f>
        <v>100</v>
      </c>
      <c r="V24" s="705" t="s">
        <v>14</v>
      </c>
      <c r="W24" s="706">
        <f>J24</f>
        <v>100</v>
      </c>
      <c r="X24" s="1352"/>
      <c r="Y24" s="3747"/>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47"/>
      <c r="Q25" s="1340">
        <f t="shared" si="11"/>
        <v>111</v>
      </c>
      <c r="R25" s="701" t="s">
        <v>14</v>
      </c>
      <c r="S25" s="702">
        <f>F25</f>
        <v>100</v>
      </c>
      <c r="T25" s="701" t="s">
        <v>14</v>
      </c>
      <c r="U25" s="702">
        <f>H25</f>
        <v>100</v>
      </c>
      <c r="V25" s="701" t="s">
        <v>14</v>
      </c>
      <c r="W25" s="702">
        <f>J25</f>
        <v>100</v>
      </c>
      <c r="X25" s="703"/>
      <c r="Y25" s="3747"/>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0" t="s">
        <v>1695</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51"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1"/>
      <c r="Q27" s="707" t="str">
        <f t="shared" si="11"/>
        <v>项目停车位配比</v>
      </c>
      <c r="R27" s="708" t="s">
        <v>14</v>
      </c>
      <c r="S27" s="709">
        <f t="shared" si="12"/>
        <v>100</v>
      </c>
      <c r="T27" s="708" t="s">
        <v>14</v>
      </c>
      <c r="U27" s="709">
        <f t="shared" si="13"/>
        <v>100</v>
      </c>
      <c r="V27" s="708" t="s">
        <v>14</v>
      </c>
      <c r="W27" s="709">
        <f t="shared" si="14"/>
        <v>100</v>
      </c>
      <c r="X27" s="710"/>
      <c r="Y27" s="3751"/>
      <c r="Z27" s="711"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1"/>
      <c r="Q28" s="1349" t="str">
        <f t="shared" si="11"/>
        <v>公共部分装修</v>
      </c>
      <c r="R28" s="705" t="s">
        <v>14</v>
      </c>
      <c r="S28" s="706">
        <f t="shared" si="12"/>
        <v>100</v>
      </c>
      <c r="T28" s="705" t="s">
        <v>14</v>
      </c>
      <c r="U28" s="706">
        <f t="shared" si="13"/>
        <v>100</v>
      </c>
      <c r="V28" s="705" t="s">
        <v>14</v>
      </c>
      <c r="W28" s="706">
        <f t="shared" si="14"/>
        <v>100</v>
      </c>
      <c r="X28" s="1352"/>
      <c r="Y28" s="3751"/>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1"/>
      <c r="Q29" s="1349" t="str">
        <f t="shared" si="11"/>
        <v>成新率</v>
      </c>
      <c r="R29" s="705" t="s">
        <v>14</v>
      </c>
      <c r="S29" s="706" t="e">
        <f t="shared" si="12"/>
        <v>#N/A</v>
      </c>
      <c r="T29" s="705" t="s">
        <v>14</v>
      </c>
      <c r="U29" s="706" t="e">
        <f t="shared" si="13"/>
        <v>#N/A</v>
      </c>
      <c r="V29" s="705" t="s">
        <v>14</v>
      </c>
      <c r="W29" s="706" t="e">
        <f t="shared" si="14"/>
        <v>#N/A</v>
      </c>
      <c r="X29" s="1352"/>
      <c r="Y29" s="3751"/>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1"/>
      <c r="Q30" s="1349" t="str">
        <f t="shared" si="11"/>
        <v>物业等级</v>
      </c>
      <c r="R30" s="705" t="s">
        <v>14</v>
      </c>
      <c r="S30" s="706">
        <f t="shared" si="12"/>
        <v>100</v>
      </c>
      <c r="T30" s="705" t="s">
        <v>14</v>
      </c>
      <c r="U30" s="706">
        <f t="shared" si="13"/>
        <v>100</v>
      </c>
      <c r="V30" s="705" t="s">
        <v>14</v>
      </c>
      <c r="W30" s="706">
        <f t="shared" si="14"/>
        <v>100</v>
      </c>
      <c r="X30" s="1352"/>
      <c r="Y30" s="3751"/>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1"/>
      <c r="Q31" s="1340" t="str">
        <f t="shared" si="11"/>
        <v>停车位面积</v>
      </c>
      <c r="R31" s="701" t="s">
        <v>14</v>
      </c>
      <c r="S31" s="702" t="e">
        <f t="shared" si="12"/>
        <v>#N/A</v>
      </c>
      <c r="T31" s="701" t="s">
        <v>14</v>
      </c>
      <c r="U31" s="702" t="e">
        <f t="shared" si="13"/>
        <v>#N/A</v>
      </c>
      <c r="V31" s="701" t="s">
        <v>14</v>
      </c>
      <c r="W31" s="702" t="e">
        <f t="shared" si="14"/>
        <v>#N/A</v>
      </c>
      <c r="X31" s="703"/>
      <c r="Y31" s="375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1" t="s">
        <v>1695</v>
      </c>
      <c r="Q32" s="1349" t="str">
        <f t="shared" si="11"/>
        <v>车位类型</v>
      </c>
      <c r="R32" s="705" t="s">
        <v>14</v>
      </c>
      <c r="S32" s="706">
        <f t="shared" si="12"/>
        <v>100</v>
      </c>
      <c r="T32" s="705" t="s">
        <v>14</v>
      </c>
      <c r="U32" s="706">
        <f t="shared" si="13"/>
        <v>100</v>
      </c>
      <c r="V32" s="705" t="s">
        <v>14</v>
      </c>
      <c r="W32" s="706">
        <f t="shared" si="14"/>
        <v>100</v>
      </c>
      <c r="X32" s="1352"/>
      <c r="Y32" s="3751"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1"/>
      <c r="Q33" s="1349" t="str">
        <f t="shared" si="11"/>
        <v>是否直接入户</v>
      </c>
      <c r="R33" s="705" t="s">
        <v>14</v>
      </c>
      <c r="S33" s="706">
        <f t="shared" si="12"/>
        <v>100</v>
      </c>
      <c r="T33" s="705" t="s">
        <v>14</v>
      </c>
      <c r="U33" s="706">
        <f t="shared" si="13"/>
        <v>100</v>
      </c>
      <c r="V33" s="705" t="s">
        <v>14</v>
      </c>
      <c r="W33" s="706">
        <f t="shared" si="14"/>
        <v>100</v>
      </c>
      <c r="X33" s="1352"/>
      <c r="Y33" s="3751"/>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1"/>
      <c r="Q34" s="1349">
        <f t="shared" si="11"/>
        <v>111</v>
      </c>
      <c r="R34" s="705" t="s">
        <v>14</v>
      </c>
      <c r="S34" s="706">
        <f t="shared" si="12"/>
        <v>100</v>
      </c>
      <c r="T34" s="705" t="s">
        <v>14</v>
      </c>
      <c r="U34" s="706">
        <f t="shared" si="13"/>
        <v>100</v>
      </c>
      <c r="V34" s="705" t="s">
        <v>14</v>
      </c>
      <c r="W34" s="706">
        <f t="shared" si="14"/>
        <v>100</v>
      </c>
      <c r="X34" s="1352"/>
      <c r="Y34" s="3751"/>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1"/>
      <c r="Q35" s="707">
        <f t="shared" si="11"/>
        <v>111</v>
      </c>
      <c r="R35" s="708" t="s">
        <v>14</v>
      </c>
      <c r="S35" s="709">
        <f t="shared" si="12"/>
        <v>100</v>
      </c>
      <c r="T35" s="708" t="s">
        <v>14</v>
      </c>
      <c r="U35" s="709">
        <f t="shared" si="13"/>
        <v>100</v>
      </c>
      <c r="V35" s="708" t="s">
        <v>14</v>
      </c>
      <c r="W35" s="709">
        <f t="shared" si="14"/>
        <v>100</v>
      </c>
      <c r="X35" s="710"/>
      <c r="Y35" s="3751"/>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1"/>
      <c r="Q36" s="1349">
        <f t="shared" si="11"/>
        <v>111</v>
      </c>
      <c r="R36" s="705" t="s">
        <v>14</v>
      </c>
      <c r="S36" s="706">
        <f t="shared" si="12"/>
        <v>100</v>
      </c>
      <c r="T36" s="705" t="s">
        <v>14</v>
      </c>
      <c r="U36" s="706">
        <f t="shared" si="13"/>
        <v>100</v>
      </c>
      <c r="V36" s="705" t="s">
        <v>14</v>
      </c>
      <c r="W36" s="706">
        <f t="shared" si="14"/>
        <v>100</v>
      </c>
      <c r="X36" s="1352"/>
      <c r="Y36" s="3751"/>
      <c r="Z36" s="1353">
        <f t="shared" si="15"/>
        <v>111</v>
      </c>
      <c r="AA36" s="1350">
        <f t="shared" si="3"/>
        <v>1</v>
      </c>
      <c r="AB36" s="1350">
        <f t="shared" si="4"/>
        <v>1</v>
      </c>
      <c r="AC36" s="1350">
        <f t="shared" si="5"/>
        <v>1</v>
      </c>
    </row>
    <row r="37" spans="1:29" ht="15">
      <c r="A37" s="430" t="s">
        <v>1843</v>
      </c>
      <c r="B37" s="1970" t="s">
        <v>3353</v>
      </c>
      <c r="C37" s="1151" t="s">
        <v>0</v>
      </c>
      <c r="D37" s="1152"/>
      <c r="E37" s="1153"/>
      <c r="F37" s="1154"/>
      <c r="G37" s="1155"/>
      <c r="H37" s="1156"/>
      <c r="I37" s="1153"/>
      <c r="J37" s="1156"/>
      <c r="K37" s="568"/>
      <c r="L37" s="2719"/>
      <c r="M37" s="2720"/>
      <c r="N37" s="2711"/>
      <c r="O37" s="2720"/>
      <c r="P37" s="3744" t="str">
        <f>A37</f>
        <v>成交单价</v>
      </c>
      <c r="Q37" s="3744"/>
      <c r="R37" s="3745">
        <f>E37</f>
        <v>0</v>
      </c>
      <c r="S37" s="3745"/>
      <c r="T37" s="3745">
        <f>G37</f>
        <v>0</v>
      </c>
      <c r="U37" s="3745"/>
      <c r="V37" s="3745">
        <f>I37</f>
        <v>0</v>
      </c>
      <c r="W37" s="3745"/>
      <c r="X37" s="690"/>
      <c r="Y37" s="712"/>
      <c r="Z37" s="690"/>
      <c r="AA37" s="690"/>
      <c r="AB37" s="690"/>
      <c r="AC37" s="690"/>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19"/>
      <c r="M38" s="2720"/>
      <c r="N38" s="2720"/>
      <c r="O38" s="2720"/>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90"/>
      <c r="Y38" s="690"/>
      <c r="Z38" s="690"/>
      <c r="AA38" s="690"/>
      <c r="AB38" s="690"/>
      <c r="AC38" s="690"/>
    </row>
    <row r="39" spans="1:29" ht="15.75" thickBot="1">
      <c r="A39" s="441" t="s">
        <v>1845</v>
      </c>
      <c r="B39" s="442"/>
      <c r="C39" s="1160" t="e">
        <f>R39</f>
        <v>#DIV/0!</v>
      </c>
      <c r="D39" s="1160"/>
      <c r="E39" s="1160"/>
      <c r="F39" s="1160"/>
      <c r="G39" s="1160"/>
      <c r="H39" s="1160"/>
      <c r="I39" s="1160"/>
      <c r="J39" s="1160"/>
      <c r="K39" s="569"/>
      <c r="L39" s="2719"/>
      <c r="M39" s="2720"/>
      <c r="N39" s="2720"/>
      <c r="O39" s="2720"/>
      <c r="P39" s="3741" t="str">
        <f>A39</f>
        <v>估价对象XX用房的比较价值（楼面单价，元/平方米）</v>
      </c>
      <c r="Q39" s="3742"/>
      <c r="R39" s="3771" t="e">
        <f>IF(F1="售价",ROUND(IF(D38="简单平均",AVERAGE(R38:W38),R38*F38+T38*H38+V38*J38),0),ROUND(IF(D38="简单平均",AVERAGE(R38:V38),R38*F38+T38*H38+V38*J38),1))</f>
        <v>#DIV/0!</v>
      </c>
      <c r="S39" s="3771"/>
      <c r="T39" s="3771"/>
      <c r="U39" s="3771"/>
      <c r="V39" s="3771"/>
      <c r="W39" s="3771"/>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1849</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1850</v>
      </c>
      <c r="B48" s="455"/>
      <c r="C48" s="1181" t="str">
        <f>YEAR(C7)&amp;"-"&amp;MONTH(C7)</f>
        <v>2023-7</v>
      </c>
      <c r="D48" s="1182">
        <f>EDATE(C48,-1)</f>
        <v>45078</v>
      </c>
      <c r="E48" s="1182">
        <f t="shared" ref="E48:O48" si="16">EDATE(D48,-1)</f>
        <v>45047</v>
      </c>
      <c r="F48" s="1182">
        <f t="shared" si="16"/>
        <v>45017</v>
      </c>
      <c r="G48" s="1182">
        <f t="shared" si="16"/>
        <v>44986</v>
      </c>
      <c r="H48" s="1182">
        <f t="shared" si="16"/>
        <v>44958</v>
      </c>
      <c r="I48" s="1182">
        <f t="shared" si="16"/>
        <v>44927</v>
      </c>
      <c r="J48" s="1182">
        <f t="shared" si="16"/>
        <v>44896</v>
      </c>
      <c r="K48" s="1182">
        <f t="shared" si="16"/>
        <v>44866</v>
      </c>
      <c r="L48" s="1182">
        <f t="shared" si="16"/>
        <v>44835</v>
      </c>
      <c r="M48" s="1182">
        <f t="shared" si="16"/>
        <v>44805</v>
      </c>
      <c r="N48" s="1182">
        <f t="shared" si="16"/>
        <v>44774</v>
      </c>
      <c r="O48" s="1182">
        <f t="shared" si="16"/>
        <v>44743</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1812</v>
      </c>
      <c r="C67" s="608" t="s">
        <v>1798</v>
      </c>
      <c r="D67" s="608" t="s">
        <v>1799</v>
      </c>
      <c r="E67" s="608" t="s">
        <v>1800</v>
      </c>
      <c r="F67" s="608" t="s">
        <v>1801</v>
      </c>
      <c r="G67" s="608" t="s">
        <v>1802</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3333</v>
      </c>
      <c r="C1" s="1221" t="s">
        <v>1661</v>
      </c>
      <c r="D1" s="1222"/>
      <c r="E1" s="3428"/>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1462</v>
      </c>
      <c r="F2" s="1880"/>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12" t="s">
        <v>1679</v>
      </c>
      <c r="Q7" s="3740"/>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4" t="s">
        <v>1685</v>
      </c>
      <c r="Q9" s="1340" t="str">
        <f t="shared" ref="Q9:Q14" si="6">B9</f>
        <v>用途</v>
      </c>
      <c r="R9" s="701" t="s">
        <v>14</v>
      </c>
      <c r="S9" s="702">
        <f t="shared" si="0"/>
        <v>100</v>
      </c>
      <c r="T9" s="701" t="s">
        <v>14</v>
      </c>
      <c r="U9" s="702">
        <f t="shared" si="1"/>
        <v>100</v>
      </c>
      <c r="V9" s="701" t="s">
        <v>14</v>
      </c>
      <c r="W9" s="702">
        <f t="shared" si="2"/>
        <v>100</v>
      </c>
      <c r="X9" s="703"/>
      <c r="Y9" s="3637"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44"/>
      <c r="Q10" s="1340"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4"/>
      <c r="Q11" s="1340">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91" t="s">
        <v>1689</v>
      </c>
      <c r="B14" s="61" t="s">
        <v>1832</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46" t="s">
        <v>1690</v>
      </c>
      <c r="Q14" s="1349" t="str">
        <f t="shared" si="6"/>
        <v>交通便捷度</v>
      </c>
      <c r="R14" s="705" t="s">
        <v>14</v>
      </c>
      <c r="S14" s="706">
        <f t="shared" si="0"/>
        <v>100</v>
      </c>
      <c r="T14" s="705" t="s">
        <v>14</v>
      </c>
      <c r="U14" s="706">
        <f t="shared" si="1"/>
        <v>100</v>
      </c>
      <c r="V14" s="705" t="s">
        <v>14</v>
      </c>
      <c r="W14" s="706">
        <f t="shared" si="2"/>
        <v>100</v>
      </c>
      <c r="X14" s="1352"/>
      <c r="Y14" s="3746"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47"/>
      <c r="Q15" s="1349"/>
      <c r="R15" s="705"/>
      <c r="S15" s="706"/>
      <c r="T15" s="705"/>
      <c r="U15" s="706"/>
      <c r="V15" s="705"/>
      <c r="W15" s="706"/>
      <c r="X15" s="1352"/>
      <c r="Y15" s="3747"/>
      <c r="Z15" s="1353"/>
      <c r="AA15" s="1350">
        <v>1</v>
      </c>
      <c r="AB15" s="1350">
        <v>1</v>
      </c>
      <c r="AC15" s="1350">
        <v>1</v>
      </c>
    </row>
    <row r="16" spans="1:29" ht="15">
      <c r="A16" s="379"/>
      <c r="B16" s="402" t="s">
        <v>1811</v>
      </c>
      <c r="C16" s="1897"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47"/>
      <c r="Q16" s="1349" t="str">
        <f>B16</f>
        <v>公共配套设施</v>
      </c>
      <c r="R16" s="705" t="s">
        <v>14</v>
      </c>
      <c r="S16" s="706">
        <f>F16</f>
        <v>100</v>
      </c>
      <c r="T16" s="705" t="s">
        <v>14</v>
      </c>
      <c r="U16" s="706">
        <f>H16</f>
        <v>100</v>
      </c>
      <c r="V16" s="705" t="s">
        <v>14</v>
      </c>
      <c r="W16" s="706">
        <f>J16</f>
        <v>100</v>
      </c>
      <c r="X16" s="1352"/>
      <c r="Y16" s="3747"/>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47"/>
      <c r="Q17" s="1349"/>
      <c r="R17" s="705"/>
      <c r="S17" s="706"/>
      <c r="T17" s="705"/>
      <c r="U17" s="706"/>
      <c r="V17" s="705"/>
      <c r="W17" s="706"/>
      <c r="X17" s="1352"/>
      <c r="Y17" s="3747"/>
      <c r="Z17" s="1353"/>
      <c r="AA17" s="1350">
        <v>1</v>
      </c>
      <c r="AB17" s="1350">
        <v>1</v>
      </c>
      <c r="AC17" s="1350">
        <v>1</v>
      </c>
    </row>
    <row r="18" spans="1:29" ht="15">
      <c r="A18" s="379"/>
      <c r="B18" s="1128" t="s">
        <v>1812</v>
      </c>
      <c r="C18" s="1897"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47"/>
      <c r="Q18" s="1349" t="str">
        <f>B18</f>
        <v>基础设施水平</v>
      </c>
      <c r="R18" s="705" t="s">
        <v>14</v>
      </c>
      <c r="S18" s="706">
        <f>F18</f>
        <v>100</v>
      </c>
      <c r="T18" s="705" t="s">
        <v>14</v>
      </c>
      <c r="U18" s="706">
        <f>H18</f>
        <v>100</v>
      </c>
      <c r="V18" s="705" t="s">
        <v>14</v>
      </c>
      <c r="W18" s="706">
        <f>J18</f>
        <v>100</v>
      </c>
      <c r="X18" s="1352"/>
      <c r="Y18" s="3747"/>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47"/>
      <c r="Q19" s="1349"/>
      <c r="R19" s="705"/>
      <c r="S19" s="706"/>
      <c r="T19" s="705"/>
      <c r="U19" s="706"/>
      <c r="V19" s="705"/>
      <c r="W19" s="706"/>
      <c r="X19" s="1352"/>
      <c r="Y19" s="3747"/>
      <c r="Z19" s="1353"/>
      <c r="AA19" s="1350">
        <v>1</v>
      </c>
      <c r="AB19" s="1350">
        <v>1</v>
      </c>
      <c r="AC19" s="1350">
        <v>1</v>
      </c>
    </row>
    <row r="20" spans="1:29" ht="15">
      <c r="A20" s="379"/>
      <c r="B20" s="402" t="s">
        <v>1833</v>
      </c>
      <c r="C20" s="1897"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47"/>
      <c r="Q20" s="1349" t="str">
        <f>B20</f>
        <v>自然及人文环境</v>
      </c>
      <c r="R20" s="705" t="s">
        <v>14</v>
      </c>
      <c r="S20" s="706">
        <f>F20</f>
        <v>100</v>
      </c>
      <c r="T20" s="705" t="s">
        <v>14</v>
      </c>
      <c r="U20" s="706">
        <f>H20</f>
        <v>100</v>
      </c>
      <c r="V20" s="705" t="s">
        <v>14</v>
      </c>
      <c r="W20" s="706">
        <f>J20</f>
        <v>100</v>
      </c>
      <c r="X20" s="1352"/>
      <c r="Y20" s="3747"/>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47"/>
      <c r="Q21" s="1349"/>
      <c r="R21" s="705"/>
      <c r="S21" s="706"/>
      <c r="T21" s="705"/>
      <c r="U21" s="706"/>
      <c r="V21" s="705"/>
      <c r="W21" s="706"/>
      <c r="X21" s="1352"/>
      <c r="Y21" s="3747"/>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47"/>
      <c r="Q22" s="1349" t="str">
        <f>B22</f>
        <v>楼层</v>
      </c>
      <c r="R22" s="705" t="s">
        <v>14</v>
      </c>
      <c r="S22" s="706">
        <f>F22</f>
        <v>100</v>
      </c>
      <c r="T22" s="705" t="s">
        <v>14</v>
      </c>
      <c r="U22" s="706">
        <f>H22</f>
        <v>100</v>
      </c>
      <c r="V22" s="705" t="s">
        <v>14</v>
      </c>
      <c r="W22" s="706">
        <f>J22</f>
        <v>100</v>
      </c>
      <c r="X22" s="1352"/>
      <c r="Y22" s="3747"/>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47"/>
      <c r="Q23" s="1349">
        <f>B23</f>
        <v>111</v>
      </c>
      <c r="R23" s="705" t="s">
        <v>14</v>
      </c>
      <c r="S23" s="706">
        <f>F23</f>
        <v>100</v>
      </c>
      <c r="T23" s="705" t="s">
        <v>14</v>
      </c>
      <c r="U23" s="706">
        <f>H23</f>
        <v>100</v>
      </c>
      <c r="V23" s="705" t="s">
        <v>14</v>
      </c>
      <c r="W23" s="706">
        <f>J23</f>
        <v>100</v>
      </c>
      <c r="X23" s="1352"/>
      <c r="Y23" s="3747"/>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47"/>
      <c r="Q24" s="1349">
        <f t="shared" ref="Q24:Q34" si="11">B24</f>
        <v>111</v>
      </c>
      <c r="R24" s="705" t="s">
        <v>14</v>
      </c>
      <c r="S24" s="706">
        <f>F24</f>
        <v>100</v>
      </c>
      <c r="T24" s="705" t="s">
        <v>14</v>
      </c>
      <c r="U24" s="706">
        <f>H24</f>
        <v>100</v>
      </c>
      <c r="V24" s="705" t="s">
        <v>14</v>
      </c>
      <c r="W24" s="706">
        <f>J24</f>
        <v>100</v>
      </c>
      <c r="X24" s="1352"/>
      <c r="Y24" s="3747"/>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2"/>
      <c r="M25" s="2713"/>
      <c r="N25" s="2713"/>
      <c r="O25" s="2767"/>
      <c r="P25" s="3747"/>
      <c r="Q25" s="1340">
        <f t="shared" si="11"/>
        <v>111</v>
      </c>
      <c r="R25" s="701" t="s">
        <v>14</v>
      </c>
      <c r="S25" s="702">
        <f>F25</f>
        <v>100</v>
      </c>
      <c r="T25" s="701" t="s">
        <v>14</v>
      </c>
      <c r="U25" s="702">
        <f>H25</f>
        <v>100</v>
      </c>
      <c r="V25" s="701" t="s">
        <v>14</v>
      </c>
      <c r="W25" s="702">
        <f>J25</f>
        <v>100</v>
      </c>
      <c r="X25" s="703"/>
      <c r="Y25" s="3747"/>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7"/>
      <c r="M26" s="2711"/>
      <c r="N26" s="2711"/>
      <c r="O26" s="2769"/>
      <c r="P26" s="3770" t="s">
        <v>1695</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51"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1"/>
      <c r="Q27" s="707" t="str">
        <f t="shared" si="11"/>
        <v>成新率</v>
      </c>
      <c r="R27" s="708" t="s">
        <v>14</v>
      </c>
      <c r="S27" s="709" t="e">
        <f t="shared" si="12"/>
        <v>#N/A</v>
      </c>
      <c r="T27" s="708" t="s">
        <v>14</v>
      </c>
      <c r="U27" s="709" t="e">
        <f t="shared" si="13"/>
        <v>#N/A</v>
      </c>
      <c r="V27" s="708" t="s">
        <v>14</v>
      </c>
      <c r="W27" s="709" t="e">
        <f t="shared" si="14"/>
        <v>#N/A</v>
      </c>
      <c r="X27" s="710"/>
      <c r="Y27" s="3751"/>
      <c r="Z27" s="711"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1"/>
      <c r="Q28" s="1349" t="str">
        <f t="shared" si="11"/>
        <v>物业等级</v>
      </c>
      <c r="R28" s="705" t="s">
        <v>14</v>
      </c>
      <c r="S28" s="706">
        <f t="shared" si="12"/>
        <v>100</v>
      </c>
      <c r="T28" s="705" t="s">
        <v>14</v>
      </c>
      <c r="U28" s="706">
        <f t="shared" si="13"/>
        <v>100</v>
      </c>
      <c r="V28" s="705" t="s">
        <v>14</v>
      </c>
      <c r="W28" s="706">
        <f t="shared" si="14"/>
        <v>100</v>
      </c>
      <c r="X28" s="1352"/>
      <c r="Y28" s="3751"/>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1"/>
      <c r="Q29" s="1349" t="str">
        <f t="shared" si="11"/>
        <v>有无电梯</v>
      </c>
      <c r="R29" s="705" t="s">
        <v>14</v>
      </c>
      <c r="S29" s="706">
        <f t="shared" si="12"/>
        <v>100</v>
      </c>
      <c r="T29" s="705" t="s">
        <v>14</v>
      </c>
      <c r="U29" s="706">
        <f t="shared" si="13"/>
        <v>100</v>
      </c>
      <c r="V29" s="705" t="s">
        <v>14</v>
      </c>
      <c r="W29" s="706">
        <f t="shared" si="14"/>
        <v>100</v>
      </c>
      <c r="X29" s="1352"/>
      <c r="Y29" s="3751"/>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1"/>
      <c r="Q30" s="1349" t="str">
        <f t="shared" si="11"/>
        <v>建筑面积</v>
      </c>
      <c r="R30" s="705" t="s">
        <v>14</v>
      </c>
      <c r="S30" s="706" t="e">
        <f t="shared" si="12"/>
        <v>#N/A</v>
      </c>
      <c r="T30" s="705" t="s">
        <v>14</v>
      </c>
      <c r="U30" s="706" t="e">
        <f t="shared" si="13"/>
        <v>#N/A</v>
      </c>
      <c r="V30" s="705" t="s">
        <v>14</v>
      </c>
      <c r="W30" s="706" t="e">
        <f t="shared" si="14"/>
        <v>#N/A</v>
      </c>
      <c r="X30" s="1352"/>
      <c r="Y30" s="3751"/>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1"/>
      <c r="Q31" s="1340" t="str">
        <f t="shared" si="11"/>
        <v>是否封闭</v>
      </c>
      <c r="R31" s="701" t="s">
        <v>14</v>
      </c>
      <c r="S31" s="702">
        <f t="shared" si="12"/>
        <v>100</v>
      </c>
      <c r="T31" s="701" t="s">
        <v>14</v>
      </c>
      <c r="U31" s="702">
        <f t="shared" si="13"/>
        <v>100</v>
      </c>
      <c r="V31" s="701" t="s">
        <v>14</v>
      </c>
      <c r="W31" s="702">
        <f t="shared" si="14"/>
        <v>100</v>
      </c>
      <c r="X31" s="703"/>
      <c r="Y31" s="3751"/>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1" t="s">
        <v>1695</v>
      </c>
      <c r="Q32" s="1349">
        <f t="shared" si="11"/>
        <v>111</v>
      </c>
      <c r="R32" s="705" t="s">
        <v>14</v>
      </c>
      <c r="S32" s="706">
        <f t="shared" si="12"/>
        <v>100</v>
      </c>
      <c r="T32" s="705" t="s">
        <v>14</v>
      </c>
      <c r="U32" s="706">
        <f t="shared" si="13"/>
        <v>100</v>
      </c>
      <c r="V32" s="705" t="s">
        <v>14</v>
      </c>
      <c r="W32" s="706">
        <f t="shared" si="14"/>
        <v>100</v>
      </c>
      <c r="X32" s="1352"/>
      <c r="Y32" s="3751"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1"/>
      <c r="Q33" s="1349">
        <f t="shared" si="11"/>
        <v>111</v>
      </c>
      <c r="R33" s="705" t="s">
        <v>14</v>
      </c>
      <c r="S33" s="706">
        <f t="shared" si="12"/>
        <v>100</v>
      </c>
      <c r="T33" s="705" t="s">
        <v>14</v>
      </c>
      <c r="U33" s="706">
        <f t="shared" si="13"/>
        <v>100</v>
      </c>
      <c r="V33" s="705" t="s">
        <v>14</v>
      </c>
      <c r="W33" s="706">
        <f t="shared" si="14"/>
        <v>100</v>
      </c>
      <c r="X33" s="1352"/>
      <c r="Y33" s="3751"/>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51"/>
      <c r="Q34" s="1349">
        <f t="shared" si="11"/>
        <v>111</v>
      </c>
      <c r="R34" s="705" t="s">
        <v>14</v>
      </c>
      <c r="S34" s="706">
        <f t="shared" si="12"/>
        <v>100</v>
      </c>
      <c r="T34" s="705" t="s">
        <v>14</v>
      </c>
      <c r="U34" s="706">
        <f t="shared" si="13"/>
        <v>100</v>
      </c>
      <c r="V34" s="705" t="s">
        <v>14</v>
      </c>
      <c r="W34" s="706">
        <f t="shared" si="14"/>
        <v>100</v>
      </c>
      <c r="X34" s="1352"/>
      <c r="Y34" s="3751"/>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4"/>
      <c r="L35" s="2719"/>
      <c r="M35" s="2720"/>
      <c r="N35" s="2711"/>
      <c r="O35" s="2720"/>
      <c r="P35" s="3744" t="str">
        <f>A35</f>
        <v>成交单价（元/平方米）</v>
      </c>
      <c r="Q35" s="3744"/>
      <c r="R35" s="3745">
        <f>E35</f>
        <v>0</v>
      </c>
      <c r="S35" s="3745"/>
      <c r="T35" s="3745">
        <f>G35</f>
        <v>0</v>
      </c>
      <c r="U35" s="3745"/>
      <c r="V35" s="3745">
        <f>I35</f>
        <v>0</v>
      </c>
      <c r="W35" s="3745"/>
      <c r="X35" s="690"/>
      <c r="Y35" s="712"/>
      <c r="Z35" s="690"/>
      <c r="AA35" s="690"/>
      <c r="AB35" s="690"/>
      <c r="AC35" s="690"/>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19"/>
      <c r="M36" s="2720"/>
      <c r="N36" s="2711"/>
      <c r="O36" s="2720"/>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90"/>
      <c r="Y36" s="690"/>
      <c r="Z36" s="690"/>
      <c r="AA36" s="690"/>
      <c r="AB36" s="690"/>
      <c r="AC36" s="690"/>
    </row>
    <row r="37" spans="1:30" ht="15.75" thickBot="1">
      <c r="A37" s="441" t="s">
        <v>1793</v>
      </c>
      <c r="B37" s="442"/>
      <c r="C37" s="1160" t="e">
        <f>R37</f>
        <v>#DIV/0!</v>
      </c>
      <c r="D37" s="1160"/>
      <c r="E37" s="1160"/>
      <c r="F37" s="1160"/>
      <c r="G37" s="1160"/>
      <c r="H37" s="1160"/>
      <c r="I37" s="1160"/>
      <c r="J37" s="1160"/>
      <c r="K37" s="715"/>
      <c r="L37" s="2719"/>
      <c r="M37" s="2720"/>
      <c r="N37" s="2720"/>
      <c r="O37" s="2720"/>
      <c r="P37" s="3741" t="str">
        <f>A37</f>
        <v>估价对象XX用房的比较价值（楼面单价，元/平方米）</v>
      </c>
      <c r="Q37" s="3742"/>
      <c r="R37" s="3771" t="e">
        <f>IF(F1="售价",ROUND(IF(D36="简单平均",AVERAGE(R36:W36),R36*F36+T36*H36+V36*J36),0),ROUND(IF(D36="简单平均",AVERAGE(R36:V36),R36*F36+T36*H36+V36*J36),1))</f>
        <v>#DIV/0!</v>
      </c>
      <c r="S37" s="3771"/>
      <c r="T37" s="3771"/>
      <c r="U37" s="3771"/>
      <c r="V37" s="3771"/>
      <c r="W37" s="3771"/>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1678</v>
      </c>
      <c r="B46" s="455"/>
      <c r="C46" s="1181" t="str">
        <f>YEAR(C7)&amp;"-"&amp;MONTH(C7)</f>
        <v>2023-7</v>
      </c>
      <c r="D46" s="1182">
        <f>EDATE(C46,-1)</f>
        <v>45078</v>
      </c>
      <c r="E46" s="1182">
        <f t="shared" ref="E46:O46" si="16">EDATE(D46,-1)</f>
        <v>45047</v>
      </c>
      <c r="F46" s="1182">
        <f t="shared" si="16"/>
        <v>45017</v>
      </c>
      <c r="G46" s="1182">
        <f t="shared" si="16"/>
        <v>44986</v>
      </c>
      <c r="H46" s="1182">
        <f t="shared" si="16"/>
        <v>44958</v>
      </c>
      <c r="I46" s="1182">
        <f t="shared" si="16"/>
        <v>44927</v>
      </c>
      <c r="J46" s="1182">
        <f t="shared" si="16"/>
        <v>44896</v>
      </c>
      <c r="K46" s="1182">
        <f t="shared" si="16"/>
        <v>44866</v>
      </c>
      <c r="L46" s="1182">
        <f t="shared" si="16"/>
        <v>44835</v>
      </c>
      <c r="M46" s="1182">
        <f t="shared" si="16"/>
        <v>44805</v>
      </c>
      <c r="N46" s="1182">
        <f t="shared" si="16"/>
        <v>44774</v>
      </c>
      <c r="O46" s="1182">
        <f t="shared" si="16"/>
        <v>44743</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1812</v>
      </c>
      <c r="C65" s="608" t="s">
        <v>1798</v>
      </c>
      <c r="D65" s="608" t="s">
        <v>1799</v>
      </c>
      <c r="E65" s="608" t="s">
        <v>1800</v>
      </c>
      <c r="F65" s="608" t="s">
        <v>1801</v>
      </c>
      <c r="G65" s="608" t="s">
        <v>1802</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4"/>
      <c r="D2" s="904"/>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30"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30"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30" ht="15.75" thickBot="1">
      <c r="A6" s="360"/>
      <c r="B6" s="361"/>
      <c r="C6" s="3722" t="s">
        <v>1676</v>
      </c>
      <c r="D6" s="3723"/>
      <c r="E6" s="3724" t="s">
        <v>1676</v>
      </c>
      <c r="F6" s="3725"/>
      <c r="G6" s="3722" t="s">
        <v>1676</v>
      </c>
      <c r="H6" s="3723"/>
      <c r="I6" s="3722" t="s">
        <v>1676</v>
      </c>
      <c r="J6" s="3723"/>
      <c r="K6" s="559" t="s">
        <v>1677</v>
      </c>
      <c r="L6" s="2710"/>
      <c r="M6" s="2711"/>
      <c r="N6" s="2711"/>
      <c r="O6" s="2711"/>
      <c r="P6" s="3735"/>
      <c r="Q6" s="3736"/>
      <c r="R6" s="3716"/>
      <c r="S6" s="3717"/>
      <c r="T6" s="3737"/>
      <c r="U6" s="3738"/>
      <c r="V6" s="3739"/>
      <c r="W6" s="3739"/>
      <c r="X6" s="1352"/>
      <c r="Y6" s="3737"/>
      <c r="Z6" s="3738"/>
      <c r="AA6" s="3711"/>
      <c r="AB6" s="3711"/>
      <c r="AC6" s="3711"/>
    </row>
    <row r="7" spans="1:30" s="108" customFormat="1" ht="15.75" thickBot="1">
      <c r="A7" s="362" t="s">
        <v>1678</v>
      </c>
      <c r="B7" s="363"/>
      <c r="C7" s="364">
        <f>'数据-取费表'!B2</f>
        <v>45118</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5" si="3">D8/F8</f>
        <v>#DIV/0!</v>
      </c>
      <c r="AB8" s="704" t="e">
        <f t="shared" ref="AB8:AB45" si="4">D8/H8</f>
        <v>#DIV/0!</v>
      </c>
      <c r="AC8" s="704"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4"/>
      <c r="M10" s="2715"/>
      <c r="N10" s="2715"/>
      <c r="O10" s="2768"/>
      <c r="P10" s="3744"/>
      <c r="Q10" s="1340"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4"/>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4"/>
      <c r="Q12" s="1340"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15">
      <c r="A15" s="391" t="s">
        <v>1689</v>
      </c>
      <c r="B15" s="61" t="s">
        <v>1256</v>
      </c>
      <c r="C15" s="1893"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46" t="s">
        <v>1690</v>
      </c>
      <c r="Q15" s="1349" t="str">
        <f t="shared" si="6"/>
        <v>居住社区成熟度</v>
      </c>
      <c r="R15" s="705" t="s">
        <v>14</v>
      </c>
      <c r="S15" s="706">
        <f t="shared" si="0"/>
        <v>100</v>
      </c>
      <c r="T15" s="705" t="s">
        <v>14</v>
      </c>
      <c r="U15" s="706">
        <f t="shared" si="1"/>
        <v>100</v>
      </c>
      <c r="V15" s="705" t="s">
        <v>14</v>
      </c>
      <c r="W15" s="706">
        <f t="shared" si="2"/>
        <v>100</v>
      </c>
      <c r="X15" s="1352"/>
      <c r="Y15" s="3746"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7"/>
      <c r="M16" s="2711"/>
      <c r="N16" s="2711"/>
      <c r="O16" s="2769"/>
      <c r="P16" s="3747"/>
      <c r="Q16" s="1349"/>
      <c r="R16" s="705"/>
      <c r="S16" s="706"/>
      <c r="T16" s="705"/>
      <c r="U16" s="706"/>
      <c r="V16" s="705"/>
      <c r="W16" s="706"/>
      <c r="X16" s="1352"/>
      <c r="Y16" s="3747"/>
      <c r="Z16" s="1353"/>
      <c r="AA16" s="1350">
        <v>1</v>
      </c>
      <c r="AB16" s="1350">
        <v>1</v>
      </c>
      <c r="AC16" s="1350">
        <v>1</v>
      </c>
    </row>
    <row r="17" spans="1:29" ht="15">
      <c r="A17" s="379"/>
      <c r="B17" s="402" t="s">
        <v>1776</v>
      </c>
      <c r="C17" s="1952"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47"/>
      <c r="Q17" s="1349" t="str">
        <f>B17</f>
        <v>商业繁华度</v>
      </c>
      <c r="R17" s="705" t="s">
        <v>14</v>
      </c>
      <c r="S17" s="706">
        <f>F17</f>
        <v>100</v>
      </c>
      <c r="T17" s="705" t="s">
        <v>14</v>
      </c>
      <c r="U17" s="706">
        <f>H17</f>
        <v>100</v>
      </c>
      <c r="V17" s="705" t="s">
        <v>14</v>
      </c>
      <c r="W17" s="706">
        <f>J17</f>
        <v>100</v>
      </c>
      <c r="X17" s="1352"/>
      <c r="Y17" s="3747"/>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7"/>
      <c r="M18" s="2711"/>
      <c r="N18" s="2711"/>
      <c r="O18" s="2769"/>
      <c r="P18" s="3747"/>
      <c r="Q18" s="1349"/>
      <c r="R18" s="705"/>
      <c r="S18" s="706"/>
      <c r="T18" s="705"/>
      <c r="U18" s="706"/>
      <c r="V18" s="705"/>
      <c r="W18" s="706"/>
      <c r="X18" s="1352"/>
      <c r="Y18" s="3747"/>
      <c r="Z18" s="1353"/>
      <c r="AA18" s="1350">
        <v>1</v>
      </c>
      <c r="AB18" s="1350">
        <v>1</v>
      </c>
      <c r="AC18" s="1350">
        <v>1</v>
      </c>
    </row>
    <row r="19" spans="1:29" ht="15">
      <c r="A19" s="379"/>
      <c r="B19" s="402" t="s">
        <v>1810</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47"/>
      <c r="Q19" s="1349" t="str">
        <f>B19</f>
        <v>办公集聚程度</v>
      </c>
      <c r="R19" s="705" t="s">
        <v>14</v>
      </c>
      <c r="S19" s="706">
        <f>F19</f>
        <v>100</v>
      </c>
      <c r="T19" s="705" t="s">
        <v>14</v>
      </c>
      <c r="U19" s="706">
        <f>H19</f>
        <v>100</v>
      </c>
      <c r="V19" s="705" t="s">
        <v>14</v>
      </c>
      <c r="W19" s="706">
        <f>J19</f>
        <v>100</v>
      </c>
      <c r="X19" s="1352"/>
      <c r="Y19" s="3747"/>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7"/>
      <c r="M20" s="2711"/>
      <c r="N20" s="2711"/>
      <c r="O20" s="2769"/>
      <c r="P20" s="3747"/>
      <c r="Q20" s="1349"/>
      <c r="R20" s="705"/>
      <c r="S20" s="706"/>
      <c r="T20" s="705"/>
      <c r="U20" s="706"/>
      <c r="V20" s="705"/>
      <c r="W20" s="706"/>
      <c r="X20" s="1352"/>
      <c r="Y20" s="3747"/>
      <c r="Z20" s="1353"/>
      <c r="AA20" s="1350">
        <v>1</v>
      </c>
      <c r="AB20" s="1350">
        <v>1</v>
      </c>
      <c r="AC20" s="1350">
        <v>1</v>
      </c>
    </row>
    <row r="21" spans="1:29" ht="15">
      <c r="A21" s="379"/>
      <c r="B21" s="402" t="s">
        <v>1832</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47"/>
      <c r="Q21" s="1349" t="str">
        <f>B21</f>
        <v>交通便捷度</v>
      </c>
      <c r="R21" s="705" t="s">
        <v>14</v>
      </c>
      <c r="S21" s="706">
        <f>F21</f>
        <v>100</v>
      </c>
      <c r="T21" s="705" t="s">
        <v>14</v>
      </c>
      <c r="U21" s="706">
        <f>H21</f>
        <v>100</v>
      </c>
      <c r="V21" s="705" t="s">
        <v>14</v>
      </c>
      <c r="W21" s="706">
        <f>J21</f>
        <v>100</v>
      </c>
      <c r="X21" s="1352"/>
      <c r="Y21" s="3747"/>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7"/>
      <c r="M22" s="2711"/>
      <c r="N22" s="2711"/>
      <c r="O22" s="2769"/>
      <c r="P22" s="3747"/>
      <c r="Q22" s="1349"/>
      <c r="R22" s="705"/>
      <c r="S22" s="706"/>
      <c r="T22" s="705"/>
      <c r="U22" s="706"/>
      <c r="V22" s="705"/>
      <c r="W22" s="706"/>
      <c r="X22" s="1352"/>
      <c r="Y22" s="3747"/>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47"/>
      <c r="Q23" s="1349" t="str">
        <f t="shared" ref="Q23:Q37" si="8">B23</f>
        <v>区域土地利用方向</v>
      </c>
      <c r="R23" s="705" t="s">
        <v>14</v>
      </c>
      <c r="S23" s="706">
        <f>F23</f>
        <v>100</v>
      </c>
      <c r="T23" s="705" t="s">
        <v>14</v>
      </c>
      <c r="U23" s="706">
        <f>H23</f>
        <v>100</v>
      </c>
      <c r="V23" s="705" t="s">
        <v>14</v>
      </c>
      <c r="W23" s="706">
        <f>J23</f>
        <v>100</v>
      </c>
      <c r="X23" s="1352"/>
      <c r="Y23" s="3747"/>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47"/>
      <c r="Q24" s="1349"/>
      <c r="R24" s="705"/>
      <c r="S24" s="706"/>
      <c r="T24" s="705"/>
      <c r="U24" s="706"/>
      <c r="V24" s="705"/>
      <c r="W24" s="706"/>
      <c r="X24" s="1352"/>
      <c r="Y24" s="3747"/>
      <c r="Z24" s="1353"/>
      <c r="AA24" s="1350"/>
      <c r="AB24" s="1350"/>
      <c r="AC24" s="1350"/>
    </row>
    <row r="25" spans="1:29" ht="27">
      <c r="A25" s="358"/>
      <c r="B25" s="1128"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47"/>
      <c r="Q25" s="1349" t="str">
        <f t="shared" si="8"/>
        <v>自然及人文环境状况</v>
      </c>
      <c r="R25" s="705" t="s">
        <v>14</v>
      </c>
      <c r="S25" s="706">
        <f>F25</f>
        <v>100</v>
      </c>
      <c r="T25" s="705" t="s">
        <v>14</v>
      </c>
      <c r="U25" s="706">
        <f>H25</f>
        <v>100</v>
      </c>
      <c r="V25" s="705" t="s">
        <v>14</v>
      </c>
      <c r="W25" s="706">
        <f>J25</f>
        <v>100</v>
      </c>
      <c r="X25" s="1352"/>
      <c r="Y25" s="3747"/>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7"/>
      <c r="M26" s="2711"/>
      <c r="N26" s="2711"/>
      <c r="O26" s="2769"/>
      <c r="P26" s="3747"/>
      <c r="Q26" s="1349"/>
      <c r="R26" s="705"/>
      <c r="S26" s="706"/>
      <c r="T26" s="705"/>
      <c r="U26" s="706"/>
      <c r="V26" s="705"/>
      <c r="W26" s="706"/>
      <c r="X26" s="1352"/>
      <c r="Y26" s="3747"/>
      <c r="Z26" s="1353"/>
      <c r="AA26" s="1350">
        <v>1</v>
      </c>
      <c r="AB26" s="1350">
        <v>1</v>
      </c>
      <c r="AC26" s="1350">
        <v>1</v>
      </c>
    </row>
    <row r="27" spans="1:29" s="108" customFormat="1" ht="15">
      <c r="A27" s="597"/>
      <c r="B27" s="1128" t="s">
        <v>1777</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47"/>
      <c r="Q27" s="1340" t="str">
        <f t="shared" si="8"/>
        <v>公共配套设施</v>
      </c>
      <c r="R27" s="701" t="s">
        <v>14</v>
      </c>
      <c r="S27" s="702">
        <f>F27</f>
        <v>100</v>
      </c>
      <c r="T27" s="701" t="s">
        <v>14</v>
      </c>
      <c r="U27" s="702">
        <f>H27</f>
        <v>100</v>
      </c>
      <c r="V27" s="701" t="s">
        <v>14</v>
      </c>
      <c r="W27" s="702">
        <f>J27</f>
        <v>100</v>
      </c>
      <c r="X27" s="703"/>
      <c r="Y27" s="3747"/>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2"/>
      <c r="M28" s="2713"/>
      <c r="N28" s="2713"/>
      <c r="O28" s="2767"/>
      <c r="P28" s="3747"/>
      <c r="Q28" s="1340"/>
      <c r="R28" s="701"/>
      <c r="S28" s="702"/>
      <c r="T28" s="701"/>
      <c r="U28" s="702"/>
      <c r="V28" s="701"/>
      <c r="W28" s="702"/>
      <c r="X28" s="703"/>
      <c r="Y28" s="3747"/>
      <c r="Z28" s="52"/>
      <c r="AA28" s="1350">
        <v>1</v>
      </c>
      <c r="AB28" s="1350">
        <v>1</v>
      </c>
      <c r="AC28" s="1350">
        <v>1</v>
      </c>
    </row>
    <row r="29" spans="1:29" s="108" customFormat="1" ht="15">
      <c r="A29" s="597"/>
      <c r="B29" s="1128" t="s">
        <v>1778</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47"/>
      <c r="Q29" s="1340" t="str">
        <f t="shared" ref="Q29" si="9">B29</f>
        <v>基础设施水平</v>
      </c>
      <c r="R29" s="701" t="s">
        <v>14</v>
      </c>
      <c r="S29" s="702">
        <f>F29</f>
        <v>100</v>
      </c>
      <c r="T29" s="701" t="s">
        <v>14</v>
      </c>
      <c r="U29" s="702">
        <f>H29</f>
        <v>100</v>
      </c>
      <c r="V29" s="701" t="s">
        <v>14</v>
      </c>
      <c r="W29" s="702">
        <f>J29</f>
        <v>100</v>
      </c>
      <c r="X29" s="703"/>
      <c r="Y29" s="3747"/>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2"/>
      <c r="M30" s="2713"/>
      <c r="N30" s="2713"/>
      <c r="O30" s="2767"/>
      <c r="P30" s="3747"/>
      <c r="Q30" s="1340"/>
      <c r="R30" s="701"/>
      <c r="S30" s="702"/>
      <c r="T30" s="701"/>
      <c r="U30" s="702"/>
      <c r="V30" s="701"/>
      <c r="W30" s="702"/>
      <c r="X30" s="703"/>
      <c r="Y30" s="3747"/>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47"/>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47"/>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47"/>
      <c r="Q32" s="1349" t="str">
        <f t="shared" si="8"/>
        <v>毗邻道路的类型与等级</v>
      </c>
      <c r="R32" s="705" t="s">
        <v>14</v>
      </c>
      <c r="S32" s="706">
        <f t="shared" si="10"/>
        <v>100</v>
      </c>
      <c r="T32" s="705" t="s">
        <v>14</v>
      </c>
      <c r="U32" s="706">
        <f t="shared" si="11"/>
        <v>100</v>
      </c>
      <c r="V32" s="705" t="s">
        <v>14</v>
      </c>
      <c r="W32" s="706">
        <f t="shared" si="12"/>
        <v>100</v>
      </c>
      <c r="X32" s="1352"/>
      <c r="Y32" s="3747"/>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47"/>
      <c r="Q33" s="1349"/>
      <c r="R33" s="705"/>
      <c r="S33" s="706"/>
      <c r="T33" s="705"/>
      <c r="U33" s="706"/>
      <c r="V33" s="705"/>
      <c r="W33" s="706"/>
      <c r="X33" s="1352"/>
      <c r="Y33" s="3747"/>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47"/>
      <c r="Q34" s="1349" t="str">
        <f t="shared" si="8"/>
        <v>土地级别</v>
      </c>
      <c r="R34" s="705" t="s">
        <v>14</v>
      </c>
      <c r="S34" s="706">
        <f t="shared" si="10"/>
        <v>100</v>
      </c>
      <c r="T34" s="705" t="s">
        <v>14</v>
      </c>
      <c r="U34" s="706">
        <f t="shared" si="11"/>
        <v>100</v>
      </c>
      <c r="V34" s="705" t="s">
        <v>14</v>
      </c>
      <c r="W34" s="706">
        <f t="shared" si="12"/>
        <v>100</v>
      </c>
      <c r="X34" s="1352"/>
      <c r="Y34" s="3747"/>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47"/>
      <c r="Q35" s="1349">
        <f t="shared" si="8"/>
        <v>111</v>
      </c>
      <c r="R35" s="705" t="s">
        <v>14</v>
      </c>
      <c r="S35" s="706">
        <f t="shared" si="10"/>
        <v>100</v>
      </c>
      <c r="T35" s="705" t="s">
        <v>14</v>
      </c>
      <c r="U35" s="706">
        <f t="shared" si="11"/>
        <v>100</v>
      </c>
      <c r="V35" s="705" t="s">
        <v>14</v>
      </c>
      <c r="W35" s="706">
        <f t="shared" si="12"/>
        <v>100</v>
      </c>
      <c r="X35" s="1352"/>
      <c r="Y35" s="3747"/>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0" t="s">
        <v>1695</v>
      </c>
      <c r="Q36" s="1349">
        <f t="shared" si="8"/>
        <v>111</v>
      </c>
      <c r="R36" s="705" t="s">
        <v>14</v>
      </c>
      <c r="S36" s="706">
        <f t="shared" si="10"/>
        <v>100</v>
      </c>
      <c r="T36" s="705" t="s">
        <v>14</v>
      </c>
      <c r="U36" s="706">
        <f t="shared" si="11"/>
        <v>100</v>
      </c>
      <c r="V36" s="705" t="s">
        <v>14</v>
      </c>
      <c r="W36" s="706">
        <f t="shared" si="12"/>
        <v>100</v>
      </c>
      <c r="X36" s="1352"/>
      <c r="Y36" s="3751"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1"/>
      <c r="Q37" s="1349">
        <f t="shared" si="8"/>
        <v>111</v>
      </c>
      <c r="R37" s="708" t="s">
        <v>14</v>
      </c>
      <c r="S37" s="709">
        <f t="shared" si="10"/>
        <v>100</v>
      </c>
      <c r="T37" s="708" t="s">
        <v>14</v>
      </c>
      <c r="U37" s="709">
        <f t="shared" si="11"/>
        <v>100</v>
      </c>
      <c r="V37" s="708" t="s">
        <v>14</v>
      </c>
      <c r="W37" s="709">
        <f t="shared" si="12"/>
        <v>100</v>
      </c>
      <c r="X37" s="710"/>
      <c r="Y37" s="3751"/>
      <c r="Z37" s="711">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1"/>
      <c r="Q38" s="1349" t="str">
        <f>B38</f>
        <v>宗地面积</v>
      </c>
      <c r="R38" s="705" t="s">
        <v>14</v>
      </c>
      <c r="S38" s="706" t="e">
        <f t="shared" si="10"/>
        <v>#N/A</v>
      </c>
      <c r="T38" s="705" t="s">
        <v>14</v>
      </c>
      <c r="U38" s="706" t="e">
        <f t="shared" si="11"/>
        <v>#N/A</v>
      </c>
      <c r="V38" s="705" t="s">
        <v>14</v>
      </c>
      <c r="W38" s="706" t="e">
        <f t="shared" si="12"/>
        <v>#N/A</v>
      </c>
      <c r="X38" s="1352"/>
      <c r="Y38" s="3751"/>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51"/>
      <c r="Q39" s="1349" t="str">
        <f t="shared" ref="Q39:Q45" si="14">B39</f>
        <v>宗地形状</v>
      </c>
      <c r="R39" s="705" t="s">
        <v>14</v>
      </c>
      <c r="S39" s="706">
        <f t="shared" si="10"/>
        <v>100</v>
      </c>
      <c r="T39" s="705" t="s">
        <v>14</v>
      </c>
      <c r="U39" s="706">
        <f t="shared" si="11"/>
        <v>100</v>
      </c>
      <c r="V39" s="705" t="s">
        <v>14</v>
      </c>
      <c r="W39" s="706">
        <f t="shared" si="12"/>
        <v>100</v>
      </c>
      <c r="X39" s="1352"/>
      <c r="Y39" s="3751"/>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51"/>
      <c r="Q40" s="1349" t="str">
        <f t="shared" si="14"/>
        <v>临街宽度及深度</v>
      </c>
      <c r="R40" s="705" t="s">
        <v>14</v>
      </c>
      <c r="S40" s="706">
        <f t="shared" si="10"/>
        <v>100</v>
      </c>
      <c r="T40" s="705" t="s">
        <v>14</v>
      </c>
      <c r="U40" s="706">
        <f t="shared" si="11"/>
        <v>100</v>
      </c>
      <c r="V40" s="705" t="s">
        <v>14</v>
      </c>
      <c r="W40" s="706">
        <f t="shared" si="12"/>
        <v>100</v>
      </c>
      <c r="X40" s="1352"/>
      <c r="Y40" s="3751"/>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51"/>
      <c r="Q41" s="1349" t="str">
        <f t="shared" si="14"/>
        <v>宗地开发程度</v>
      </c>
      <c r="R41" s="701" t="s">
        <v>14</v>
      </c>
      <c r="S41" s="702">
        <f t="shared" si="10"/>
        <v>100</v>
      </c>
      <c r="T41" s="701" t="s">
        <v>14</v>
      </c>
      <c r="U41" s="702">
        <f t="shared" si="11"/>
        <v>100</v>
      </c>
      <c r="V41" s="701" t="s">
        <v>14</v>
      </c>
      <c r="W41" s="702">
        <f t="shared" si="12"/>
        <v>100</v>
      </c>
      <c r="X41" s="703"/>
      <c r="Y41" s="3751"/>
      <c r="Z41" s="52" t="str">
        <f t="shared" si="13"/>
        <v>宗地开发程度</v>
      </c>
      <c r="AA41" s="704">
        <f t="shared" si="3"/>
        <v>1</v>
      </c>
      <c r="AB41" s="704">
        <f t="shared" si="4"/>
        <v>1</v>
      </c>
      <c r="AC41" s="704">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51" t="s">
        <v>1695</v>
      </c>
      <c r="Q42" s="1349" t="str">
        <f t="shared" si="14"/>
        <v>工程地质条件</v>
      </c>
      <c r="R42" s="705" t="s">
        <v>14</v>
      </c>
      <c r="S42" s="706">
        <f t="shared" si="10"/>
        <v>100</v>
      </c>
      <c r="T42" s="705" t="s">
        <v>14</v>
      </c>
      <c r="U42" s="706">
        <f t="shared" si="11"/>
        <v>100</v>
      </c>
      <c r="V42" s="705" t="s">
        <v>14</v>
      </c>
      <c r="W42" s="706">
        <f t="shared" si="12"/>
        <v>100</v>
      </c>
      <c r="X42" s="1352"/>
      <c r="Y42" s="3751"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1"/>
      <c r="Q43" s="1349">
        <f t="shared" si="14"/>
        <v>111</v>
      </c>
      <c r="R43" s="705" t="s">
        <v>14</v>
      </c>
      <c r="S43" s="706">
        <f t="shared" si="10"/>
        <v>100</v>
      </c>
      <c r="T43" s="705" t="s">
        <v>14</v>
      </c>
      <c r="U43" s="706">
        <f t="shared" si="11"/>
        <v>100</v>
      </c>
      <c r="V43" s="705" t="s">
        <v>14</v>
      </c>
      <c r="W43" s="706">
        <f t="shared" si="12"/>
        <v>100</v>
      </c>
      <c r="X43" s="1352"/>
      <c r="Y43" s="3751"/>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1"/>
      <c r="Q44" s="1349">
        <f t="shared" si="14"/>
        <v>111</v>
      </c>
      <c r="R44" s="705" t="s">
        <v>14</v>
      </c>
      <c r="S44" s="706">
        <f t="shared" si="10"/>
        <v>100</v>
      </c>
      <c r="T44" s="705" t="s">
        <v>14</v>
      </c>
      <c r="U44" s="706">
        <f t="shared" si="11"/>
        <v>100</v>
      </c>
      <c r="V44" s="705" t="s">
        <v>14</v>
      </c>
      <c r="W44" s="706">
        <f t="shared" si="12"/>
        <v>100</v>
      </c>
      <c r="X44" s="1352"/>
      <c r="Y44" s="3751"/>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1"/>
      <c r="Q45" s="1349">
        <f t="shared" si="14"/>
        <v>111</v>
      </c>
      <c r="R45" s="708" t="s">
        <v>14</v>
      </c>
      <c r="S45" s="709">
        <f t="shared" si="10"/>
        <v>100</v>
      </c>
      <c r="T45" s="708" t="s">
        <v>14</v>
      </c>
      <c r="U45" s="709">
        <f t="shared" si="11"/>
        <v>100</v>
      </c>
      <c r="V45" s="708" t="s">
        <v>14</v>
      </c>
      <c r="W45" s="709">
        <f t="shared" si="12"/>
        <v>100</v>
      </c>
      <c r="X45" s="710"/>
      <c r="Y45" s="3751"/>
      <c r="Z45" s="711">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4"/>
      <c r="L46" s="2719"/>
      <c r="M46" s="2720"/>
      <c r="N46" s="2711"/>
      <c r="O46" s="2720"/>
      <c r="P46" s="3744" t="str">
        <f>A46</f>
        <v>成交单价</v>
      </c>
      <c r="Q46" s="3744"/>
      <c r="R46" s="3739">
        <f>E46</f>
        <v>0</v>
      </c>
      <c r="S46" s="3739"/>
      <c r="T46" s="3739">
        <f>G46</f>
        <v>0</v>
      </c>
      <c r="U46" s="3739"/>
      <c r="V46" s="3739">
        <f>I46</f>
        <v>0</v>
      </c>
      <c r="W46" s="3739"/>
      <c r="X46" s="690"/>
      <c r="Y46" s="712"/>
      <c r="Z46" s="690"/>
      <c r="AA46" s="690"/>
      <c r="AB46" s="690"/>
      <c r="AC46" s="690"/>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19"/>
      <c r="M47" s="2720"/>
      <c r="N47" s="2720"/>
      <c r="O47" s="2720"/>
      <c r="P47" s="3744" t="str">
        <f>A47</f>
        <v>比较价值（元/平方米）</v>
      </c>
      <c r="Q47" s="3744"/>
      <c r="R47" s="3772" t="e">
        <f>ROUND(PRODUCT(R46,AA7:AA45),0)</f>
        <v>#DIV/0!</v>
      </c>
      <c r="S47" s="3772"/>
      <c r="T47" s="3772" t="e">
        <f>ROUND(PRODUCT(T46,AB7:AB45),0)</f>
        <v>#DIV/0!</v>
      </c>
      <c r="U47" s="3772"/>
      <c r="V47" s="3772" t="e">
        <f>ROUND(PRODUCT(V46,AC7:AC45),0)</f>
        <v>#DIV/0!</v>
      </c>
      <c r="W47" s="377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9"/>
      <c r="M48" s="2720"/>
      <c r="N48" s="2720"/>
      <c r="O48" s="2720"/>
      <c r="P48" s="3741" t="str">
        <f>A48</f>
        <v>估价对象XX用房的比较价值（楼面单价，元/平方米）</v>
      </c>
      <c r="Q48" s="3742"/>
      <c r="R48" s="3773" t="e">
        <f>ROUND(IF(D47="简单平均",AVERAGE(R47:W47),R47*F47+T47*H47+V47*J47),0)</f>
        <v>#DIV/0!</v>
      </c>
      <c r="S48" s="3773"/>
      <c r="T48" s="3773"/>
      <c r="U48" s="3773"/>
      <c r="V48" s="3773"/>
      <c r="W48" s="3773"/>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0" t="s">
        <v>1882</v>
      </c>
      <c r="D55" s="1981" t="s">
        <v>1883</v>
      </c>
      <c r="E55" s="634" t="s">
        <v>1884</v>
      </c>
      <c r="F55" s="887" t="s">
        <v>1885</v>
      </c>
      <c r="G55" s="3727" t="s">
        <v>1886</v>
      </c>
      <c r="H55" s="3774"/>
      <c r="I55" s="135" t="s">
        <v>1887</v>
      </c>
      <c r="J55" s="1982">
        <f>项目基本情况!F35</f>
        <v>0</v>
      </c>
      <c r="K55" s="1983"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1">
        <v>1</v>
      </c>
      <c r="E56" s="638">
        <f>'数据-汇总表'!E8+'数据-汇总表'!E9</f>
        <v>96270.04</v>
      </c>
      <c r="F56" s="883" t="e">
        <f t="shared" ref="F56:F64" si="15">ROUND(B56*E56/10000,0)</f>
        <v>#DIV/0!</v>
      </c>
      <c r="G56" s="3726"/>
      <c r="H56" s="3744"/>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0.6</v>
      </c>
      <c r="D57" s="942">
        <v>0.25</v>
      </c>
      <c r="E57" s="642"/>
      <c r="F57" s="883" t="e">
        <f t="shared" si="15"/>
        <v>#DIV/0!</v>
      </c>
      <c r="G57" s="3001" t="s">
        <v>1891</v>
      </c>
      <c r="H57" s="884" t="str">
        <f>项目基本情况!B37</f>
        <v>三级</v>
      </c>
      <c r="I57" s="888">
        <f>SUMIF(修正!A57:A68,H57,修正!B57:B68)</f>
        <v>0.6</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0.3</v>
      </c>
      <c r="D58" s="942">
        <v>0.25</v>
      </c>
      <c r="E58" s="642"/>
      <c r="F58" s="883" t="e">
        <f t="shared" si="15"/>
        <v>#DIV/0!</v>
      </c>
      <c r="G58" s="3002"/>
      <c r="H58" s="884" t="str">
        <f>项目基本情况!B37</f>
        <v>三级</v>
      </c>
      <c r="I58" s="888">
        <f>SUMIF(修正!A57:A68,H58,修正!C57:C68)</f>
        <v>0.3</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0.25</v>
      </c>
      <c r="D59" s="942">
        <v>0.25</v>
      </c>
      <c r="E59" s="642"/>
      <c r="F59" s="883" t="e">
        <f t="shared" si="15"/>
        <v>#DIV/0!</v>
      </c>
      <c r="G59" s="3002"/>
      <c r="H59" s="884" t="str">
        <f>项目基本情况!B37</f>
        <v>三级</v>
      </c>
      <c r="I59" s="888">
        <f>SUMIF(修正!A57:A68,H59,修正!D57:D68)</f>
        <v>0.25</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0.25</v>
      </c>
      <c r="D60" s="942">
        <v>0.25</v>
      </c>
      <c r="E60" s="217">
        <f>'数据-汇总表'!E11</f>
        <v>0</v>
      </c>
      <c r="F60" s="883" t="e">
        <f t="shared" si="15"/>
        <v>#DIV/0!</v>
      </c>
      <c r="G60" s="1984" t="s">
        <v>1895</v>
      </c>
      <c r="H60" s="884" t="str">
        <f>项目基本情况!C37</f>
        <v>三级</v>
      </c>
      <c r="I60" s="888">
        <f>SUMIF(修正!A57:A68,H60,修正!E57:E68)</f>
        <v>0.25</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0.25</v>
      </c>
      <c r="D61" s="942">
        <v>0.25</v>
      </c>
      <c r="E61" s="217">
        <f>'数据-汇总表'!E12</f>
        <v>0</v>
      </c>
      <c r="F61" s="883" t="e">
        <f t="shared" si="15"/>
        <v>#DIV/0!</v>
      </c>
      <c r="G61" s="889" t="s">
        <v>1897</v>
      </c>
      <c r="H61" s="884" t="str">
        <f>IF(G61="商业",项目基本情况!B37,IF(G61="办公",项目基本情况!C37,IF(G61="住宅",项目基本情况!D37,项目基本情况!E37)))</f>
        <v>三级</v>
      </c>
      <c r="I61" s="888">
        <f>SUMIF(修正!A57:A68,H61,修正!F57:F68)</f>
        <v>0.25</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2">
        <v>0.25</v>
      </c>
      <c r="E62" s="217">
        <f>'数据-汇总表'!E13</f>
        <v>32683.579999999998</v>
      </c>
      <c r="F62" s="883" t="e">
        <f t="shared" si="15"/>
        <v>#DIV/0!</v>
      </c>
      <c r="G62" s="889" t="s">
        <v>1899</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0.15</v>
      </c>
      <c r="D63" s="942">
        <v>0.25</v>
      </c>
      <c r="E63" s="217">
        <f>'数据-汇总表'!E14</f>
        <v>0</v>
      </c>
      <c r="F63" s="883" t="e">
        <f t="shared" si="15"/>
        <v>#DIV/0!</v>
      </c>
      <c r="G63" s="1984" t="s">
        <v>1891</v>
      </c>
      <c r="H63" s="884" t="str">
        <f>项目基本情况!B37</f>
        <v>三级</v>
      </c>
      <c r="I63" s="888">
        <f>SUMIF(修正!A57:A68,H63,修正!G57:G68)</f>
        <v>0.15</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1901</v>
      </c>
      <c r="B64" s="218" t="e">
        <f t="shared" si="17"/>
        <v>#DIV/0!</v>
      </c>
      <c r="C64" s="171">
        <f t="shared" si="16"/>
        <v>0.15</v>
      </c>
      <c r="D64" s="942">
        <v>0.25</v>
      </c>
      <c r="E64" s="217">
        <f>'数据-汇总表'!E15</f>
        <v>0</v>
      </c>
      <c r="F64" s="883" t="e">
        <f t="shared" si="15"/>
        <v>#DIV/0!</v>
      </c>
      <c r="G64" s="1985" t="s">
        <v>1895</v>
      </c>
      <c r="H64" s="894" t="str">
        <f>项目基本情况!C37</f>
        <v>三级</v>
      </c>
      <c r="I64" s="890">
        <f>SUMIF(修正!A57:A68,H64,修正!G57:G68)</f>
        <v>0.15</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1902</v>
      </c>
      <c r="B65" s="644" t="s">
        <v>22</v>
      </c>
      <c r="C65" s="644" t="s">
        <v>23</v>
      </c>
      <c r="D65" s="644" t="s">
        <v>392</v>
      </c>
      <c r="E65" s="644">
        <f>IF(B46="楼面地价",SUM(E56:E64),'数据-汇总表'!D3)</f>
        <v>128953.62</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0"/>
      <c r="Q67" s="2720"/>
      <c r="R67" s="2720"/>
      <c r="S67" s="2720"/>
      <c r="T67" s="2720"/>
      <c r="U67" s="2720"/>
      <c r="V67" s="2720"/>
      <c r="W67" s="2720"/>
      <c r="X67" s="2720"/>
      <c r="Y67" s="2720"/>
      <c r="Z67" s="2720"/>
      <c r="AA67" s="2720"/>
      <c r="AB67" s="2720"/>
      <c r="AC67" s="2720"/>
    </row>
    <row r="68" spans="1:29" ht="21.75" thickBot="1">
      <c r="A68" s="694" t="s">
        <v>1797</v>
      </c>
      <c r="B68" s="690"/>
      <c r="C68" s="695"/>
      <c r="D68" s="695"/>
      <c r="E68" s="695"/>
      <c r="F68" s="696"/>
      <c r="G68" s="696"/>
      <c r="H68" s="695"/>
      <c r="I68" s="695"/>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1903</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1904</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1715</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5"/>
      <c r="D2" s="905"/>
      <c r="E2" s="905"/>
      <c r="F2" s="906"/>
      <c r="G2" s="905"/>
      <c r="H2" s="905"/>
      <c r="I2" s="905"/>
      <c r="J2" s="905"/>
      <c r="K2" s="907"/>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0"/>
      <c r="E3" s="905"/>
      <c r="F3" s="906"/>
      <c r="G3" s="905"/>
      <c r="H3" s="905"/>
      <c r="I3" s="905"/>
      <c r="J3" s="905"/>
      <c r="K3" s="907"/>
      <c r="L3" s="2729"/>
      <c r="M3" s="2730"/>
      <c r="N3" s="2730"/>
      <c r="O3" s="2730"/>
      <c r="P3" s="699"/>
      <c r="Q3" s="699"/>
      <c r="R3" s="699"/>
      <c r="S3" s="699"/>
      <c r="T3" s="699"/>
      <c r="U3" s="699"/>
      <c r="V3" s="699"/>
      <c r="W3" s="699"/>
      <c r="X3" s="699"/>
      <c r="Y3" s="699"/>
      <c r="Z3" s="699"/>
      <c r="AA3" s="699"/>
      <c r="AB3" s="716"/>
      <c r="AC3" s="713"/>
    </row>
    <row r="4" spans="1:29" ht="15">
      <c r="A4" s="355" t="s">
        <v>1768</v>
      </c>
      <c r="B4" s="356"/>
      <c r="C4" s="3727" t="s">
        <v>1769</v>
      </c>
      <c r="D4" s="3728"/>
      <c r="E4" s="3729" t="s">
        <v>1770</v>
      </c>
      <c r="F4" s="3730"/>
      <c r="G4" s="3727" t="s">
        <v>1771</v>
      </c>
      <c r="H4" s="3728"/>
      <c r="I4" s="3727" t="s">
        <v>1772</v>
      </c>
      <c r="J4" s="3728"/>
      <c r="K4" s="559" t="s">
        <v>1773</v>
      </c>
      <c r="L4" s="2710"/>
      <c r="M4" s="2711"/>
      <c r="N4" s="2711"/>
      <c r="O4" s="2711"/>
      <c r="P4" s="3731" t="s">
        <v>1774</v>
      </c>
      <c r="Q4" s="3732"/>
      <c r="R4" s="3714" t="s">
        <v>1770</v>
      </c>
      <c r="S4" s="3715"/>
      <c r="T4" s="3714" t="s">
        <v>1771</v>
      </c>
      <c r="U4" s="3715"/>
      <c r="V4" s="3739" t="s">
        <v>1772</v>
      </c>
      <c r="W4" s="3739"/>
      <c r="X4" s="1352"/>
      <c r="Y4" s="3714" t="s">
        <v>1774</v>
      </c>
      <c r="Z4" s="3715"/>
      <c r="AA4" s="3709" t="s">
        <v>1770</v>
      </c>
      <c r="AB4" s="3710" t="s">
        <v>1771</v>
      </c>
      <c r="AC4" s="3709" t="s">
        <v>1772</v>
      </c>
    </row>
    <row r="5" spans="1:29" ht="15">
      <c r="A5" s="358"/>
      <c r="B5" s="359"/>
      <c r="C5" s="3720" t="s">
        <v>1672</v>
      </c>
      <c r="D5" s="3721"/>
      <c r="E5" s="3718" t="s">
        <v>1673</v>
      </c>
      <c r="F5" s="3719"/>
      <c r="G5" s="3720" t="s">
        <v>1674</v>
      </c>
      <c r="H5" s="3721"/>
      <c r="I5" s="3720" t="s">
        <v>1675</v>
      </c>
      <c r="J5" s="3721"/>
      <c r="K5" s="559"/>
      <c r="L5" s="2710"/>
      <c r="M5" s="2711"/>
      <c r="N5" s="2711"/>
      <c r="O5" s="2711"/>
      <c r="P5" s="3733"/>
      <c r="Q5" s="3734"/>
      <c r="R5" s="3716"/>
      <c r="S5" s="3717"/>
      <c r="T5" s="3716"/>
      <c r="U5" s="3717"/>
      <c r="V5" s="3739"/>
      <c r="W5" s="3739"/>
      <c r="X5" s="1352"/>
      <c r="Y5" s="3716"/>
      <c r="Z5" s="3717"/>
      <c r="AA5" s="3710"/>
      <c r="AB5" s="3710"/>
      <c r="AC5" s="3710"/>
    </row>
    <row r="6" spans="1:29" ht="15.75" thickBot="1">
      <c r="A6" s="360"/>
      <c r="B6" s="361"/>
      <c r="C6" s="3775" t="s">
        <v>1918</v>
      </c>
      <c r="D6" s="3776"/>
      <c r="E6" s="3777" t="s">
        <v>1918</v>
      </c>
      <c r="F6" s="3778"/>
      <c r="G6" s="3775" t="s">
        <v>1918</v>
      </c>
      <c r="H6" s="3776"/>
      <c r="I6" s="3775" t="s">
        <v>1918</v>
      </c>
      <c r="J6" s="3776"/>
      <c r="K6" s="559" t="s">
        <v>1677</v>
      </c>
      <c r="L6" s="2710"/>
      <c r="M6" s="2711"/>
      <c r="N6" s="2711"/>
      <c r="O6" s="2711"/>
      <c r="P6" s="3735"/>
      <c r="Q6" s="3736"/>
      <c r="R6" s="3716"/>
      <c r="S6" s="3717"/>
      <c r="T6" s="3737"/>
      <c r="U6" s="3738"/>
      <c r="V6" s="3739"/>
      <c r="W6" s="3739"/>
      <c r="X6" s="1352"/>
      <c r="Y6" s="3737"/>
      <c r="Z6" s="3738"/>
      <c r="AA6" s="3711"/>
      <c r="AB6" s="3711"/>
      <c r="AC6" s="3711"/>
    </row>
    <row r="7" spans="1:29" s="108" customFormat="1" ht="15.75" thickBot="1">
      <c r="A7" s="362" t="s">
        <v>1678</v>
      </c>
      <c r="B7" s="363"/>
      <c r="C7" s="364">
        <f>'数据-取费表'!B2</f>
        <v>45118</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12" t="s">
        <v>1679</v>
      </c>
      <c r="Q7" s="3740"/>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0" si="3">D8/F8</f>
        <v>#DIV/0!</v>
      </c>
      <c r="AB8" s="704" t="e">
        <f t="shared" ref="AB8:AB40" si="4">D8/H8</f>
        <v>#DIV/0!</v>
      </c>
      <c r="AC8" s="704"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744" t="s">
        <v>1685</v>
      </c>
      <c r="Q9" s="1340" t="str">
        <f t="shared" ref="Q9:Q15" si="6">B9</f>
        <v>用途</v>
      </c>
      <c r="R9" s="701" t="s">
        <v>14</v>
      </c>
      <c r="S9" s="702">
        <f t="shared" si="0"/>
        <v>100</v>
      </c>
      <c r="T9" s="701" t="s">
        <v>14</v>
      </c>
      <c r="U9" s="702">
        <f t="shared" si="1"/>
        <v>100</v>
      </c>
      <c r="V9" s="701" t="s">
        <v>14</v>
      </c>
      <c r="W9" s="702">
        <f t="shared" si="2"/>
        <v>100</v>
      </c>
      <c r="X9" s="703"/>
      <c r="Y9" s="363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4"/>
      <c r="M10" s="2715"/>
      <c r="N10" s="2715"/>
      <c r="O10" s="2768"/>
      <c r="P10" s="3744"/>
      <c r="Q10" s="1340" t="str">
        <f t="shared" si="6"/>
        <v>土地使用年限（年）</v>
      </c>
      <c r="R10" s="701" t="s">
        <v>14</v>
      </c>
      <c r="S10" s="702">
        <f t="shared" si="0"/>
        <v>110</v>
      </c>
      <c r="T10" s="701" t="s">
        <v>14</v>
      </c>
      <c r="U10" s="702">
        <f t="shared" si="1"/>
        <v>110</v>
      </c>
      <c r="V10" s="701" t="s">
        <v>14</v>
      </c>
      <c r="W10" s="702">
        <f t="shared" si="2"/>
        <v>110</v>
      </c>
      <c r="X10" s="703"/>
      <c r="Y10" s="3637"/>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4"/>
      <c r="Q11" s="1340"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4"/>
      <c r="Q12" s="1340">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4"/>
      <c r="Q13" s="1340">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4"/>
      <c r="Q14" s="1340">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46" t="s">
        <v>1690</v>
      </c>
      <c r="Q15" s="1349" t="str">
        <f t="shared" si="6"/>
        <v>产业集聚程度</v>
      </c>
      <c r="R15" s="705" t="s">
        <v>14</v>
      </c>
      <c r="S15" s="706">
        <f t="shared" si="0"/>
        <v>100</v>
      </c>
      <c r="T15" s="705" t="s">
        <v>14</v>
      </c>
      <c r="U15" s="706">
        <f t="shared" si="1"/>
        <v>100</v>
      </c>
      <c r="V15" s="705" t="s">
        <v>14</v>
      </c>
      <c r="W15" s="706">
        <f t="shared" si="2"/>
        <v>100</v>
      </c>
      <c r="X15" s="1352"/>
      <c r="Y15" s="3746"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7"/>
      <c r="M16" s="2711"/>
      <c r="N16" s="2711"/>
      <c r="O16" s="2769"/>
      <c r="P16" s="3747"/>
      <c r="Q16" s="1349"/>
      <c r="R16" s="705"/>
      <c r="S16" s="706"/>
      <c r="T16" s="705"/>
      <c r="U16" s="706"/>
      <c r="V16" s="705"/>
      <c r="W16" s="706"/>
      <c r="X16" s="1352"/>
      <c r="Y16" s="3747"/>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47"/>
      <c r="Q17" s="1349" t="str">
        <f>B17</f>
        <v>交通便捷度</v>
      </c>
      <c r="R17" s="705" t="s">
        <v>14</v>
      </c>
      <c r="S17" s="706">
        <f>F17</f>
        <v>100</v>
      </c>
      <c r="T17" s="705" t="s">
        <v>14</v>
      </c>
      <c r="U17" s="706">
        <f>H17</f>
        <v>100</v>
      </c>
      <c r="V17" s="705" t="s">
        <v>14</v>
      </c>
      <c r="W17" s="706">
        <f>J17</f>
        <v>100</v>
      </c>
      <c r="X17" s="1352"/>
      <c r="Y17" s="3747"/>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7"/>
      <c r="M18" s="2711"/>
      <c r="N18" s="2711"/>
      <c r="O18" s="2769"/>
      <c r="P18" s="3747"/>
      <c r="Q18" s="1349"/>
      <c r="R18" s="705"/>
      <c r="S18" s="706"/>
      <c r="T18" s="705"/>
      <c r="U18" s="706"/>
      <c r="V18" s="705"/>
      <c r="W18" s="706"/>
      <c r="X18" s="1352"/>
      <c r="Y18" s="3747"/>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47"/>
      <c r="Q19" s="1349" t="str">
        <f t="shared" ref="Q19:Q33" si="8">B19</f>
        <v>区域土地利用方向</v>
      </c>
      <c r="R19" s="705" t="s">
        <v>14</v>
      </c>
      <c r="S19" s="706">
        <f>F19</f>
        <v>100</v>
      </c>
      <c r="T19" s="705" t="s">
        <v>14</v>
      </c>
      <c r="U19" s="706">
        <f>H19</f>
        <v>100</v>
      </c>
      <c r="V19" s="705" t="s">
        <v>14</v>
      </c>
      <c r="W19" s="706">
        <f>J19</f>
        <v>100</v>
      </c>
      <c r="X19" s="1352"/>
      <c r="Y19" s="3747"/>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7"/>
      <c r="M20" s="2711"/>
      <c r="N20" s="2711"/>
      <c r="O20" s="2769"/>
      <c r="P20" s="3747"/>
      <c r="Q20" s="1349"/>
      <c r="R20" s="705"/>
      <c r="S20" s="706"/>
      <c r="T20" s="705"/>
      <c r="U20" s="706"/>
      <c r="V20" s="705"/>
      <c r="W20" s="706"/>
      <c r="X20" s="1352"/>
      <c r="Y20" s="3747"/>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47"/>
      <c r="Q21" s="1349" t="str">
        <f t="shared" si="8"/>
        <v>环境状况</v>
      </c>
      <c r="R21" s="705" t="s">
        <v>14</v>
      </c>
      <c r="S21" s="706">
        <f>F21</f>
        <v>100</v>
      </c>
      <c r="T21" s="705" t="s">
        <v>14</v>
      </c>
      <c r="U21" s="706">
        <f>H21</f>
        <v>100</v>
      </c>
      <c r="V21" s="705" t="s">
        <v>14</v>
      </c>
      <c r="W21" s="706">
        <f>J21</f>
        <v>100</v>
      </c>
      <c r="X21" s="1352"/>
      <c r="Y21" s="3747"/>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7"/>
      <c r="M22" s="2711"/>
      <c r="N22" s="2711"/>
      <c r="O22" s="2769"/>
      <c r="P22" s="3747"/>
      <c r="Q22" s="1349"/>
      <c r="R22" s="705"/>
      <c r="S22" s="706"/>
      <c r="T22" s="705"/>
      <c r="U22" s="706"/>
      <c r="V22" s="705"/>
      <c r="W22" s="706"/>
      <c r="X22" s="1352"/>
      <c r="Y22" s="3747"/>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47"/>
      <c r="Q23" s="1340" t="str">
        <f t="shared" si="8"/>
        <v>公共配套设施</v>
      </c>
      <c r="R23" s="701" t="s">
        <v>14</v>
      </c>
      <c r="S23" s="702">
        <f>F23</f>
        <v>100</v>
      </c>
      <c r="T23" s="701" t="s">
        <v>14</v>
      </c>
      <c r="U23" s="702">
        <f>H23</f>
        <v>100</v>
      </c>
      <c r="V23" s="701" t="s">
        <v>14</v>
      </c>
      <c r="W23" s="702">
        <f>J23</f>
        <v>100</v>
      </c>
      <c r="X23" s="703"/>
      <c r="Y23" s="3747"/>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2"/>
      <c r="M24" s="2713"/>
      <c r="N24" s="2713"/>
      <c r="O24" s="2767"/>
      <c r="P24" s="3747"/>
      <c r="Q24" s="1340"/>
      <c r="R24" s="701"/>
      <c r="S24" s="702"/>
      <c r="T24" s="701"/>
      <c r="U24" s="702"/>
      <c r="V24" s="701"/>
      <c r="W24" s="702"/>
      <c r="X24" s="703"/>
      <c r="Y24" s="3747"/>
      <c r="Z24" s="52"/>
      <c r="AA24" s="704">
        <v>1</v>
      </c>
      <c r="AB24" s="704">
        <v>1</v>
      </c>
      <c r="AC24" s="704">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47"/>
      <c r="Q25" s="1340" t="str">
        <f t="shared" ref="Q25" si="9">B25</f>
        <v>基础设施水平</v>
      </c>
      <c r="R25" s="701" t="s">
        <v>14</v>
      </c>
      <c r="S25" s="702">
        <f>F25</f>
        <v>100</v>
      </c>
      <c r="T25" s="701" t="s">
        <v>14</v>
      </c>
      <c r="U25" s="702">
        <f>H25</f>
        <v>100</v>
      </c>
      <c r="V25" s="701" t="s">
        <v>14</v>
      </c>
      <c r="W25" s="702">
        <f>J25</f>
        <v>100</v>
      </c>
      <c r="X25" s="703"/>
      <c r="Y25" s="3747"/>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2"/>
      <c r="M26" s="2713"/>
      <c r="N26" s="2713"/>
      <c r="O26" s="2767"/>
      <c r="P26" s="3747"/>
      <c r="Q26" s="1340"/>
      <c r="R26" s="701"/>
      <c r="S26" s="702"/>
      <c r="T26" s="701"/>
      <c r="U26" s="702"/>
      <c r="V26" s="701"/>
      <c r="W26" s="702"/>
      <c r="X26" s="703"/>
      <c r="Y26" s="374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47"/>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47"/>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47"/>
      <c r="Q28" s="1349" t="str">
        <f t="shared" si="8"/>
        <v>毗邻道路的类型与等级</v>
      </c>
      <c r="R28" s="705" t="s">
        <v>14</v>
      </c>
      <c r="S28" s="706">
        <f t="shared" si="10"/>
        <v>100</v>
      </c>
      <c r="T28" s="705" t="s">
        <v>14</v>
      </c>
      <c r="U28" s="706">
        <f t="shared" si="11"/>
        <v>100</v>
      </c>
      <c r="V28" s="705" t="s">
        <v>14</v>
      </c>
      <c r="W28" s="706">
        <f t="shared" si="12"/>
        <v>100</v>
      </c>
      <c r="X28" s="1352"/>
      <c r="Y28" s="3747"/>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7"/>
      <c r="M29" s="2711"/>
      <c r="N29" s="2711"/>
      <c r="O29" s="2769"/>
      <c r="P29" s="3747"/>
      <c r="Q29" s="1349"/>
      <c r="R29" s="705"/>
      <c r="S29" s="706"/>
      <c r="T29" s="705"/>
      <c r="U29" s="706"/>
      <c r="V29" s="705"/>
      <c r="W29" s="706"/>
      <c r="X29" s="1352"/>
      <c r="Y29" s="3747"/>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47"/>
      <c r="Q30" s="1349" t="str">
        <f t="shared" si="8"/>
        <v>土地级别</v>
      </c>
      <c r="R30" s="705" t="s">
        <v>14</v>
      </c>
      <c r="S30" s="706">
        <f t="shared" si="10"/>
        <v>100</v>
      </c>
      <c r="T30" s="705" t="s">
        <v>14</v>
      </c>
      <c r="U30" s="706">
        <f t="shared" si="11"/>
        <v>100</v>
      </c>
      <c r="V30" s="705" t="s">
        <v>14</v>
      </c>
      <c r="W30" s="706">
        <f t="shared" si="12"/>
        <v>100</v>
      </c>
      <c r="X30" s="1352"/>
      <c r="Y30" s="3747"/>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47"/>
      <c r="Q31" s="1349">
        <f t="shared" si="8"/>
        <v>111</v>
      </c>
      <c r="R31" s="705" t="s">
        <v>14</v>
      </c>
      <c r="S31" s="706">
        <f t="shared" si="10"/>
        <v>100</v>
      </c>
      <c r="T31" s="705" t="s">
        <v>14</v>
      </c>
      <c r="U31" s="706">
        <f t="shared" si="11"/>
        <v>100</v>
      </c>
      <c r="V31" s="705" t="s">
        <v>14</v>
      </c>
      <c r="W31" s="706">
        <f t="shared" si="12"/>
        <v>100</v>
      </c>
      <c r="X31" s="1352"/>
      <c r="Y31" s="3747"/>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0" t="s">
        <v>1695</v>
      </c>
      <c r="Q32" s="1349">
        <f t="shared" si="8"/>
        <v>111</v>
      </c>
      <c r="R32" s="705" t="s">
        <v>14</v>
      </c>
      <c r="S32" s="706">
        <f t="shared" si="10"/>
        <v>100</v>
      </c>
      <c r="T32" s="705" t="s">
        <v>14</v>
      </c>
      <c r="U32" s="706">
        <f t="shared" si="11"/>
        <v>100</v>
      </c>
      <c r="V32" s="705" t="s">
        <v>14</v>
      </c>
      <c r="W32" s="706">
        <f t="shared" si="12"/>
        <v>100</v>
      </c>
      <c r="X32" s="1352"/>
      <c r="Y32" s="3751"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1"/>
      <c r="Q33" s="1349">
        <f t="shared" si="8"/>
        <v>111</v>
      </c>
      <c r="R33" s="708" t="s">
        <v>14</v>
      </c>
      <c r="S33" s="709">
        <f t="shared" si="10"/>
        <v>100</v>
      </c>
      <c r="T33" s="708" t="s">
        <v>14</v>
      </c>
      <c r="U33" s="709">
        <f t="shared" si="11"/>
        <v>100</v>
      </c>
      <c r="V33" s="708" t="s">
        <v>14</v>
      </c>
      <c r="W33" s="709">
        <f t="shared" si="12"/>
        <v>100</v>
      </c>
      <c r="X33" s="710"/>
      <c r="Y33" s="3751"/>
      <c r="Z33" s="711">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1"/>
      <c r="Q34" s="1349" t="str">
        <f>B34</f>
        <v>宗地面积</v>
      </c>
      <c r="R34" s="705" t="s">
        <v>14</v>
      </c>
      <c r="S34" s="706" t="e">
        <f t="shared" si="10"/>
        <v>#N/A</v>
      </c>
      <c r="T34" s="705" t="s">
        <v>14</v>
      </c>
      <c r="U34" s="706" t="e">
        <f t="shared" si="11"/>
        <v>#N/A</v>
      </c>
      <c r="V34" s="705" t="s">
        <v>14</v>
      </c>
      <c r="W34" s="706" t="e">
        <f t="shared" si="12"/>
        <v>#N/A</v>
      </c>
      <c r="X34" s="1352"/>
      <c r="Y34" s="3751"/>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51"/>
      <c r="Q35" s="1349" t="str">
        <f t="shared" ref="Q35:Q40" si="14">B35</f>
        <v>宗地形状</v>
      </c>
      <c r="R35" s="705" t="s">
        <v>14</v>
      </c>
      <c r="S35" s="706">
        <f t="shared" si="10"/>
        <v>100</v>
      </c>
      <c r="T35" s="705" t="s">
        <v>14</v>
      </c>
      <c r="U35" s="706">
        <f t="shared" si="11"/>
        <v>100</v>
      </c>
      <c r="V35" s="705" t="s">
        <v>14</v>
      </c>
      <c r="W35" s="706">
        <f t="shared" si="12"/>
        <v>100</v>
      </c>
      <c r="X35" s="1352"/>
      <c r="Y35" s="3751"/>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51"/>
      <c r="Q36" s="1349" t="str">
        <f t="shared" si="14"/>
        <v>宗地开发程度</v>
      </c>
      <c r="R36" s="701" t="s">
        <v>14</v>
      </c>
      <c r="S36" s="702">
        <f t="shared" si="10"/>
        <v>100</v>
      </c>
      <c r="T36" s="701" t="s">
        <v>14</v>
      </c>
      <c r="U36" s="702">
        <f t="shared" si="11"/>
        <v>100</v>
      </c>
      <c r="V36" s="701" t="s">
        <v>14</v>
      </c>
      <c r="W36" s="702">
        <f t="shared" si="12"/>
        <v>100</v>
      </c>
      <c r="X36" s="703"/>
      <c r="Y36" s="3751"/>
      <c r="Z36" s="52" t="str">
        <f t="shared" si="13"/>
        <v>宗地开发程度</v>
      </c>
      <c r="AA36" s="704">
        <f t="shared" si="3"/>
        <v>1</v>
      </c>
      <c r="AB36" s="704">
        <f t="shared" si="4"/>
        <v>1</v>
      </c>
      <c r="AC36" s="704">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51" t="s">
        <v>1695</v>
      </c>
      <c r="Q37" s="1349" t="str">
        <f t="shared" si="14"/>
        <v>工程地质条件</v>
      </c>
      <c r="R37" s="705" t="s">
        <v>14</v>
      </c>
      <c r="S37" s="706">
        <f t="shared" si="10"/>
        <v>100</v>
      </c>
      <c r="T37" s="705" t="s">
        <v>14</v>
      </c>
      <c r="U37" s="706">
        <f t="shared" si="11"/>
        <v>100</v>
      </c>
      <c r="V37" s="705" t="s">
        <v>14</v>
      </c>
      <c r="W37" s="706">
        <f t="shared" si="12"/>
        <v>100</v>
      </c>
      <c r="X37" s="1352"/>
      <c r="Y37" s="3751"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1"/>
      <c r="Q38" s="1349">
        <f t="shared" si="14"/>
        <v>111</v>
      </c>
      <c r="R38" s="705" t="s">
        <v>14</v>
      </c>
      <c r="S38" s="706">
        <f t="shared" si="10"/>
        <v>100</v>
      </c>
      <c r="T38" s="705" t="s">
        <v>14</v>
      </c>
      <c r="U38" s="706">
        <f t="shared" si="11"/>
        <v>100</v>
      </c>
      <c r="V38" s="705" t="s">
        <v>14</v>
      </c>
      <c r="W38" s="706">
        <f t="shared" si="12"/>
        <v>100</v>
      </c>
      <c r="X38" s="1352"/>
      <c r="Y38" s="3751"/>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1"/>
      <c r="Q39" s="1349">
        <f t="shared" si="14"/>
        <v>111</v>
      </c>
      <c r="R39" s="705" t="s">
        <v>14</v>
      </c>
      <c r="S39" s="706">
        <f t="shared" si="10"/>
        <v>100</v>
      </c>
      <c r="T39" s="705" t="s">
        <v>14</v>
      </c>
      <c r="U39" s="706">
        <f t="shared" si="11"/>
        <v>100</v>
      </c>
      <c r="V39" s="705" t="s">
        <v>14</v>
      </c>
      <c r="W39" s="706">
        <f t="shared" si="12"/>
        <v>100</v>
      </c>
      <c r="X39" s="1352"/>
      <c r="Y39" s="3751"/>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1"/>
      <c r="Q40" s="1349">
        <f t="shared" si="14"/>
        <v>111</v>
      </c>
      <c r="R40" s="708" t="s">
        <v>14</v>
      </c>
      <c r="S40" s="709">
        <f t="shared" si="10"/>
        <v>100</v>
      </c>
      <c r="T40" s="708" t="s">
        <v>14</v>
      </c>
      <c r="U40" s="709">
        <f t="shared" si="11"/>
        <v>100</v>
      </c>
      <c r="V40" s="708" t="s">
        <v>14</v>
      </c>
      <c r="W40" s="709">
        <f t="shared" si="12"/>
        <v>100</v>
      </c>
      <c r="X40" s="710"/>
      <c r="Y40" s="3751"/>
      <c r="Z40" s="711">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4"/>
      <c r="L41" s="2719"/>
      <c r="M41" s="2711"/>
      <c r="N41" s="2711"/>
      <c r="O41" s="2720"/>
      <c r="P41" s="3744" t="str">
        <f>A41</f>
        <v>成交单价</v>
      </c>
      <c r="Q41" s="3744"/>
      <c r="R41" s="3739">
        <f>E41</f>
        <v>0</v>
      </c>
      <c r="S41" s="3739"/>
      <c r="T41" s="3739">
        <f>G41</f>
        <v>0</v>
      </c>
      <c r="U41" s="3739"/>
      <c r="V41" s="3739">
        <f>I41</f>
        <v>0</v>
      </c>
      <c r="W41" s="3739"/>
      <c r="X41" s="690"/>
      <c r="Y41" s="712"/>
      <c r="Z41" s="690"/>
      <c r="AA41" s="690"/>
      <c r="AB41" s="690"/>
      <c r="AC41" s="690"/>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19"/>
      <c r="M42" s="2711"/>
      <c r="N42" s="2711"/>
      <c r="O42" s="2720"/>
      <c r="P42" s="3744" t="str">
        <f>A42</f>
        <v>比较价值（元/平方米）</v>
      </c>
      <c r="Q42" s="3744"/>
      <c r="R42" s="3772" t="e">
        <f>ROUND(PRODUCT(R41,AA7:AA40),0)</f>
        <v>#DIV/0!</v>
      </c>
      <c r="S42" s="3772"/>
      <c r="T42" s="3772" t="e">
        <f>ROUND(PRODUCT(T41,AB7:AB40),0)</f>
        <v>#DIV/0!</v>
      </c>
      <c r="U42" s="3772"/>
      <c r="V42" s="3772" t="e">
        <f>ROUND(PRODUCT(V41,AC7:AC40),0)</f>
        <v>#DIV/0!</v>
      </c>
      <c r="W42" s="377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9"/>
      <c r="M43" s="2711"/>
      <c r="N43" s="2711"/>
      <c r="O43" s="2720"/>
      <c r="P43" s="3741" t="str">
        <f>A43</f>
        <v>估价对象XX用房的比较价值（楼面单价，元/平方米）</v>
      </c>
      <c r="Q43" s="3742"/>
      <c r="R43" s="3773" t="e">
        <f>ROUND(IF(D42="简单平均",AVERAGE(R42:W42),R42*F42+T42*H42+V42*J42),0)</f>
        <v>#DIV/0!</v>
      </c>
      <c r="S43" s="3773"/>
      <c r="T43" s="3773"/>
      <c r="U43" s="3773"/>
      <c r="V43" s="3773"/>
      <c r="W43" s="3773"/>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1880</v>
      </c>
      <c r="B50" s="633" t="s">
        <v>1881</v>
      </c>
      <c r="C50" s="1980" t="s">
        <v>1882</v>
      </c>
      <c r="D50" s="1981" t="s">
        <v>1883</v>
      </c>
      <c r="E50" s="634" t="s">
        <v>1884</v>
      </c>
      <c r="F50" s="635" t="s">
        <v>1885</v>
      </c>
      <c r="G50" s="3727" t="s">
        <v>1886</v>
      </c>
      <c r="H50" s="3774"/>
      <c r="I50" s="1353" t="s">
        <v>1922</v>
      </c>
      <c r="J50" s="1353">
        <f>项目基本情况!F35</f>
        <v>0</v>
      </c>
      <c r="K50" s="1983"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1">
        <v>1</v>
      </c>
      <c r="E51" s="638">
        <f>'数据-汇总表'!E8+'数据-汇总表'!E9</f>
        <v>96270.04</v>
      </c>
      <c r="F51" s="639" t="e">
        <f t="shared" ref="F51:F60" si="15">ROUND(B51*E51/10000,0)</f>
        <v>#DIV/0!</v>
      </c>
      <c r="G51" s="3726"/>
      <c r="H51" s="3744"/>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0.6</v>
      </c>
      <c r="D52" s="942">
        <v>0.25</v>
      </c>
      <c r="E52" s="642"/>
      <c r="F52" s="639" t="e">
        <f t="shared" si="15"/>
        <v>#DIV/0!</v>
      </c>
      <c r="G52" s="3001" t="s">
        <v>1891</v>
      </c>
      <c r="H52" s="884" t="str">
        <f>项目基本情况!B37</f>
        <v>三级</v>
      </c>
      <c r="I52" s="770">
        <f>SUMIF(修正!A57:A68,H52,修正!B57:B68)</f>
        <v>0.6</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0.3</v>
      </c>
      <c r="D53" s="942">
        <v>0.25</v>
      </c>
      <c r="E53" s="642"/>
      <c r="F53" s="639" t="e">
        <f t="shared" si="15"/>
        <v>#DIV/0!</v>
      </c>
      <c r="G53" s="3002"/>
      <c r="H53" s="884" t="str">
        <f>项目基本情况!B37</f>
        <v>三级</v>
      </c>
      <c r="I53" s="770">
        <f>SUMIF(修正!A57:A68,H53,修正!C57:C68)</f>
        <v>0.3</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0.25</v>
      </c>
      <c r="D54" s="942">
        <v>0.25</v>
      </c>
      <c r="E54" s="642"/>
      <c r="F54" s="639" t="e">
        <f t="shared" si="15"/>
        <v>#DIV/0!</v>
      </c>
      <c r="G54" s="3002"/>
      <c r="H54" s="884" t="str">
        <f>项目基本情况!B37</f>
        <v>三级</v>
      </c>
      <c r="I54" s="770">
        <f>SUMIF(修正!A57:A68,H54,修正!D57:D68)</f>
        <v>0.25</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2"/>
      <c r="E55" s="642"/>
      <c r="F55" s="639"/>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0.25</v>
      </c>
      <c r="D56" s="942">
        <v>0.25</v>
      </c>
      <c r="E56" s="217">
        <f>'数据-汇总表'!E11</f>
        <v>0</v>
      </c>
      <c r="F56" s="639" t="e">
        <f t="shared" si="15"/>
        <v>#DIV/0!</v>
      </c>
      <c r="G56" s="1984" t="s">
        <v>1895</v>
      </c>
      <c r="H56" s="884" t="str">
        <f>项目基本情况!C37</f>
        <v>三级</v>
      </c>
      <c r="I56" s="770">
        <f>SUMIF(修正!A57:A68,H56,修正!E57:E68)</f>
        <v>0.25</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0.25</v>
      </c>
      <c r="D57" s="942">
        <v>0.25</v>
      </c>
      <c r="E57" s="217">
        <f>'数据-汇总表'!E12</f>
        <v>0</v>
      </c>
      <c r="F57" s="639" t="e">
        <f t="shared" si="15"/>
        <v>#DIV/0!</v>
      </c>
      <c r="G57" s="889" t="s">
        <v>1897</v>
      </c>
      <c r="H57" s="884" t="str">
        <f>IF(G57="商业",项目基本情况!B37,IF(G57="办公",项目基本情况!C37,IF(G57="住宅",项目基本情况!D37,项目基本情况!E37)))</f>
        <v>三级</v>
      </c>
      <c r="I57" s="770">
        <f>SUMIF(修正!A57:A68,H57,修正!F57:F68)</f>
        <v>0.25</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2">
        <v>0.25</v>
      </c>
      <c r="E58" s="217">
        <f>'数据-汇总表'!E13</f>
        <v>32683.579999999998</v>
      </c>
      <c r="F58" s="639" t="e">
        <f t="shared" si="15"/>
        <v>#DIV/0!</v>
      </c>
      <c r="G58" s="889" t="s">
        <v>1899</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0.15</v>
      </c>
      <c r="D59" s="942">
        <v>0.25</v>
      </c>
      <c r="E59" s="217">
        <f>'数据-汇总表'!E14</f>
        <v>0</v>
      </c>
      <c r="F59" s="639" t="e">
        <f t="shared" si="15"/>
        <v>#DIV/0!</v>
      </c>
      <c r="G59" s="1984" t="s">
        <v>1891</v>
      </c>
      <c r="H59" s="884" t="str">
        <f>项目基本情况!B37</f>
        <v>三级</v>
      </c>
      <c r="I59" s="770">
        <f>SUMIF(修正!A57:A68,H59,修正!G57:G68)</f>
        <v>0.15</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1901</v>
      </c>
      <c r="B60" s="218" t="e">
        <f t="shared" si="17"/>
        <v>#DIV/0!</v>
      </c>
      <c r="C60" s="171">
        <f t="shared" si="16"/>
        <v>0.15</v>
      </c>
      <c r="D60" s="942">
        <v>0.25</v>
      </c>
      <c r="E60" s="217">
        <f>'数据-汇总表'!E15</f>
        <v>0</v>
      </c>
      <c r="F60" s="639" t="e">
        <f t="shared" si="15"/>
        <v>#DIV/0!</v>
      </c>
      <c r="G60" s="1985" t="s">
        <v>1895</v>
      </c>
      <c r="H60" s="894" t="str">
        <f>项目基本情况!C37</f>
        <v>三级</v>
      </c>
      <c r="I60" s="770">
        <f>SUMIF(修正!A57:A68,H60,修正!G57:G68)</f>
        <v>0.15</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1902</v>
      </c>
      <c r="B61" s="644" t="s">
        <v>22</v>
      </c>
      <c r="C61" s="644" t="s">
        <v>23</v>
      </c>
      <c r="D61" s="644" t="s">
        <v>392</v>
      </c>
      <c r="E61" s="644">
        <f>IF(B41="楼面地价",SUM(E51:E60),'数据-汇总表'!D3)</f>
        <v>19087.400000000001</v>
      </c>
      <c r="F61" s="645"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0"/>
      <c r="Q63" s="2720"/>
      <c r="R63" s="2720"/>
      <c r="S63" s="2720"/>
      <c r="T63" s="2720"/>
      <c r="U63" s="2720"/>
      <c r="V63" s="2720"/>
      <c r="W63" s="2720"/>
      <c r="X63" s="2720"/>
      <c r="Y63" s="2720"/>
      <c r="Z63" s="2720"/>
      <c r="AA63" s="2720"/>
      <c r="AB63" s="2720"/>
      <c r="AC63" s="2720"/>
      <c r="AD63" s="2720"/>
      <c r="AE63" s="2720"/>
    </row>
    <row r="64" spans="1:31" ht="21.75" thickBot="1">
      <c r="A64" s="694" t="s">
        <v>1797</v>
      </c>
      <c r="B64" s="690"/>
      <c r="C64" s="695"/>
      <c r="D64" s="695"/>
      <c r="E64" s="695"/>
      <c r="F64" s="696"/>
      <c r="G64" s="696"/>
      <c r="H64" s="695"/>
      <c r="I64" s="695"/>
      <c r="J64" s="695"/>
      <c r="K64" s="697"/>
      <c r="L64" s="698"/>
      <c r="M64" s="695"/>
      <c r="N64" s="695"/>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1903</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1923</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2081</v>
      </c>
      <c r="C1" s="3782" t="s">
        <v>2082</v>
      </c>
      <c r="D1" s="3783"/>
      <c r="E1" s="3783"/>
      <c r="F1" s="3783"/>
      <c r="G1" s="3783"/>
      <c r="H1" s="3783"/>
      <c r="I1" s="3783"/>
      <c r="J1" s="3783"/>
      <c r="K1" s="3783"/>
      <c r="L1" s="3783"/>
      <c r="M1" s="3783"/>
      <c r="N1" s="3783"/>
      <c r="O1" s="3783"/>
      <c r="P1" s="3783"/>
      <c r="Q1" s="3783"/>
      <c r="R1" s="3783"/>
      <c r="S1" s="3784"/>
      <c r="T1" s="980" t="s">
        <v>2083</v>
      </c>
    </row>
    <row r="2" spans="1:45" s="655" customFormat="1">
      <c r="A2" s="981"/>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2091</v>
      </c>
      <c r="B17" s="2146"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2093</v>
      </c>
      <c r="E19" s="1337"/>
      <c r="F19" s="1337"/>
      <c r="G19" s="1337"/>
      <c r="H19" s="1056"/>
      <c r="I19" s="159"/>
      <c r="J19" s="159"/>
      <c r="K19" s="159"/>
      <c r="L19" s="159"/>
      <c r="M19" s="159"/>
      <c r="N19" s="159"/>
      <c r="O19" s="159"/>
      <c r="P19" s="159"/>
      <c r="Q19" s="159"/>
      <c r="R19" s="718"/>
      <c r="S19" s="129"/>
    </row>
    <row r="20" spans="1:45" ht="16.5" thickBot="1">
      <c r="A20" s="662" t="s">
        <v>2094</v>
      </c>
      <c r="B20" s="294" t="e">
        <f ca="1">IF(D20="——",S22,S22-F20)</f>
        <v>#REF!</v>
      </c>
      <c r="C20" s="159"/>
      <c r="D20" s="2148"/>
      <c r="E20" s="1338"/>
      <c r="F20" s="980" t="e">
        <f ca="1">SUMIF(INDIRECT("'"&amp;H20&amp;"'"&amp;"!A:A"),"承租人权益价值",INDIRECT("'"&amp;H20&amp;"'"&amp;"!c:c"))</f>
        <v>#REF!</v>
      </c>
      <c r="G20" s="980" t="s">
        <v>2095</v>
      </c>
      <c r="H20" s="2149"/>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9" t="s">
        <v>27</v>
      </c>
      <c r="D22" s="3780"/>
      <c r="E22" s="3780"/>
      <c r="F22" s="3780"/>
      <c r="G22" s="3780"/>
      <c r="H22" s="3780"/>
      <c r="I22" s="3780"/>
      <c r="J22" s="3780"/>
      <c r="K22" s="3780"/>
      <c r="L22" s="3780"/>
      <c r="M22" s="3780"/>
      <c r="N22" s="3780"/>
      <c r="O22" s="3780"/>
      <c r="P22" s="3780"/>
      <c r="Q22" s="3781"/>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0"/>
      <c r="B4" s="3482" t="s">
        <v>917</v>
      </c>
      <c r="C4" s="3482"/>
      <c r="D4" s="3482"/>
      <c r="E4" s="1490"/>
    </row>
    <row r="5" spans="1:5" ht="16.5" thickTop="1">
      <c r="A5" s="1488"/>
      <c r="B5" s="3480" t="s">
        <v>909</v>
      </c>
      <c r="C5" s="1491" t="s">
        <v>910</v>
      </c>
      <c r="D5" s="847">
        <f ca="1">结果表!H101</f>
        <v>497900</v>
      </c>
      <c r="E5" s="1488"/>
    </row>
    <row r="6" spans="1:5" ht="15.75">
      <c r="A6" s="1488"/>
      <c r="B6" s="3480"/>
      <c r="C6" s="1491" t="s">
        <v>911</v>
      </c>
      <c r="D6" s="847" t="str">
        <f ca="1">NUMBERSTRING(INT(D5*10000),2)&amp;"元整"</f>
        <v>肆拾玖亿柒仟玖佰万元整</v>
      </c>
      <c r="E6" s="1488"/>
    </row>
    <row r="7" spans="1:5" ht="15.75">
      <c r="A7" s="1488"/>
      <c r="B7" s="3485"/>
      <c r="C7" s="1492" t="s">
        <v>912</v>
      </c>
      <c r="D7" s="848">
        <f ca="1">结果表!H102</f>
        <v>37508</v>
      </c>
      <c r="E7" s="1488"/>
    </row>
    <row r="8" spans="1:5" ht="15.75">
      <c r="A8" s="1488"/>
      <c r="B8" s="3486" t="str">
        <f>结果表!E103</f>
        <v>2.估价师知悉的法定优先受偿款</v>
      </c>
      <c r="C8" s="1493" t="s">
        <v>913</v>
      </c>
      <c r="D8" s="848">
        <f>结果表!H103</f>
        <v>0</v>
      </c>
      <c r="E8" s="1488"/>
    </row>
    <row r="9" spans="1:5" ht="15.75">
      <c r="A9" s="1488"/>
      <c r="B9" s="3488"/>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9" t="str">
        <f>结果表!E107</f>
        <v>3.房地产抵押价值</v>
      </c>
      <c r="C13" s="1496" t="s">
        <v>910</v>
      </c>
      <c r="D13" s="850">
        <f ca="1">结果表!H107</f>
        <v>497900</v>
      </c>
      <c r="E13" s="1488"/>
    </row>
    <row r="14" spans="1:5" ht="15.75">
      <c r="A14" s="1488"/>
      <c r="B14" s="3480"/>
      <c r="C14" s="1491" t="s">
        <v>911</v>
      </c>
      <c r="D14" s="847" t="str">
        <f ca="1">NUMBERSTRING(INT(D13*10000),2)&amp;"元整"</f>
        <v>肆拾玖亿柒仟玖佰万元整</v>
      </c>
      <c r="E14" s="1488"/>
    </row>
    <row r="15" spans="1:5" ht="15">
      <c r="A15" s="1488"/>
      <c r="B15" s="3485"/>
      <c r="C15" s="1492" t="s">
        <v>921</v>
      </c>
      <c r="D15" s="856">
        <f ca="1">结果表!H108</f>
        <v>37508</v>
      </c>
      <c r="E15" s="1488"/>
    </row>
    <row r="16" spans="1:5" ht="15">
      <c r="A16" s="1488"/>
      <c r="B16" s="3486" t="str">
        <f>结果表!E109</f>
        <v>——</v>
      </c>
      <c r="C16" s="1496" t="s">
        <v>922</v>
      </c>
      <c r="D16" s="1497" t="str">
        <f>结果表!H109</f>
        <v>——</v>
      </c>
      <c r="E16" s="1488"/>
    </row>
    <row r="17" spans="1:5" ht="15.75">
      <c r="A17" s="1488"/>
      <c r="B17" s="3487"/>
      <c r="C17" s="1491" t="s">
        <v>923</v>
      </c>
      <c r="D17" s="847" t="e">
        <f>NUMBERSTRING(INT(D16*10000),2)&amp;"元整"</f>
        <v>#VALUE!</v>
      </c>
      <c r="E17" s="1488"/>
    </row>
    <row r="18" spans="1:5" ht="15">
      <c r="A18" s="1488"/>
      <c r="B18" s="3488"/>
      <c r="C18" s="1492" t="s">
        <v>912</v>
      </c>
      <c r="D18" s="856" t="str">
        <f>结果表!H110</f>
        <v>——</v>
      </c>
      <c r="E18" s="1488"/>
    </row>
    <row r="19" spans="1:5" ht="15.75">
      <c r="A19" s="1488"/>
      <c r="B19" s="3479" t="str">
        <f>结果表!E111</f>
        <v>——</v>
      </c>
      <c r="C19" s="1496" t="s">
        <v>910</v>
      </c>
      <c r="D19" s="848" t="str">
        <f>结果表!H111</f>
        <v>——</v>
      </c>
      <c r="E19" s="1488"/>
    </row>
    <row r="20" spans="1:5" ht="15.75">
      <c r="A20" s="1488"/>
      <c r="B20" s="3480"/>
      <c r="C20" s="1491" t="s">
        <v>923</v>
      </c>
      <c r="D20" s="847" t="e">
        <f>NUMBERSTRING(INT(D19*10000),2)&amp;"元整"</f>
        <v>#VALUE!</v>
      </c>
      <c r="E20" s="1488"/>
    </row>
    <row r="21" spans="1:5" ht="15.75" thickBot="1">
      <c r="A21" s="1488"/>
      <c r="B21" s="3481"/>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2591</v>
      </c>
      <c r="B1" s="3067" t="s">
        <v>2592</v>
      </c>
      <c r="C1" s="3067" t="s">
        <v>2593</v>
      </c>
      <c r="D1" s="3067" t="s">
        <v>2594</v>
      </c>
      <c r="E1" s="3067" t="s">
        <v>2595</v>
      </c>
      <c r="F1" s="3067" t="s">
        <v>2596</v>
      </c>
      <c r="G1" s="3067" t="s">
        <v>2597</v>
      </c>
      <c r="H1" s="3067" t="s">
        <v>2598</v>
      </c>
      <c r="I1" s="3067" t="s">
        <v>2599</v>
      </c>
      <c r="J1" s="3067" t="s">
        <v>2600</v>
      </c>
      <c r="K1" s="3067" t="s">
        <v>2601</v>
      </c>
      <c r="L1" s="3067" t="s">
        <v>2602</v>
      </c>
      <c r="M1" s="3068" t="s">
        <v>2603</v>
      </c>
    </row>
    <row r="2" spans="1:13" ht="19.5" customHeight="1">
      <c r="A2" s="3070" t="s">
        <v>2604</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2605</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2606</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2607</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2608</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2609</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2610</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2611</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2612</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2613</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2614</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2615</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2616</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2617</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2618</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2619</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2620</v>
      </c>
      <c r="B18" s="3092"/>
      <c r="C18" s="3093"/>
      <c r="D18" s="3093"/>
      <c r="E18" s="3092"/>
      <c r="F18" s="3093"/>
      <c r="G18" s="3093"/>
    </row>
    <row r="19" spans="1:13" ht="19.5" customHeight="1" thickBot="1">
      <c r="A19" s="3090" t="s">
        <v>2621</v>
      </c>
      <c r="B19" s="3095" t="s">
        <v>2622</v>
      </c>
      <c r="C19" s="3095" t="s">
        <v>2623</v>
      </c>
      <c r="D19" s="3096"/>
      <c r="E19" s="3090" t="s">
        <v>2624</v>
      </c>
      <c r="F19" s="3097"/>
      <c r="G19" s="3097"/>
    </row>
    <row r="20" spans="1:13" ht="19.5" customHeight="1">
      <c r="A20" s="3792" t="s">
        <v>2604</v>
      </c>
      <c r="B20" s="3785" t="s">
        <v>2625</v>
      </c>
      <c r="C20" s="3098" t="s">
        <v>2436</v>
      </c>
      <c r="D20" s="3099"/>
      <c r="E20" s="3100">
        <v>1</v>
      </c>
      <c r="F20" s="3101" t="s">
        <v>2437</v>
      </c>
      <c r="G20" s="3101"/>
    </row>
    <row r="21" spans="1:13" ht="19.5" customHeight="1">
      <c r="A21" s="3793"/>
      <c r="B21" s="3786"/>
      <c r="C21" s="3102" t="s">
        <v>2438</v>
      </c>
      <c r="D21" s="3103"/>
      <c r="E21" s="3104">
        <v>1</v>
      </c>
      <c r="F21" s="3101" t="s">
        <v>2439</v>
      </c>
      <c r="G21" s="3101"/>
    </row>
    <row r="22" spans="1:13" ht="19.5" customHeight="1">
      <c r="A22" s="3793"/>
      <c r="B22" s="3786"/>
      <c r="C22" s="3102" t="s">
        <v>2440</v>
      </c>
      <c r="D22" s="3103"/>
      <c r="E22" s="3104">
        <v>0.9</v>
      </c>
      <c r="F22" s="3101" t="s">
        <v>2441</v>
      </c>
      <c r="G22" s="3101"/>
    </row>
    <row r="23" spans="1:13" ht="19.5" customHeight="1">
      <c r="A23" s="3793"/>
      <c r="B23" s="3786"/>
      <c r="C23" s="3102" t="s">
        <v>2442</v>
      </c>
      <c r="D23" s="3103"/>
      <c r="E23" s="3104">
        <v>0.9</v>
      </c>
      <c r="F23" s="3101" t="s">
        <v>2443</v>
      </c>
      <c r="G23" s="3101"/>
    </row>
    <row r="24" spans="1:13" ht="19.5" customHeight="1">
      <c r="A24" s="3793"/>
      <c r="B24" s="3786"/>
      <c r="C24" s="3102" t="s">
        <v>2444</v>
      </c>
      <c r="D24" s="3103"/>
      <c r="E24" s="3104">
        <v>0.8</v>
      </c>
      <c r="F24" s="3101" t="s">
        <v>2445</v>
      </c>
      <c r="G24" s="3101"/>
    </row>
    <row r="25" spans="1:13" ht="19.5" customHeight="1" thickBot="1">
      <c r="A25" s="3794"/>
      <c r="B25" s="3787"/>
      <c r="C25" s="3105" t="s">
        <v>2446</v>
      </c>
      <c r="D25" s="3106"/>
      <c r="E25" s="3107">
        <v>0.8</v>
      </c>
      <c r="F25" s="3101" t="s">
        <v>2447</v>
      </c>
      <c r="G25" s="3101"/>
    </row>
    <row r="26" spans="1:13" ht="19.5" customHeight="1" thickBot="1">
      <c r="A26" s="3108" t="s">
        <v>2626</v>
      </c>
      <c r="B26" s="3109" t="s">
        <v>2625</v>
      </c>
      <c r="C26" s="3110" t="s">
        <v>2627</v>
      </c>
      <c r="D26" s="3111"/>
      <c r="E26" s="3112">
        <v>1</v>
      </c>
      <c r="F26" s="3101" t="s">
        <v>2448</v>
      </c>
      <c r="G26" s="3101"/>
    </row>
    <row r="27" spans="1:13" ht="19.5" customHeight="1">
      <c r="A27" s="3788" t="s">
        <v>2628</v>
      </c>
      <c r="B27" s="3785" t="s">
        <v>2609</v>
      </c>
      <c r="C27" s="3098" t="s">
        <v>2449</v>
      </c>
      <c r="D27" s="3099"/>
      <c r="E27" s="3100">
        <v>1</v>
      </c>
      <c r="F27" s="3101" t="s">
        <v>2450</v>
      </c>
      <c r="G27" s="3101"/>
    </row>
    <row r="28" spans="1:13" ht="19.5" customHeight="1">
      <c r="A28" s="3789"/>
      <c r="B28" s="3786"/>
      <c r="C28" s="3102" t="s">
        <v>2451</v>
      </c>
      <c r="D28" s="3103"/>
      <c r="E28" s="3104">
        <v>1</v>
      </c>
      <c r="F28" s="3101" t="s">
        <v>2452</v>
      </c>
      <c r="G28" s="3101"/>
    </row>
    <row r="29" spans="1:13" ht="19.5" customHeight="1">
      <c r="A29" s="3789"/>
      <c r="B29" s="3786"/>
      <c r="C29" s="3102" t="s">
        <v>2453</v>
      </c>
      <c r="D29" s="3103"/>
      <c r="E29" s="3104">
        <v>0.8</v>
      </c>
      <c r="F29" s="3101" t="s">
        <v>2454</v>
      </c>
      <c r="G29" s="3101"/>
    </row>
    <row r="30" spans="1:13" ht="19.5" customHeight="1">
      <c r="A30" s="3789"/>
      <c r="B30" s="3786"/>
      <c r="C30" s="3102" t="s">
        <v>2455</v>
      </c>
      <c r="D30" s="3103"/>
      <c r="E30" s="3104">
        <v>0.8</v>
      </c>
      <c r="F30" s="3101" t="s">
        <v>2456</v>
      </c>
      <c r="G30" s="3101"/>
    </row>
    <row r="31" spans="1:13" ht="19.5" customHeight="1">
      <c r="A31" s="3789"/>
      <c r="B31" s="3786"/>
      <c r="C31" s="3102" t="s">
        <v>2457</v>
      </c>
      <c r="D31" s="3103"/>
      <c r="E31" s="3104">
        <v>0.8</v>
      </c>
      <c r="F31" s="3101" t="s">
        <v>2458</v>
      </c>
      <c r="G31" s="3101"/>
    </row>
    <row r="32" spans="1:13" ht="19.5" customHeight="1">
      <c r="A32" s="3789"/>
      <c r="B32" s="3786"/>
      <c r="C32" s="3102" t="s">
        <v>2459</v>
      </c>
      <c r="D32" s="3103"/>
      <c r="E32" s="3104">
        <v>0.7</v>
      </c>
      <c r="F32" s="3101" t="s">
        <v>2460</v>
      </c>
      <c r="G32" s="3101"/>
    </row>
    <row r="33" spans="1:7" ht="19.5" customHeight="1">
      <c r="A33" s="3789"/>
      <c r="B33" s="3786"/>
      <c r="C33" s="3102" t="s">
        <v>2461</v>
      </c>
      <c r="D33" s="3103"/>
      <c r="E33" s="3104">
        <v>0.8</v>
      </c>
      <c r="F33" s="3101" t="s">
        <v>2462</v>
      </c>
      <c r="G33" s="3101"/>
    </row>
    <row r="34" spans="1:7" ht="19.5" customHeight="1">
      <c r="A34" s="3789"/>
      <c r="B34" s="3786"/>
      <c r="C34" s="3102" t="s">
        <v>2463</v>
      </c>
      <c r="D34" s="3103"/>
      <c r="E34" s="3104">
        <v>0.6</v>
      </c>
      <c r="F34" s="3101" t="s">
        <v>2464</v>
      </c>
      <c r="G34" s="3101"/>
    </row>
    <row r="35" spans="1:7" ht="19.5" customHeight="1">
      <c r="A35" s="3789"/>
      <c r="B35" s="3786"/>
      <c r="C35" s="3102" t="s">
        <v>2465</v>
      </c>
      <c r="D35" s="3103"/>
      <c r="E35" s="3104">
        <v>0.2</v>
      </c>
      <c r="F35" s="3101" t="s">
        <v>2466</v>
      </c>
      <c r="G35" s="3101"/>
    </row>
    <row r="36" spans="1:7" ht="19.5" customHeight="1">
      <c r="A36" s="3789"/>
      <c r="B36" s="3786"/>
      <c r="C36" s="3102" t="s">
        <v>2467</v>
      </c>
      <c r="D36" s="3103"/>
      <c r="E36" s="3104">
        <v>0.2</v>
      </c>
      <c r="F36" s="3101" t="s">
        <v>2468</v>
      </c>
      <c r="G36" s="3101"/>
    </row>
    <row r="37" spans="1:7" ht="19.5" customHeight="1">
      <c r="A37" s="3789"/>
      <c r="B37" s="3791" t="s">
        <v>2629</v>
      </c>
      <c r="C37" s="3102" t="s">
        <v>2469</v>
      </c>
      <c r="D37" s="3103"/>
      <c r="E37" s="3104">
        <v>0.6</v>
      </c>
      <c r="F37" s="3101" t="s">
        <v>2470</v>
      </c>
      <c r="G37" s="3101"/>
    </row>
    <row r="38" spans="1:7" ht="19.5" customHeight="1">
      <c r="A38" s="3789"/>
      <c r="B38" s="3786"/>
      <c r="C38" s="3102" t="s">
        <v>2471</v>
      </c>
      <c r="D38" s="3103"/>
      <c r="E38" s="3104">
        <v>0.6</v>
      </c>
      <c r="F38" s="3101" t="s">
        <v>2472</v>
      </c>
      <c r="G38" s="3101"/>
    </row>
    <row r="39" spans="1:7" ht="19.5" customHeight="1" thickBot="1">
      <c r="A39" s="3790"/>
      <c r="B39" s="3787"/>
      <c r="C39" s="3105" t="s">
        <v>2473</v>
      </c>
      <c r="D39" s="3106"/>
      <c r="E39" s="3107">
        <v>0.6</v>
      </c>
      <c r="F39" s="3101" t="s">
        <v>2474</v>
      </c>
      <c r="G39" s="3101"/>
    </row>
    <row r="40" spans="1:7" ht="19.5" customHeight="1" thickBot="1">
      <c r="A40" s="3108" t="s">
        <v>2606</v>
      </c>
      <c r="B40" s="3109" t="s">
        <v>2606</v>
      </c>
      <c r="C40" s="3110" t="s">
        <v>2630</v>
      </c>
      <c r="D40" s="3111"/>
      <c r="E40" s="3112">
        <v>1</v>
      </c>
      <c r="F40" s="3101" t="s">
        <v>2475</v>
      </c>
      <c r="G40" s="3101"/>
    </row>
    <row r="41" spans="1:7" ht="19.5" customHeight="1">
      <c r="A41" s="3792" t="s">
        <v>2607</v>
      </c>
      <c r="B41" s="3785" t="s">
        <v>2631</v>
      </c>
      <c r="C41" s="3098" t="s">
        <v>2476</v>
      </c>
      <c r="D41" s="3099"/>
      <c r="E41" s="3100">
        <v>1</v>
      </c>
      <c r="F41" s="3101" t="s">
        <v>2477</v>
      </c>
      <c r="G41" s="3101"/>
    </row>
    <row r="42" spans="1:7" ht="19.5" customHeight="1">
      <c r="A42" s="3793"/>
      <c r="B42" s="3786"/>
      <c r="C42" s="3102" t="s">
        <v>2478</v>
      </c>
      <c r="D42" s="3103"/>
      <c r="E42" s="3104">
        <v>1</v>
      </c>
      <c r="F42" s="3101" t="s">
        <v>2479</v>
      </c>
      <c r="G42" s="3101"/>
    </row>
    <row r="43" spans="1:7" ht="19.5" customHeight="1">
      <c r="A43" s="3793"/>
      <c r="B43" s="3795"/>
      <c r="C43" s="3102" t="s">
        <v>2480</v>
      </c>
      <c r="D43" s="3103"/>
      <c r="E43" s="3104">
        <v>1.5</v>
      </c>
      <c r="F43" s="3101" t="s">
        <v>2481</v>
      </c>
      <c r="G43" s="3101"/>
    </row>
    <row r="44" spans="1:7" ht="19.5" customHeight="1">
      <c r="A44" s="3793"/>
      <c r="B44" s="3113" t="s">
        <v>2632</v>
      </c>
      <c r="C44" s="3102" t="s">
        <v>2633</v>
      </c>
      <c r="D44" s="3103"/>
      <c r="E44" s="3104">
        <v>2</v>
      </c>
      <c r="F44" s="3101" t="s">
        <v>2482</v>
      </c>
      <c r="G44" s="3101"/>
    </row>
    <row r="45" spans="1:7" ht="19.5" customHeight="1">
      <c r="A45" s="3793"/>
      <c r="B45" s="3791" t="s">
        <v>2634</v>
      </c>
      <c r="C45" s="3102" t="s">
        <v>2483</v>
      </c>
      <c r="D45" s="3103"/>
      <c r="E45" s="3104">
        <v>1</v>
      </c>
      <c r="F45" s="3101" t="s">
        <v>2484</v>
      </c>
      <c r="G45" s="3101"/>
    </row>
    <row r="46" spans="1:7" ht="19.5" customHeight="1">
      <c r="A46" s="3793"/>
      <c r="B46" s="3786"/>
      <c r="C46" s="3102" t="s">
        <v>2485</v>
      </c>
      <c r="D46" s="3103"/>
      <c r="E46" s="3104">
        <v>1</v>
      </c>
      <c r="F46" s="3101" t="s">
        <v>2486</v>
      </c>
      <c r="G46" s="3101"/>
    </row>
    <row r="47" spans="1:7" ht="19.5" customHeight="1">
      <c r="A47" s="3793"/>
      <c r="B47" s="3786"/>
      <c r="C47" s="3102" t="s">
        <v>2487</v>
      </c>
      <c r="D47" s="3103"/>
      <c r="E47" s="3104">
        <v>1</v>
      </c>
      <c r="F47" s="3101" t="s">
        <v>2488</v>
      </c>
      <c r="G47" s="3101"/>
    </row>
    <row r="48" spans="1:7" ht="19.5" customHeight="1">
      <c r="A48" s="3793"/>
      <c r="B48" s="3786"/>
      <c r="C48" s="3102" t="s">
        <v>2489</v>
      </c>
      <c r="D48" s="3103"/>
      <c r="E48" s="3104">
        <v>1</v>
      </c>
      <c r="F48" s="3101" t="s">
        <v>2490</v>
      </c>
      <c r="G48" s="3101"/>
    </row>
    <row r="49" spans="1:7" ht="19.5" customHeight="1">
      <c r="A49" s="3793"/>
      <c r="B49" s="3786"/>
      <c r="C49" s="3102" t="s">
        <v>2491</v>
      </c>
      <c r="D49" s="3103"/>
      <c r="E49" s="3104">
        <v>1</v>
      </c>
      <c r="F49" s="3101" t="s">
        <v>2492</v>
      </c>
      <c r="G49" s="3101"/>
    </row>
    <row r="50" spans="1:7" ht="19.5" customHeight="1">
      <c r="A50" s="3793"/>
      <c r="B50" s="3786"/>
      <c r="C50" s="3102" t="s">
        <v>2493</v>
      </c>
      <c r="D50" s="3103"/>
      <c r="E50" s="3104">
        <v>1</v>
      </c>
      <c r="F50" s="3101" t="s">
        <v>2494</v>
      </c>
      <c r="G50" s="3101"/>
    </row>
    <row r="51" spans="1:7" ht="19.5" customHeight="1" thickBot="1">
      <c r="A51" s="3794"/>
      <c r="B51" s="3787"/>
      <c r="C51" s="3105" t="s">
        <v>2495</v>
      </c>
      <c r="D51" s="3106"/>
      <c r="E51" s="3107">
        <v>1</v>
      </c>
      <c r="F51" s="3101" t="s">
        <v>2496</v>
      </c>
      <c r="G51" s="3101"/>
    </row>
    <row r="52" spans="1:7" ht="19.5" customHeight="1">
      <c r="A52" s="3114"/>
      <c r="B52" s="3114"/>
      <c r="C52" s="3114"/>
      <c r="D52" s="3114"/>
      <c r="E52" s="3114"/>
      <c r="F52" s="3114"/>
      <c r="G52" s="3114"/>
    </row>
    <row r="54" spans="1:7" ht="19.5" customHeight="1">
      <c r="A54" s="3115"/>
      <c r="B54" s="3087" t="s">
        <v>2635</v>
      </c>
      <c r="C54" s="3087" t="s">
        <v>2635</v>
      </c>
      <c r="D54" s="3087" t="s">
        <v>2635</v>
      </c>
      <c r="E54" s="3090" t="s">
        <v>2635</v>
      </c>
      <c r="F54" s="3090" t="s">
        <v>2636</v>
      </c>
      <c r="G54" s="3090" t="s">
        <v>2637</v>
      </c>
    </row>
    <row r="55" spans="1:7" ht="19.5" customHeight="1">
      <c r="A55" s="3116"/>
      <c r="B55" s="3090" t="s">
        <v>2604</v>
      </c>
      <c r="C55" s="3090" t="s">
        <v>2604</v>
      </c>
      <c r="D55" s="3090" t="s">
        <v>2604</v>
      </c>
      <c r="E55" s="3087" t="s">
        <v>2605</v>
      </c>
      <c r="F55" s="3087" t="s">
        <v>2607</v>
      </c>
      <c r="G55" s="3087" t="s">
        <v>2638</v>
      </c>
    </row>
    <row r="56" spans="1:7" ht="19.5" customHeight="1">
      <c r="A56" s="3117"/>
      <c r="B56" s="3087">
        <v>1</v>
      </c>
      <c r="C56" s="3087">
        <v>2</v>
      </c>
      <c r="D56" s="3087">
        <v>3</v>
      </c>
      <c r="E56" s="3118" t="s">
        <v>2639</v>
      </c>
      <c r="F56" s="3118" t="s">
        <v>2639</v>
      </c>
      <c r="G56" s="3118" t="s">
        <v>2639</v>
      </c>
    </row>
    <row r="57" spans="1:7" ht="19.5" customHeight="1">
      <c r="A57" s="3119" t="s">
        <v>2592</v>
      </c>
      <c r="B57" s="3087">
        <v>0.7</v>
      </c>
      <c r="C57" s="3087">
        <v>0.4</v>
      </c>
      <c r="D57" s="3087">
        <v>0.3</v>
      </c>
      <c r="E57" s="3118">
        <v>0.3</v>
      </c>
      <c r="F57" s="3087">
        <v>0.3</v>
      </c>
      <c r="G57" s="3087">
        <v>0.2</v>
      </c>
    </row>
    <row r="58" spans="1:7" ht="19.5" customHeight="1">
      <c r="A58" s="3119" t="s">
        <v>2593</v>
      </c>
      <c r="B58" s="3087">
        <v>0.7</v>
      </c>
      <c r="C58" s="3087">
        <v>0.4</v>
      </c>
      <c r="D58" s="3087">
        <v>0.3</v>
      </c>
      <c r="E58" s="3087">
        <v>0.3</v>
      </c>
      <c r="F58" s="3087">
        <v>0.3</v>
      </c>
      <c r="G58" s="3087">
        <v>0.2</v>
      </c>
    </row>
    <row r="59" spans="1:7" ht="19.5" customHeight="1">
      <c r="A59" s="3119" t="s">
        <v>2594</v>
      </c>
      <c r="B59" s="3087">
        <v>0.6</v>
      </c>
      <c r="C59" s="3087">
        <v>0.3</v>
      </c>
      <c r="D59" s="3087">
        <v>0.25</v>
      </c>
      <c r="E59" s="3087">
        <v>0.25</v>
      </c>
      <c r="F59" s="3087">
        <v>0.25</v>
      </c>
      <c r="G59" s="3087">
        <v>0.15</v>
      </c>
    </row>
    <row r="60" spans="1:7" ht="19.5" customHeight="1">
      <c r="A60" s="3119" t="s">
        <v>2595</v>
      </c>
      <c r="B60" s="3087">
        <v>0.6</v>
      </c>
      <c r="C60" s="3087">
        <v>0.3</v>
      </c>
      <c r="D60" s="3087">
        <v>0.25</v>
      </c>
      <c r="E60" s="3087">
        <v>0.25</v>
      </c>
      <c r="F60" s="3087">
        <v>0.25</v>
      </c>
      <c r="G60" s="3087">
        <v>0.15</v>
      </c>
    </row>
    <row r="61" spans="1:7" ht="19.5" customHeight="1">
      <c r="A61" s="3119" t="s">
        <v>2596</v>
      </c>
      <c r="B61" s="3087">
        <v>0.6</v>
      </c>
      <c r="C61" s="3087">
        <v>0.3</v>
      </c>
      <c r="D61" s="3087">
        <v>0.25</v>
      </c>
      <c r="E61" s="3087">
        <v>0.25</v>
      </c>
      <c r="F61" s="3087">
        <v>0.25</v>
      </c>
      <c r="G61" s="3087">
        <v>0.15</v>
      </c>
    </row>
    <row r="62" spans="1:7" ht="19.5" customHeight="1">
      <c r="A62" s="3119" t="s">
        <v>2597</v>
      </c>
      <c r="B62" s="3087">
        <v>0.6</v>
      </c>
      <c r="C62" s="3087">
        <v>0.3</v>
      </c>
      <c r="D62" s="3087">
        <v>0.25</v>
      </c>
      <c r="E62" s="3087">
        <v>0.25</v>
      </c>
      <c r="F62" s="3087">
        <v>0.25</v>
      </c>
      <c r="G62" s="3087">
        <v>0.15</v>
      </c>
    </row>
    <row r="63" spans="1:7" ht="19.5" customHeight="1">
      <c r="A63" s="3119" t="s">
        <v>2598</v>
      </c>
      <c r="B63" s="3087">
        <v>0.6</v>
      </c>
      <c r="C63" s="3087">
        <v>0.3</v>
      </c>
      <c r="D63" s="3087">
        <v>0.25</v>
      </c>
      <c r="E63" s="3087">
        <v>0.25</v>
      </c>
      <c r="F63" s="3087">
        <v>0.25</v>
      </c>
      <c r="G63" s="3087">
        <v>0.15</v>
      </c>
    </row>
    <row r="64" spans="1:7" ht="19.5" customHeight="1">
      <c r="A64" s="3119" t="s">
        <v>2599</v>
      </c>
      <c r="B64" s="3087">
        <v>0.5</v>
      </c>
      <c r="C64" s="3087">
        <v>0.2</v>
      </c>
      <c r="D64" s="3087">
        <v>0.2</v>
      </c>
      <c r="E64" s="3087">
        <v>0.2</v>
      </c>
      <c r="F64" s="3087">
        <v>0.2</v>
      </c>
      <c r="G64" s="3087">
        <v>0.1</v>
      </c>
    </row>
    <row r="65" spans="1:7" ht="19.5" customHeight="1">
      <c r="A65" s="3119" t="s">
        <v>2600</v>
      </c>
      <c r="B65" s="3087">
        <v>0.5</v>
      </c>
      <c r="C65" s="3087">
        <v>0.2</v>
      </c>
      <c r="D65" s="3087">
        <v>0.2</v>
      </c>
      <c r="E65" s="3087">
        <v>0.2</v>
      </c>
      <c r="F65" s="3087">
        <v>0.2</v>
      </c>
      <c r="G65" s="3087">
        <v>0.1</v>
      </c>
    </row>
    <row r="66" spans="1:7" ht="19.5" customHeight="1">
      <c r="A66" s="3119" t="s">
        <v>2601</v>
      </c>
      <c r="B66" s="3087">
        <v>0.5</v>
      </c>
      <c r="C66" s="3087">
        <v>0.2</v>
      </c>
      <c r="D66" s="3087">
        <v>0.2</v>
      </c>
      <c r="E66" s="3087">
        <v>0.2</v>
      </c>
      <c r="F66" s="3087">
        <v>0.2</v>
      </c>
      <c r="G66" s="3087">
        <v>0.1</v>
      </c>
    </row>
    <row r="67" spans="1:7" ht="19.5" customHeight="1">
      <c r="A67" s="3119" t="s">
        <v>2602</v>
      </c>
      <c r="B67" s="3087">
        <v>0.5</v>
      </c>
      <c r="C67" s="3087">
        <v>0.2</v>
      </c>
      <c r="D67" s="3087">
        <v>0.2</v>
      </c>
      <c r="E67" s="3087">
        <v>0.2</v>
      </c>
      <c r="F67" s="3087">
        <v>0.2</v>
      </c>
      <c r="G67" s="3087">
        <v>0.1</v>
      </c>
    </row>
    <row r="68" spans="1:7" ht="19.5" customHeight="1">
      <c r="A68" s="3119" t="s">
        <v>2603</v>
      </c>
      <c r="B68" s="3087">
        <v>0.5</v>
      </c>
      <c r="C68" s="3087">
        <v>0.2</v>
      </c>
      <c r="D68" s="3087">
        <v>0.2</v>
      </c>
      <c r="E68" s="3087">
        <v>0.2</v>
      </c>
      <c r="F68" s="3087">
        <v>0.2</v>
      </c>
      <c r="G68" s="3087">
        <v>0.1</v>
      </c>
    </row>
    <row r="70" spans="1:7" ht="19.5" customHeight="1">
      <c r="A70" s="3120"/>
      <c r="B70" s="3121"/>
      <c r="C70" s="3121"/>
      <c r="D70" s="3121" t="s">
        <v>2640</v>
      </c>
      <c r="E70" s="3121"/>
      <c r="F70" s="3121"/>
    </row>
    <row r="71" spans="1:7" ht="19.5" customHeight="1">
      <c r="A71" s="3113" t="s">
        <v>2641</v>
      </c>
      <c r="B71" s="3113" t="s">
        <v>2642</v>
      </c>
      <c r="C71" s="3113" t="s">
        <v>2643</v>
      </c>
      <c r="D71" s="3113" t="s">
        <v>2644</v>
      </c>
      <c r="E71" s="3113" t="s">
        <v>2645</v>
      </c>
      <c r="F71" s="3113" t="s">
        <v>2646</v>
      </c>
    </row>
    <row r="72" spans="1:7" ht="13.5">
      <c r="A72" s="3113"/>
      <c r="B72" s="3113"/>
      <c r="C72" s="3113" t="s">
        <v>2647</v>
      </c>
      <c r="D72" s="3113"/>
      <c r="E72" s="3113" t="s">
        <v>2618</v>
      </c>
      <c r="F72" s="3113" t="s">
        <v>2618</v>
      </c>
    </row>
    <row r="73" spans="1:7" ht="13.5">
      <c r="A73" s="3113">
        <v>1</v>
      </c>
      <c r="B73" s="3791" t="s">
        <v>2648</v>
      </c>
      <c r="C73" s="3087" t="s">
        <v>2649</v>
      </c>
      <c r="D73" s="3087" t="s">
        <v>2650</v>
      </c>
      <c r="E73" s="3113">
        <v>0.2</v>
      </c>
      <c r="F73" s="3113">
        <v>25</v>
      </c>
    </row>
    <row r="74" spans="1:7" ht="24">
      <c r="A74" s="3113">
        <v>2</v>
      </c>
      <c r="B74" s="3786"/>
      <c r="C74" s="3087" t="s">
        <v>2651</v>
      </c>
      <c r="D74" s="3087" t="s">
        <v>2652</v>
      </c>
      <c r="E74" s="3113">
        <v>0.2</v>
      </c>
      <c r="F74" s="3113">
        <v>25</v>
      </c>
    </row>
    <row r="75" spans="1:7" ht="24">
      <c r="A75" s="3113">
        <v>3</v>
      </c>
      <c r="B75" s="3786"/>
      <c r="C75" s="3087" t="s">
        <v>2653</v>
      </c>
      <c r="D75" s="3087" t="s">
        <v>2654</v>
      </c>
      <c r="E75" s="3113">
        <v>0.2</v>
      </c>
      <c r="F75" s="3113">
        <v>25</v>
      </c>
    </row>
    <row r="76" spans="1:7" ht="13.5">
      <c r="A76" s="3113">
        <v>4</v>
      </c>
      <c r="B76" s="3786"/>
      <c r="C76" s="3087" t="s">
        <v>2655</v>
      </c>
      <c r="D76" s="3087" t="s">
        <v>2656</v>
      </c>
      <c r="E76" s="3113">
        <v>0.15</v>
      </c>
      <c r="F76" s="3113">
        <v>20</v>
      </c>
    </row>
    <row r="77" spans="1:7" ht="24">
      <c r="A77" s="3113">
        <v>5</v>
      </c>
      <c r="B77" s="3786"/>
      <c r="C77" s="3087" t="s">
        <v>2657</v>
      </c>
      <c r="D77" s="3087" t="s">
        <v>2658</v>
      </c>
      <c r="E77" s="3113">
        <v>0.15</v>
      </c>
      <c r="F77" s="3113">
        <v>20</v>
      </c>
    </row>
    <row r="78" spans="1:7" ht="24">
      <c r="A78" s="3113">
        <v>6</v>
      </c>
      <c r="B78" s="3786"/>
      <c r="C78" s="3087" t="s">
        <v>2659</v>
      </c>
      <c r="D78" s="3087" t="s">
        <v>2660</v>
      </c>
      <c r="E78" s="3113">
        <v>0.15</v>
      </c>
      <c r="F78" s="3113">
        <v>20</v>
      </c>
    </row>
    <row r="79" spans="1:7" ht="24">
      <c r="A79" s="3113">
        <v>7</v>
      </c>
      <c r="B79" s="3786"/>
      <c r="C79" s="3087" t="s">
        <v>2661</v>
      </c>
      <c r="D79" s="3087" t="s">
        <v>2662</v>
      </c>
      <c r="E79" s="3113">
        <v>0.15</v>
      </c>
      <c r="F79" s="3113">
        <v>20</v>
      </c>
    </row>
    <row r="80" spans="1:7" ht="24">
      <c r="A80" s="3113">
        <v>8</v>
      </c>
      <c r="B80" s="3786"/>
      <c r="C80" s="3087" t="s">
        <v>2663</v>
      </c>
      <c r="D80" s="3087" t="s">
        <v>2664</v>
      </c>
      <c r="E80" s="3113">
        <v>0.1</v>
      </c>
      <c r="F80" s="3113">
        <v>15</v>
      </c>
    </row>
    <row r="81" spans="1:6" ht="24">
      <c r="A81" s="3113">
        <v>9</v>
      </c>
      <c r="B81" s="3786"/>
      <c r="C81" s="3087" t="s">
        <v>2665</v>
      </c>
      <c r="D81" s="3087" t="s">
        <v>2666</v>
      </c>
      <c r="E81" s="3113">
        <v>0.1</v>
      </c>
      <c r="F81" s="3113">
        <v>15</v>
      </c>
    </row>
    <row r="82" spans="1:6" ht="24">
      <c r="A82" s="3113">
        <v>10</v>
      </c>
      <c r="B82" s="3786"/>
      <c r="C82" s="3087" t="s">
        <v>2667</v>
      </c>
      <c r="D82" s="3087" t="s">
        <v>2668</v>
      </c>
      <c r="E82" s="3113">
        <v>0.1</v>
      </c>
      <c r="F82" s="3113">
        <v>15</v>
      </c>
    </row>
    <row r="83" spans="1:6" ht="24">
      <c r="A83" s="3113">
        <v>11</v>
      </c>
      <c r="B83" s="3786"/>
      <c r="C83" s="3087" t="s">
        <v>2669</v>
      </c>
      <c r="D83" s="3087" t="s">
        <v>2670</v>
      </c>
      <c r="E83" s="3113">
        <v>0.1</v>
      </c>
      <c r="F83" s="3113">
        <v>15</v>
      </c>
    </row>
    <row r="84" spans="1:6" ht="24">
      <c r="A84" s="3113">
        <v>12</v>
      </c>
      <c r="B84" s="3786"/>
      <c r="C84" s="3087" t="s">
        <v>2671</v>
      </c>
      <c r="D84" s="3087" t="s">
        <v>2672</v>
      </c>
      <c r="E84" s="3113">
        <v>0.1</v>
      </c>
      <c r="F84" s="3113">
        <v>15</v>
      </c>
    </row>
    <row r="85" spans="1:6" ht="13.5">
      <c r="A85" s="3113">
        <v>13</v>
      </c>
      <c r="B85" s="3786"/>
      <c r="C85" s="3087" t="s">
        <v>2673</v>
      </c>
      <c r="D85" s="3087" t="s">
        <v>2674</v>
      </c>
      <c r="E85" s="3113">
        <v>0.1</v>
      </c>
      <c r="F85" s="3113">
        <v>15</v>
      </c>
    </row>
    <row r="86" spans="1:6" ht="13.5">
      <c r="A86" s="3113">
        <v>14</v>
      </c>
      <c r="B86" s="3786"/>
      <c r="C86" s="3087" t="s">
        <v>2675</v>
      </c>
      <c r="D86" s="3087" t="s">
        <v>2676</v>
      </c>
      <c r="E86" s="3113">
        <v>0.1</v>
      </c>
      <c r="F86" s="3113">
        <v>15</v>
      </c>
    </row>
    <row r="87" spans="1:6" ht="13.5">
      <c r="A87" s="3113">
        <v>15</v>
      </c>
      <c r="B87" s="3786"/>
      <c r="C87" s="3087" t="s">
        <v>2677</v>
      </c>
      <c r="D87" s="3087" t="s">
        <v>2678</v>
      </c>
      <c r="E87" s="3113">
        <v>0.1</v>
      </c>
      <c r="F87" s="3113">
        <v>15</v>
      </c>
    </row>
    <row r="88" spans="1:6" ht="24">
      <c r="A88" s="3113">
        <v>16</v>
      </c>
      <c r="B88" s="3786"/>
      <c r="C88" s="3087" t="s">
        <v>2679</v>
      </c>
      <c r="D88" s="3087" t="s">
        <v>2680</v>
      </c>
      <c r="E88" s="3113">
        <v>0.1</v>
      </c>
      <c r="F88" s="3113">
        <v>15</v>
      </c>
    </row>
    <row r="89" spans="1:6" ht="24">
      <c r="A89" s="3113">
        <v>17</v>
      </c>
      <c r="B89" s="3795"/>
      <c r="C89" s="3087" t="s">
        <v>2681</v>
      </c>
      <c r="D89" s="3087" t="s">
        <v>2682</v>
      </c>
      <c r="E89" s="3113">
        <v>0.1</v>
      </c>
      <c r="F89" s="3113">
        <v>15</v>
      </c>
    </row>
    <row r="90" spans="1:6" ht="13.5">
      <c r="A90" s="3113">
        <v>18</v>
      </c>
      <c r="B90" s="3791" t="s">
        <v>2683</v>
      </c>
      <c r="C90" s="3087" t="s">
        <v>2684</v>
      </c>
      <c r="D90" s="3087" t="s">
        <v>2685</v>
      </c>
      <c r="E90" s="3113">
        <v>0.2</v>
      </c>
      <c r="F90" s="3113">
        <v>25</v>
      </c>
    </row>
    <row r="91" spans="1:6" ht="24">
      <c r="A91" s="3113">
        <v>19</v>
      </c>
      <c r="B91" s="3786"/>
      <c r="C91" s="3087" t="s">
        <v>2686</v>
      </c>
      <c r="D91" s="3087" t="s">
        <v>2687</v>
      </c>
      <c r="E91" s="3113">
        <v>0.2</v>
      </c>
      <c r="F91" s="3113">
        <v>25</v>
      </c>
    </row>
    <row r="92" spans="1:6" ht="13.5">
      <c r="A92" s="3113">
        <v>20</v>
      </c>
      <c r="B92" s="3786"/>
      <c r="C92" s="3087" t="s">
        <v>2688</v>
      </c>
      <c r="D92" s="3087" t="s">
        <v>2689</v>
      </c>
      <c r="E92" s="3113">
        <v>0.15</v>
      </c>
      <c r="F92" s="3113">
        <v>20</v>
      </c>
    </row>
    <row r="93" spans="1:6" ht="13.5">
      <c r="A93" s="3113">
        <v>21</v>
      </c>
      <c r="B93" s="3786"/>
      <c r="C93" s="3087" t="s">
        <v>2690</v>
      </c>
      <c r="D93" s="3087" t="s">
        <v>2691</v>
      </c>
      <c r="E93" s="3113">
        <v>0.15</v>
      </c>
      <c r="F93" s="3113">
        <v>20</v>
      </c>
    </row>
    <row r="94" spans="1:6" ht="13.5">
      <c r="A94" s="3113">
        <v>22</v>
      </c>
      <c r="B94" s="3786"/>
      <c r="C94" s="3087" t="s">
        <v>2692</v>
      </c>
      <c r="D94" s="3087" t="s">
        <v>2693</v>
      </c>
      <c r="E94" s="3113">
        <v>0.15</v>
      </c>
      <c r="F94" s="3113">
        <v>20</v>
      </c>
    </row>
    <row r="95" spans="1:6" ht="36">
      <c r="A95" s="3113">
        <v>23</v>
      </c>
      <c r="B95" s="3786"/>
      <c r="C95" s="3087" t="s">
        <v>2694</v>
      </c>
      <c r="D95" s="3087" t="s">
        <v>2695</v>
      </c>
      <c r="E95" s="3113">
        <v>0.15</v>
      </c>
      <c r="F95" s="3113">
        <v>20</v>
      </c>
    </row>
    <row r="96" spans="1:6" ht="13.5">
      <c r="A96" s="3113">
        <v>24</v>
      </c>
      <c r="B96" s="3786"/>
      <c r="C96" s="3087" t="s">
        <v>2696</v>
      </c>
      <c r="D96" s="3087" t="s">
        <v>2697</v>
      </c>
      <c r="E96" s="3113">
        <v>0.1</v>
      </c>
      <c r="F96" s="3113">
        <v>15</v>
      </c>
    </row>
    <row r="97" spans="1:6" ht="13.5">
      <c r="A97" s="3113">
        <v>25</v>
      </c>
      <c r="B97" s="3786"/>
      <c r="C97" s="3087" t="s">
        <v>2698</v>
      </c>
      <c r="D97" s="3087" t="s">
        <v>2699</v>
      </c>
      <c r="E97" s="3113">
        <v>0.1</v>
      </c>
      <c r="F97" s="3113">
        <v>15</v>
      </c>
    </row>
    <row r="98" spans="1:6" ht="24">
      <c r="A98" s="3113">
        <v>26</v>
      </c>
      <c r="B98" s="3786"/>
      <c r="C98" s="3087" t="s">
        <v>2700</v>
      </c>
      <c r="D98" s="3087" t="s">
        <v>2701</v>
      </c>
      <c r="E98" s="3113">
        <v>0.1</v>
      </c>
      <c r="F98" s="3113">
        <v>15</v>
      </c>
    </row>
    <row r="99" spans="1:6" ht="24">
      <c r="A99" s="3113">
        <v>27</v>
      </c>
      <c r="B99" s="3786"/>
      <c r="C99" s="3087" t="s">
        <v>2702</v>
      </c>
      <c r="D99" s="3087" t="s">
        <v>2703</v>
      </c>
      <c r="E99" s="3113">
        <v>0.1</v>
      </c>
      <c r="F99" s="3113">
        <v>15</v>
      </c>
    </row>
    <row r="100" spans="1:6" ht="13.5">
      <c r="A100" s="3113">
        <v>28</v>
      </c>
      <c r="B100" s="3786"/>
      <c r="C100" s="3087" t="s">
        <v>2704</v>
      </c>
      <c r="D100" s="3087" t="s">
        <v>2705</v>
      </c>
      <c r="E100" s="3113">
        <v>0.1</v>
      </c>
      <c r="F100" s="3113">
        <v>15</v>
      </c>
    </row>
    <row r="101" spans="1:6" ht="13.5">
      <c r="A101" s="3113">
        <v>29</v>
      </c>
      <c r="B101" s="3786"/>
      <c r="C101" s="3087" t="s">
        <v>2706</v>
      </c>
      <c r="D101" s="3087" t="s">
        <v>2707</v>
      </c>
      <c r="E101" s="3113">
        <v>0.1</v>
      </c>
      <c r="F101" s="3113">
        <v>15</v>
      </c>
    </row>
    <row r="102" spans="1:6" ht="13.5">
      <c r="A102" s="3113">
        <v>30</v>
      </c>
      <c r="B102" s="3786"/>
      <c r="C102" s="3087" t="s">
        <v>2708</v>
      </c>
      <c r="D102" s="3087" t="s">
        <v>2709</v>
      </c>
      <c r="E102" s="3113">
        <v>0.1</v>
      </c>
      <c r="F102" s="3113">
        <v>15</v>
      </c>
    </row>
    <row r="103" spans="1:6" ht="24">
      <c r="A103" s="3113">
        <v>31</v>
      </c>
      <c r="B103" s="3786"/>
      <c r="C103" s="3087" t="s">
        <v>2710</v>
      </c>
      <c r="D103" s="3087" t="s">
        <v>2711</v>
      </c>
      <c r="E103" s="3113">
        <v>0.1</v>
      </c>
      <c r="F103" s="3113">
        <v>15</v>
      </c>
    </row>
    <row r="104" spans="1:6" ht="24">
      <c r="A104" s="3113">
        <v>32</v>
      </c>
      <c r="B104" s="3786"/>
      <c r="C104" s="3087" t="s">
        <v>2712</v>
      </c>
      <c r="D104" s="3087" t="s">
        <v>2713</v>
      </c>
      <c r="E104" s="3113">
        <v>0.1</v>
      </c>
      <c r="F104" s="3113">
        <v>15</v>
      </c>
    </row>
    <row r="105" spans="1:6" ht="24">
      <c r="A105" s="3113">
        <v>33</v>
      </c>
      <c r="B105" s="3786"/>
      <c r="C105" s="3087" t="s">
        <v>2714</v>
      </c>
      <c r="D105" s="3087" t="s">
        <v>2715</v>
      </c>
      <c r="E105" s="3113">
        <v>0.1</v>
      </c>
      <c r="F105" s="3113">
        <v>15</v>
      </c>
    </row>
    <row r="106" spans="1:6" ht="24">
      <c r="A106" s="3113">
        <v>34</v>
      </c>
      <c r="B106" s="3795"/>
      <c r="C106" s="3087" t="s">
        <v>2716</v>
      </c>
      <c r="D106" s="3087" t="s">
        <v>2717</v>
      </c>
      <c r="E106" s="3113">
        <v>0.1</v>
      </c>
      <c r="F106" s="3113">
        <v>15</v>
      </c>
    </row>
    <row r="107" spans="1:6" ht="24">
      <c r="A107" s="3113">
        <v>35</v>
      </c>
      <c r="B107" s="3791" t="s">
        <v>2718</v>
      </c>
      <c r="C107" s="3113" t="s">
        <v>2719</v>
      </c>
      <c r="D107" s="3087" t="s">
        <v>2720</v>
      </c>
      <c r="E107" s="3113">
        <v>0.15</v>
      </c>
      <c r="F107" s="3113">
        <v>20</v>
      </c>
    </row>
    <row r="108" spans="1:6" ht="13.5">
      <c r="A108" s="3113">
        <v>36</v>
      </c>
      <c r="B108" s="3786"/>
      <c r="C108" s="3113" t="s">
        <v>2721</v>
      </c>
      <c r="D108" s="3087" t="s">
        <v>2722</v>
      </c>
      <c r="E108" s="3113">
        <v>0.15</v>
      </c>
      <c r="F108" s="3113">
        <v>20</v>
      </c>
    </row>
    <row r="109" spans="1:6" ht="13.5">
      <c r="A109" s="3113">
        <v>37</v>
      </c>
      <c r="B109" s="3786"/>
      <c r="C109" s="3113" t="s">
        <v>2723</v>
      </c>
      <c r="D109" s="3087" t="s">
        <v>2724</v>
      </c>
      <c r="E109" s="3113">
        <v>0.15</v>
      </c>
      <c r="F109" s="3113">
        <v>20</v>
      </c>
    </row>
    <row r="110" spans="1:6" ht="13.5">
      <c r="A110" s="3113">
        <v>38</v>
      </c>
      <c r="B110" s="3786"/>
      <c r="C110" s="3113" t="s">
        <v>2725</v>
      </c>
      <c r="D110" s="3087" t="s">
        <v>2726</v>
      </c>
      <c r="E110" s="3113">
        <v>0.1</v>
      </c>
      <c r="F110" s="3113">
        <v>15</v>
      </c>
    </row>
    <row r="111" spans="1:6" ht="24">
      <c r="A111" s="3113">
        <v>39</v>
      </c>
      <c r="B111" s="3786"/>
      <c r="C111" s="3113" t="s">
        <v>2727</v>
      </c>
      <c r="D111" s="3087" t="s">
        <v>2728</v>
      </c>
      <c r="E111" s="3113">
        <v>0.1</v>
      </c>
      <c r="F111" s="3113">
        <v>15</v>
      </c>
    </row>
    <row r="112" spans="1:6" ht="24">
      <c r="A112" s="3113">
        <v>40</v>
      </c>
      <c r="B112" s="3795"/>
      <c r="C112" s="3113" t="s">
        <v>2729</v>
      </c>
      <c r="D112" s="3087" t="s">
        <v>2730</v>
      </c>
      <c r="E112" s="3113">
        <v>0.1</v>
      </c>
      <c r="F112" s="3113">
        <v>15</v>
      </c>
    </row>
    <row r="113" spans="1:6" ht="13.5">
      <c r="A113" s="3113">
        <v>41</v>
      </c>
      <c r="B113" s="3796" t="s">
        <v>2731</v>
      </c>
      <c r="C113" s="3113" t="s">
        <v>2732</v>
      </c>
      <c r="D113" s="3087" t="s">
        <v>2733</v>
      </c>
      <c r="E113" s="3113">
        <v>0.1</v>
      </c>
      <c r="F113" s="3113">
        <v>15</v>
      </c>
    </row>
    <row r="114" spans="1:6" ht="13.5">
      <c r="A114" s="3113">
        <v>42</v>
      </c>
      <c r="B114" s="3796"/>
      <c r="C114" s="3113" t="s">
        <v>2734</v>
      </c>
      <c r="D114" s="3087" t="s">
        <v>2735</v>
      </c>
      <c r="E114" s="3113">
        <v>0.1</v>
      </c>
      <c r="F114" s="3113">
        <v>15</v>
      </c>
    </row>
    <row r="115" spans="1:6" ht="24">
      <c r="A115" s="3113">
        <v>43</v>
      </c>
      <c r="B115" s="3796"/>
      <c r="C115" s="3113" t="s">
        <v>2736</v>
      </c>
      <c r="D115" s="3087" t="s">
        <v>2737</v>
      </c>
      <c r="E115" s="3113">
        <v>0.1</v>
      </c>
      <c r="F115" s="3113">
        <v>15</v>
      </c>
    </row>
    <row r="116" spans="1:6" ht="13.5">
      <c r="A116" s="3113">
        <v>44</v>
      </c>
      <c r="B116" s="3791" t="s">
        <v>2738</v>
      </c>
      <c r="C116" s="3113" t="s">
        <v>2739</v>
      </c>
      <c r="D116" s="3087" t="s">
        <v>2740</v>
      </c>
      <c r="E116" s="3113">
        <v>0.1</v>
      </c>
      <c r="F116" s="3113">
        <v>15</v>
      </c>
    </row>
    <row r="117" spans="1:6" ht="24">
      <c r="A117" s="3113">
        <v>45</v>
      </c>
      <c r="B117" s="3795"/>
      <c r="C117" s="3087" t="s">
        <v>2741</v>
      </c>
      <c r="D117" s="3087" t="s">
        <v>2742</v>
      </c>
      <c r="E117" s="3113">
        <v>0.1</v>
      </c>
      <c r="F117" s="3113">
        <v>15</v>
      </c>
    </row>
    <row r="118" spans="1:6" ht="24">
      <c r="A118" s="3113">
        <v>46</v>
      </c>
      <c r="B118" s="3791" t="s">
        <v>2743</v>
      </c>
      <c r="C118" s="3113" t="s">
        <v>2744</v>
      </c>
      <c r="D118" s="3087" t="s">
        <v>2745</v>
      </c>
      <c r="E118" s="3113">
        <v>0.1</v>
      </c>
      <c r="F118" s="3113">
        <v>15</v>
      </c>
    </row>
    <row r="119" spans="1:6" ht="24">
      <c r="A119" s="3113">
        <v>47</v>
      </c>
      <c r="B119" s="3795"/>
      <c r="C119" s="3113" t="s">
        <v>2746</v>
      </c>
      <c r="D119" s="3087" t="s">
        <v>2747</v>
      </c>
      <c r="E119" s="3113">
        <v>0.1</v>
      </c>
      <c r="F119" s="3113">
        <v>15</v>
      </c>
    </row>
    <row r="120" spans="1:6" ht="13.5">
      <c r="A120" s="3113">
        <v>48</v>
      </c>
      <c r="B120" s="3791" t="s">
        <v>2748</v>
      </c>
      <c r="C120" s="3113" t="s">
        <v>2749</v>
      </c>
      <c r="D120" s="3087" t="s">
        <v>2750</v>
      </c>
      <c r="E120" s="3113">
        <v>0.1</v>
      </c>
      <c r="F120" s="3113">
        <v>15</v>
      </c>
    </row>
    <row r="121" spans="1:6" ht="13.5">
      <c r="A121" s="3113">
        <v>49</v>
      </c>
      <c r="B121" s="3795"/>
      <c r="C121" s="3113" t="s">
        <v>2751</v>
      </c>
      <c r="D121" s="3087" t="s">
        <v>2752</v>
      </c>
      <c r="E121" s="3113">
        <v>0.1</v>
      </c>
      <c r="F121" s="3113">
        <v>15</v>
      </c>
    </row>
    <row r="122" spans="1:6" ht="24">
      <c r="A122" s="3113">
        <v>50</v>
      </c>
      <c r="B122" s="3796" t="s">
        <v>2753</v>
      </c>
      <c r="C122" s="3113" t="s">
        <v>2754</v>
      </c>
      <c r="D122" s="3087" t="s">
        <v>2755</v>
      </c>
      <c r="E122" s="3113">
        <v>0.1</v>
      </c>
      <c r="F122" s="3113">
        <v>15</v>
      </c>
    </row>
    <row r="123" spans="1:6" ht="24">
      <c r="A123" s="3113">
        <v>51</v>
      </c>
      <c r="B123" s="3796"/>
      <c r="C123" s="3113" t="s">
        <v>2756</v>
      </c>
      <c r="D123" s="3087" t="s">
        <v>2757</v>
      </c>
      <c r="E123" s="3113">
        <v>0.1</v>
      </c>
      <c r="F123" s="3113">
        <v>15</v>
      </c>
    </row>
    <row r="124" spans="1:6" ht="24">
      <c r="A124" s="3113">
        <v>52</v>
      </c>
      <c r="B124" s="3796" t="s">
        <v>2758</v>
      </c>
      <c r="C124" s="3113" t="s">
        <v>2759</v>
      </c>
      <c r="D124" s="3087" t="s">
        <v>2760</v>
      </c>
      <c r="E124" s="3113">
        <v>0.1</v>
      </c>
      <c r="F124" s="3113">
        <v>15</v>
      </c>
    </row>
    <row r="125" spans="1:6" ht="24">
      <c r="A125" s="3113">
        <v>53</v>
      </c>
      <c r="B125" s="3796"/>
      <c r="C125" s="3113" t="s">
        <v>2761</v>
      </c>
      <c r="D125" s="3087" t="s">
        <v>2762</v>
      </c>
      <c r="E125" s="3113">
        <v>0.1</v>
      </c>
      <c r="F125" s="3113">
        <v>15</v>
      </c>
    </row>
    <row r="126" spans="1:6" ht="13.5">
      <c r="A126" s="3113">
        <v>54</v>
      </c>
      <c r="B126" s="3113" t="s">
        <v>2763</v>
      </c>
      <c r="C126" s="3113" t="s">
        <v>2764</v>
      </c>
      <c r="D126" s="3087" t="s">
        <v>2765</v>
      </c>
      <c r="E126" s="3113">
        <v>0.1</v>
      </c>
      <c r="F126" s="3113">
        <v>15</v>
      </c>
    </row>
    <row r="127" spans="1:6" ht="13.5">
      <c r="A127" s="3113">
        <v>55</v>
      </c>
      <c r="B127" s="3796" t="s">
        <v>2766</v>
      </c>
      <c r="C127" s="3113" t="s">
        <v>2767</v>
      </c>
      <c r="D127" s="3087" t="s">
        <v>2768</v>
      </c>
      <c r="E127" s="3113">
        <v>0.1</v>
      </c>
      <c r="F127" s="3113">
        <v>15</v>
      </c>
    </row>
    <row r="128" spans="1:6" ht="13.5">
      <c r="A128" s="3113">
        <v>56</v>
      </c>
      <c r="B128" s="3796"/>
      <c r="C128" s="3113" t="s">
        <v>2769</v>
      </c>
      <c r="D128" s="3087" t="s">
        <v>2770</v>
      </c>
      <c r="E128" s="3113">
        <v>0.1</v>
      </c>
      <c r="F128" s="3113">
        <v>15</v>
      </c>
    </row>
    <row r="129" spans="1:6" ht="24">
      <c r="A129" s="3113">
        <v>57</v>
      </c>
      <c r="B129" s="3796"/>
      <c r="C129" s="3113" t="s">
        <v>2771</v>
      </c>
      <c r="D129" s="3087" t="s">
        <v>2772</v>
      </c>
      <c r="E129" s="3113">
        <v>0.1</v>
      </c>
      <c r="F129" s="3113">
        <v>15</v>
      </c>
    </row>
    <row r="130" spans="1:6" ht="24">
      <c r="A130" s="3113">
        <v>58</v>
      </c>
      <c r="B130" s="3796" t="s">
        <v>2773</v>
      </c>
      <c r="C130" s="3113" t="s">
        <v>2774</v>
      </c>
      <c r="D130" s="3087" t="s">
        <v>2775</v>
      </c>
      <c r="E130" s="3113">
        <v>0.1</v>
      </c>
      <c r="F130" s="3113">
        <v>15</v>
      </c>
    </row>
    <row r="131" spans="1:6" ht="13.5">
      <c r="A131" s="3113">
        <v>59</v>
      </c>
      <c r="B131" s="3796"/>
      <c r="C131" s="3113" t="s">
        <v>2776</v>
      </c>
      <c r="D131" s="3087" t="s">
        <v>2777</v>
      </c>
      <c r="E131" s="3113">
        <v>0.1</v>
      </c>
      <c r="F131" s="3113">
        <v>15</v>
      </c>
    </row>
    <row r="132" spans="1:6" ht="13.5">
      <c r="A132" s="3113">
        <v>60</v>
      </c>
      <c r="B132" s="3791" t="s">
        <v>2778</v>
      </c>
      <c r="C132" s="3113" t="s">
        <v>2779</v>
      </c>
      <c r="D132" s="3087" t="s">
        <v>2780</v>
      </c>
      <c r="E132" s="3113">
        <v>0.1</v>
      </c>
      <c r="F132" s="3113">
        <v>15</v>
      </c>
    </row>
    <row r="133" spans="1:6" ht="13.5">
      <c r="A133" s="3113">
        <v>61</v>
      </c>
      <c r="B133" s="3795"/>
      <c r="C133" s="3113" t="s">
        <v>2781</v>
      </c>
      <c r="D133" s="3087" t="s">
        <v>2782</v>
      </c>
      <c r="E133" s="3113">
        <v>0.1</v>
      </c>
      <c r="F133" s="3113">
        <v>15</v>
      </c>
    </row>
    <row r="134" spans="1:6" ht="24">
      <c r="A134" s="3113">
        <v>62</v>
      </c>
      <c r="B134" s="3113" t="s">
        <v>2783</v>
      </c>
      <c r="C134" s="3113" t="s">
        <v>2784</v>
      </c>
      <c r="D134" s="3087" t="s">
        <v>2785</v>
      </c>
      <c r="E134" s="3113">
        <v>0.1</v>
      </c>
      <c r="F134" s="3113">
        <v>15</v>
      </c>
    </row>
    <row r="135" spans="1:6" ht="13.5">
      <c r="A135" s="3113">
        <v>63</v>
      </c>
      <c r="B135" s="3796" t="s">
        <v>2786</v>
      </c>
      <c r="C135" s="3113" t="s">
        <v>2787</v>
      </c>
      <c r="D135" s="3087" t="s">
        <v>2788</v>
      </c>
      <c r="E135" s="3113">
        <v>0.1</v>
      </c>
      <c r="F135" s="3113">
        <v>15</v>
      </c>
    </row>
    <row r="136" spans="1:6" ht="13.5">
      <c r="A136" s="3113">
        <v>64</v>
      </c>
      <c r="B136" s="3796"/>
      <c r="C136" s="3113" t="s">
        <v>2789</v>
      </c>
      <c r="D136" s="3087" t="s">
        <v>2790</v>
      </c>
      <c r="E136" s="3113">
        <v>0.1</v>
      </c>
      <c r="F136" s="3113">
        <v>15</v>
      </c>
    </row>
    <row r="137" spans="1:6" ht="13.5">
      <c r="A137" s="3113">
        <v>65</v>
      </c>
      <c r="B137" s="3113" t="s">
        <v>2791</v>
      </c>
      <c r="C137" s="3113" t="s">
        <v>2792</v>
      </c>
      <c r="D137" s="3087" t="s">
        <v>2793</v>
      </c>
      <c r="E137" s="3113">
        <v>0.1</v>
      </c>
      <c r="F137" s="3113">
        <v>15</v>
      </c>
    </row>
    <row r="138" spans="1:6" ht="13.5">
      <c r="A138" s="3113"/>
      <c r="B138" s="3113"/>
      <c r="C138" s="3113"/>
      <c r="D138" s="3113"/>
      <c r="E138" s="3113" t="s">
        <v>2794</v>
      </c>
      <c r="F138" s="311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2795</v>
      </c>
      <c r="B1" s="3122"/>
      <c r="C1" s="3122"/>
      <c r="D1" s="3122"/>
      <c r="E1" s="3122"/>
      <c r="F1" s="3122"/>
      <c r="G1" s="3122"/>
      <c r="H1" s="3122"/>
      <c r="I1" s="3122"/>
      <c r="J1" s="3122"/>
      <c r="K1" s="3122"/>
      <c r="L1" s="3122"/>
      <c r="M1" s="3122"/>
      <c r="N1" s="746"/>
    </row>
    <row r="2" spans="1:20">
      <c r="A2" s="3123" t="s">
        <v>2796</v>
      </c>
      <c r="B2" s="3124" t="s">
        <v>2592</v>
      </c>
      <c r="C2" s="3124" t="s">
        <v>2593</v>
      </c>
      <c r="D2" s="3124" t="s">
        <v>2594</v>
      </c>
      <c r="E2" s="3124" t="s">
        <v>2595</v>
      </c>
      <c r="F2" s="3124" t="s">
        <v>2596</v>
      </c>
      <c r="G2" s="3124" t="s">
        <v>2597</v>
      </c>
      <c r="H2" s="3125" t="s">
        <v>2598</v>
      </c>
      <c r="I2" s="3125" t="s">
        <v>2599</v>
      </c>
      <c r="J2" s="3126" t="s">
        <v>2600</v>
      </c>
      <c r="K2" s="3126" t="s">
        <v>2601</v>
      </c>
      <c r="L2" s="3126" t="s">
        <v>2602</v>
      </c>
      <c r="M2" s="3127" t="s">
        <v>2603</v>
      </c>
      <c r="Q2" s="3137" t="s">
        <v>2801</v>
      </c>
      <c r="R2" s="3137" t="s">
        <v>2802</v>
      </c>
      <c r="S2" s="3137" t="s">
        <v>2803</v>
      </c>
      <c r="T2" s="3137" t="s">
        <v>2804</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2797</v>
      </c>
      <c r="B93" s="3122"/>
      <c r="C93" s="3122"/>
      <c r="D93" s="3122"/>
      <c r="E93" s="3122"/>
      <c r="F93" s="3122"/>
      <c r="G93" s="3122"/>
      <c r="H93" s="3122"/>
      <c r="I93" s="3122"/>
      <c r="J93" s="3122"/>
      <c r="K93" s="3122"/>
      <c r="L93" s="3122"/>
      <c r="M93" s="3122"/>
    </row>
    <row r="94" spans="1:20">
      <c r="A94" s="3123" t="s">
        <v>2796</v>
      </c>
      <c r="B94" s="3124" t="s">
        <v>2592</v>
      </c>
      <c r="C94" s="3124" t="s">
        <v>2593</v>
      </c>
      <c r="D94" s="3124" t="s">
        <v>2594</v>
      </c>
      <c r="E94" s="3124" t="s">
        <v>2595</v>
      </c>
      <c r="F94" s="3124" t="s">
        <v>2596</v>
      </c>
      <c r="G94" s="3124" t="s">
        <v>2597</v>
      </c>
      <c r="H94" s="3125" t="s">
        <v>2598</v>
      </c>
      <c r="I94" s="3125" t="s">
        <v>2599</v>
      </c>
      <c r="J94" s="3126" t="s">
        <v>2600</v>
      </c>
      <c r="K94" s="3126" t="s">
        <v>2601</v>
      </c>
      <c r="L94" s="3126" t="s">
        <v>2602</v>
      </c>
      <c r="M94" s="3127" t="s">
        <v>2603</v>
      </c>
      <c r="N94" s="747">
        <f>SUMPRODUCT((A95:A184=ROUNDDOWN('基准地价修正-办公'!G3,1))*(B94:M94='基准地价修正-办公'!G2)*(B95:M184))</f>
        <v>0.89239999999999997</v>
      </c>
      <c r="Q94" s="3137" t="s">
        <v>2801</v>
      </c>
      <c r="R94" s="3137" t="s">
        <v>2802</v>
      </c>
      <c r="S94" s="3137" t="s">
        <v>2803</v>
      </c>
      <c r="T94" s="3137" t="s">
        <v>2804</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2798</v>
      </c>
      <c r="B185" s="3122"/>
      <c r="C185" s="3122"/>
      <c r="D185" s="3122"/>
      <c r="E185" s="3122"/>
      <c r="F185" s="3122"/>
      <c r="G185" s="3122"/>
      <c r="H185" s="3122"/>
      <c r="I185" s="3122"/>
      <c r="J185" s="3122"/>
      <c r="K185" s="3122"/>
      <c r="L185" s="3122"/>
      <c r="M185" s="3122"/>
    </row>
    <row r="186" spans="1:20">
      <c r="A186" s="3123" t="s">
        <v>2796</v>
      </c>
      <c r="B186" s="3124" t="s">
        <v>2592</v>
      </c>
      <c r="C186" s="3124" t="s">
        <v>2593</v>
      </c>
      <c r="D186" s="3124" t="s">
        <v>2594</v>
      </c>
      <c r="E186" s="3124" t="s">
        <v>2595</v>
      </c>
      <c r="F186" s="3124" t="s">
        <v>2596</v>
      </c>
      <c r="G186" s="3124" t="s">
        <v>2597</v>
      </c>
      <c r="H186" s="3125" t="s">
        <v>2598</v>
      </c>
      <c r="I186" s="3125" t="s">
        <v>2599</v>
      </c>
      <c r="J186" s="3126" t="s">
        <v>2600</v>
      </c>
      <c r="K186" s="3126" t="s">
        <v>2601</v>
      </c>
      <c r="L186" s="3126" t="s">
        <v>2602</v>
      </c>
      <c r="M186" s="3127" t="s">
        <v>2603</v>
      </c>
      <c r="Q186" s="3137" t="s">
        <v>2801</v>
      </c>
      <c r="R186" s="3137" t="s">
        <v>2802</v>
      </c>
      <c r="S186" s="3137" t="s">
        <v>2803</v>
      </c>
      <c r="T186" s="3137" t="s">
        <v>2804</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2799</v>
      </c>
      <c r="B277" s="3122"/>
      <c r="C277" s="3122"/>
      <c r="D277" s="3122"/>
      <c r="E277" s="3122"/>
      <c r="F277" s="3122"/>
      <c r="G277" s="3122"/>
      <c r="H277" s="3122"/>
      <c r="I277" s="3122"/>
      <c r="J277" s="3122"/>
      <c r="K277" s="3122"/>
      <c r="L277" s="3122"/>
      <c r="M277" s="3122"/>
    </row>
    <row r="278" spans="1:21">
      <c r="A278" s="3123" t="s">
        <v>2796</v>
      </c>
      <c r="B278" s="3124" t="s">
        <v>2592</v>
      </c>
      <c r="C278" s="3124" t="s">
        <v>2593</v>
      </c>
      <c r="D278" s="3124" t="s">
        <v>2594</v>
      </c>
      <c r="E278" s="3124" t="s">
        <v>2595</v>
      </c>
      <c r="F278" s="3124" t="s">
        <v>2596</v>
      </c>
      <c r="G278" s="3124" t="s">
        <v>2597</v>
      </c>
      <c r="H278" s="3125" t="s">
        <v>2598</v>
      </c>
      <c r="I278" s="3125" t="s">
        <v>2599</v>
      </c>
      <c r="J278" s="3126" t="s">
        <v>2600</v>
      </c>
      <c r="K278" s="3126" t="s">
        <v>2601</v>
      </c>
      <c r="L278" s="3126" t="s">
        <v>2602</v>
      </c>
      <c r="M278" s="3127" t="s">
        <v>2603</v>
      </c>
      <c r="Q278" s="3137" t="s">
        <v>2801</v>
      </c>
      <c r="R278" s="3137" t="s">
        <v>2802</v>
      </c>
      <c r="S278" s="3137" t="s">
        <v>2805</v>
      </c>
      <c r="T278" s="3137" t="s">
        <v>2806</v>
      </c>
      <c r="U278" s="3137" t="s">
        <v>2804</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2800</v>
      </c>
      <c r="B369" s="3135"/>
      <c r="C369" s="3135"/>
      <c r="D369" s="3135"/>
      <c r="E369" s="3135"/>
      <c r="F369" s="3135"/>
      <c r="G369" s="3135"/>
      <c r="H369" s="3135"/>
      <c r="I369" s="3135"/>
      <c r="J369" s="3135"/>
      <c r="K369" s="3135"/>
      <c r="L369" s="3135"/>
      <c r="M369" s="3135"/>
    </row>
    <row r="370" spans="1:20">
      <c r="A370" s="3123" t="s">
        <v>2796</v>
      </c>
      <c r="B370" s="3124" t="s">
        <v>2592</v>
      </c>
      <c r="C370" s="3124" t="s">
        <v>2593</v>
      </c>
      <c r="D370" s="3124" t="s">
        <v>2594</v>
      </c>
      <c r="E370" s="3124" t="s">
        <v>2595</v>
      </c>
      <c r="F370" s="3124" t="s">
        <v>2596</v>
      </c>
      <c r="G370" s="3124" t="s">
        <v>2597</v>
      </c>
      <c r="H370" s="3125" t="s">
        <v>2598</v>
      </c>
      <c r="I370" s="3125" t="s">
        <v>2599</v>
      </c>
      <c r="J370" s="3126" t="s">
        <v>2600</v>
      </c>
      <c r="K370" s="3126" t="s">
        <v>2601</v>
      </c>
      <c r="L370" s="3126" t="s">
        <v>2602</v>
      </c>
      <c r="M370" s="3127" t="s">
        <v>2603</v>
      </c>
      <c r="N370" s="747">
        <f>SUMPRODUCT((A371:A460=ROUNDDOWN('基准地价修正-办公'!G3,1))*(B370:M370='基准地价修正-办公'!G2)*(B371:M460))</f>
        <v>0.84889999999999999</v>
      </c>
      <c r="Q370" s="3137" t="s">
        <v>2801</v>
      </c>
      <c r="R370" s="3137" t="s">
        <v>2802</v>
      </c>
      <c r="S370" s="3137" t="s">
        <v>2803</v>
      </c>
      <c r="T370" s="3137" t="s">
        <v>2804</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116151</v>
      </c>
      <c r="C2" s="2" t="s">
        <v>106</v>
      </c>
      <c r="D2" s="199"/>
      <c r="E2" s="199"/>
      <c r="F2" s="199"/>
      <c r="G2" s="199"/>
    </row>
    <row r="3" spans="1:7" s="200" customFormat="1" ht="18" customHeight="1" thickBot="1">
      <c r="A3" s="203" t="s">
        <v>58</v>
      </c>
      <c r="B3" s="204">
        <f ca="1">ROUND(B2*10000/'数据-汇总表'!E3,0)</f>
        <v>8750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2655</v>
      </c>
      <c r="D10" s="842">
        <f>'数据-汇总表'!E6</f>
        <v>132744.37</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2655</v>
      </c>
      <c r="D19" s="846">
        <f>'数据-汇总表'!E3</f>
        <v>132744.37</v>
      </c>
      <c r="E19" s="211">
        <f>'数据-取费表'!B31</f>
        <v>200</v>
      </c>
      <c r="F19" s="231"/>
      <c r="G19" s="1" t="s">
        <v>436</v>
      </c>
    </row>
    <row r="20" spans="1:7" s="214" customFormat="1" ht="13.5" customHeight="1">
      <c r="A20" s="774" t="s">
        <v>419</v>
      </c>
      <c r="B20" s="210" t="s">
        <v>77</v>
      </c>
      <c r="C20" s="232">
        <f>ROUND((C5+C19)*F20,0)</f>
        <v>465</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1698</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192</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3322</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3322</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31143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74376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67344</v>
      </c>
      <c r="D34" s="217"/>
      <c r="E34" s="220"/>
      <c r="F34" s="257">
        <f>IF('数据-取费表'!B24=0,1,'数据-取费表'!N16)</f>
        <v>1</v>
      </c>
      <c r="G34" s="219" t="s">
        <v>89</v>
      </c>
    </row>
    <row r="35" spans="1:7" ht="13.5" customHeight="1">
      <c r="A35" s="777" t="s">
        <v>351</v>
      </c>
      <c r="B35" s="215" t="s">
        <v>33</v>
      </c>
      <c r="C35" s="220">
        <f>ROUND(C34*F35,0)</f>
        <v>3367</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2655</v>
      </c>
      <c r="D37" s="217">
        <f>'数据-汇总表'!E3</f>
        <v>132744.37</v>
      </c>
      <c r="E37" s="249">
        <f>'数据-取费表'!B35</f>
        <v>200</v>
      </c>
      <c r="F37" s="259"/>
      <c r="G37" s="261" t="s">
        <v>92</v>
      </c>
    </row>
    <row r="38" spans="1:7" ht="13.5" customHeight="1">
      <c r="A38" s="777" t="s">
        <v>354</v>
      </c>
      <c r="B38" s="215" t="s">
        <v>36</v>
      </c>
      <c r="C38" s="220">
        <f>ROUND(C34*F38,0)</f>
        <v>1010</v>
      </c>
      <c r="D38" s="220"/>
      <c r="E38" s="220"/>
      <c r="F38" s="259">
        <f>'数据-取费表'!B36</f>
        <v>1.4999999999999999E-2</v>
      </c>
      <c r="G38" s="219" t="s">
        <v>90</v>
      </c>
    </row>
    <row r="39" spans="1:7" s="214" customFormat="1" ht="13.5" customHeight="1">
      <c r="A39" s="774" t="s">
        <v>338</v>
      </c>
      <c r="B39" s="210" t="s">
        <v>77</v>
      </c>
      <c r="C39" s="232">
        <f>ROUND(C33*F20,0)</f>
        <v>1488</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2693</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2640</v>
      </c>
      <c r="D42" s="238"/>
      <c r="E42" s="238"/>
      <c r="F42" s="239"/>
      <c r="G42" s="3661" t="s">
        <v>94</v>
      </c>
    </row>
    <row r="43" spans="1:7" ht="13.5" customHeight="1">
      <c r="A43" s="777" t="s">
        <v>347</v>
      </c>
      <c r="B43" s="215" t="s">
        <v>426</v>
      </c>
      <c r="C43" s="238">
        <f ca="1">ROUND(IF('数据-取费表'!B22&lt;=1,C39*F22*'数据-取费表'!B21/2,C39*(POWER((1+F22),'数据-取费表'!B21/2)-1)),0)</f>
        <v>53</v>
      </c>
      <c r="D43" s="238"/>
      <c r="E43" s="238"/>
      <c r="F43" s="239"/>
      <c r="G43" s="3662"/>
    </row>
    <row r="44" spans="1:7" ht="13.5" customHeight="1">
      <c r="A44" s="777"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4" t="s">
        <v>341</v>
      </c>
      <c r="B45" s="244" t="s">
        <v>85</v>
      </c>
      <c r="C45" s="245">
        <f>C46</f>
        <v>10621</v>
      </c>
      <c r="D45" s="235">
        <f>C47</f>
        <v>2.8E-3</v>
      </c>
      <c r="E45" s="236" t="s">
        <v>102</v>
      </c>
      <c r="F45" s="246"/>
      <c r="G45" s="247" t="s">
        <v>434</v>
      </c>
    </row>
    <row r="46" spans="1:7" s="214" customFormat="1" ht="13.5" customHeight="1">
      <c r="A46" s="777" t="s">
        <v>349</v>
      </c>
      <c r="B46" s="248" t="s">
        <v>427</v>
      </c>
      <c r="C46" s="249">
        <f>ROUND((C33+C39)*F27,0)</f>
        <v>10621</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96600</v>
      </c>
      <c r="D49" s="232"/>
      <c r="E49" s="232"/>
      <c r="F49" s="264"/>
      <c r="G49" s="234" t="s">
        <v>435</v>
      </c>
    </row>
    <row r="50" spans="1:7" s="258" customFormat="1" ht="24">
      <c r="A50" s="774" t="s">
        <v>344</v>
      </c>
      <c r="B50" s="210" t="s">
        <v>97</v>
      </c>
      <c r="C50" s="232"/>
      <c r="D50" s="232"/>
      <c r="E50" s="232"/>
      <c r="F50" s="264">
        <f>IF('数据-取费表'!B24=0,'数据-取费表'!N16,1)</f>
        <v>0.88</v>
      </c>
      <c r="G50" s="247" t="s">
        <v>98</v>
      </c>
    </row>
    <row r="51" spans="1:7" ht="16.5" customHeight="1">
      <c r="A51" s="774" t="s">
        <v>345</v>
      </c>
      <c r="B51" s="210" t="s">
        <v>105</v>
      </c>
      <c r="C51" s="232">
        <f ca="1">ROUND(C49*F50,0)</f>
        <v>85008</v>
      </c>
      <c r="D51" s="232"/>
      <c r="E51" s="232"/>
      <c r="F51" s="264"/>
      <c r="G51" s="234" t="s">
        <v>37</v>
      </c>
    </row>
    <row r="52" spans="1:7" s="208" customFormat="1" ht="16.5" thickBot="1">
      <c r="A52" s="265" t="s">
        <v>38</v>
      </c>
      <c r="B52" s="266"/>
      <c r="C52" s="267">
        <f ca="1">C31+C51</f>
        <v>116151</v>
      </c>
      <c r="D52" s="266"/>
      <c r="E52" s="266"/>
      <c r="F52" s="266"/>
      <c r="G52" s="268"/>
    </row>
    <row r="55" spans="1:7" ht="15">
      <c r="B55" s="270" t="s">
        <v>39</v>
      </c>
      <c r="C55" s="271"/>
    </row>
    <row r="56" spans="1:7">
      <c r="B56" s="273" t="s">
        <v>40</v>
      </c>
      <c r="C56" s="274">
        <f ca="1">ROUND(C51/C52,3)</f>
        <v>0.73199999999999998</v>
      </c>
    </row>
    <row r="57" spans="1:7">
      <c r="B57" s="273" t="s">
        <v>41</v>
      </c>
      <c r="C57" s="275">
        <f ca="1">1-C56</f>
        <v>0.26800000000000002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9" t="s">
        <v>2838</v>
      </c>
      <c r="B1" s="3799"/>
      <c r="C1" s="3799"/>
      <c r="D1" s="3799"/>
      <c r="E1" s="3799"/>
      <c r="F1" s="3799"/>
      <c r="G1" s="3800"/>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797" t="s">
        <v>2865</v>
      </c>
      <c r="B3" s="3225"/>
      <c r="C3" s="3226" t="s">
        <v>2808</v>
      </c>
      <c r="D3" s="3226" t="s">
        <v>2866</v>
      </c>
      <c r="E3" s="3226" t="s">
        <v>2810</v>
      </c>
      <c r="F3" s="3226" t="s">
        <v>2867</v>
      </c>
      <c r="G3" s="3226" t="s">
        <v>2628</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798"/>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1" t="s">
        <v>3180</v>
      </c>
      <c r="B1" s="3801"/>
    </row>
    <row r="2" spans="1:7" ht="14.25" thickBot="1">
      <c r="A2" s="3250"/>
      <c r="B2" s="3250"/>
    </row>
    <row r="3" spans="1:7" ht="14.25" thickBot="1">
      <c r="A3" s="3250"/>
      <c r="B3" s="3250"/>
      <c r="C3" s="3251" t="s">
        <v>2808</v>
      </c>
      <c r="D3" s="3251" t="s">
        <v>2866</v>
      </c>
      <c r="E3" s="3251" t="s">
        <v>2810</v>
      </c>
      <c r="F3" s="3251" t="s">
        <v>2867</v>
      </c>
      <c r="G3" s="3251" t="s">
        <v>2628</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2" t="s">
        <v>3231</v>
      </c>
      <c r="B1" s="3802"/>
      <c r="C1" s="3802"/>
      <c r="D1" s="3802"/>
      <c r="E1" s="3802"/>
      <c r="F1" s="3803"/>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'基准地价修正-办公'!G23</f>
        <v>45118</v>
      </c>
      <c r="B1" s="3205" t="s">
        <v>2837</v>
      </c>
      <c r="C1" s="3206"/>
      <c r="D1" s="3206"/>
      <c r="E1" s="3206"/>
      <c r="F1" s="3206"/>
      <c r="G1" s="3206"/>
      <c r="H1" s="3206"/>
      <c r="I1" s="3206"/>
      <c r="J1" s="3160"/>
      <c r="K1" s="3206" t="s">
        <v>454</v>
      </c>
      <c r="L1" s="3206"/>
      <c r="M1" s="3206"/>
      <c r="N1" s="3206"/>
      <c r="O1" s="3206"/>
      <c r="P1" s="3206"/>
      <c r="Q1" s="3160"/>
      <c r="R1" s="3804" t="s">
        <v>456</v>
      </c>
      <c r="S1" s="3805"/>
      <c r="T1" s="3805"/>
      <c r="U1" s="3805"/>
      <c r="V1" s="3805"/>
      <c r="W1" s="3805"/>
      <c r="X1" s="3160"/>
      <c r="Y1" s="3804" t="s">
        <v>457</v>
      </c>
      <c r="Z1" s="3805"/>
      <c r="AA1" s="3805"/>
      <c r="AB1" s="3805"/>
      <c r="AC1" s="3805"/>
      <c r="AD1" s="3805"/>
    </row>
    <row r="2" spans="1:30" s="3138" customFormat="1" ht="14.25" thickBot="1">
      <c r="B2" s="3139"/>
      <c r="C2" s="3140"/>
      <c r="D2" s="3141" t="s">
        <v>2807</v>
      </c>
      <c r="E2" s="3142" t="s">
        <v>2808</v>
      </c>
      <c r="F2" s="3142" t="s">
        <v>2809</v>
      </c>
      <c r="G2" s="3142" t="s">
        <v>2810</v>
      </c>
      <c r="H2" s="3142" t="s">
        <v>2811</v>
      </c>
      <c r="I2" s="3142" t="s">
        <v>2628</v>
      </c>
      <c r="J2" s="3143"/>
      <c r="K2" s="3141" t="s">
        <v>2807</v>
      </c>
      <c r="L2" s="3142" t="s">
        <v>2808</v>
      </c>
      <c r="M2" s="3142" t="s">
        <v>2809</v>
      </c>
      <c r="N2" s="3142" t="s">
        <v>2810</v>
      </c>
      <c r="O2" s="3142" t="s">
        <v>2812</v>
      </c>
      <c r="P2" s="3142" t="s">
        <v>2628</v>
      </c>
      <c r="Q2" s="3143"/>
      <c r="R2" s="3141" t="s">
        <v>2807</v>
      </c>
      <c r="S2" s="3142" t="s">
        <v>2808</v>
      </c>
      <c r="T2" s="3142" t="s">
        <v>2809</v>
      </c>
      <c r="U2" s="3142" t="s">
        <v>2813</v>
      </c>
      <c r="V2" s="3142" t="s">
        <v>2814</v>
      </c>
      <c r="W2" s="3142" t="s">
        <v>2628</v>
      </c>
      <c r="X2" s="3143"/>
      <c r="Y2" s="3141" t="s">
        <v>2807</v>
      </c>
      <c r="Z2" s="3142" t="s">
        <v>2808</v>
      </c>
      <c r="AA2" s="3142" t="s">
        <v>2809</v>
      </c>
      <c r="AB2" s="3142" t="s">
        <v>2815</v>
      </c>
      <c r="AC2" s="3142" t="s">
        <v>2814</v>
      </c>
      <c r="AD2" s="3142" t="s">
        <v>2628</v>
      </c>
    </row>
    <row r="3" spans="1:30" s="3156" customFormat="1" ht="12.75">
      <c r="A3" s="3144" t="s">
        <v>2816</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3367</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3368</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3372</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3371</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3369</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2817</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2818</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2819</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2820</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2821</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3365</v>
      </c>
    </row>
    <row r="19" spans="1:30" s="3004" customFormat="1">
      <c r="I19" s="3203" t="s">
        <v>2822</v>
      </c>
    </row>
    <row r="20" spans="1:30" s="3004" customFormat="1"/>
    <row r="21" spans="1:30" s="3204" customFormat="1" ht="12.75">
      <c r="B21" s="3205" t="s">
        <v>2823</v>
      </c>
      <c r="C21" s="3206"/>
      <c r="D21" s="3206"/>
      <c r="E21" s="3206"/>
      <c r="F21" s="3206"/>
      <c r="G21" s="3206"/>
      <c r="H21" s="3206"/>
      <c r="I21" s="3206"/>
      <c r="J21" s="3160"/>
      <c r="K21" s="3206" t="s">
        <v>2824</v>
      </c>
      <c r="L21" s="3206"/>
      <c r="M21" s="3206"/>
      <c r="N21" s="3206"/>
      <c r="O21" s="3206"/>
      <c r="P21" s="3206"/>
      <c r="Q21" s="3160"/>
      <c r="R21" s="3804" t="s">
        <v>2825</v>
      </c>
      <c r="S21" s="3805"/>
      <c r="T21" s="3805"/>
      <c r="U21" s="3805"/>
      <c r="V21" s="3805"/>
      <c r="W21" s="3805"/>
      <c r="X21" s="3160"/>
      <c r="Y21" s="3804" t="s">
        <v>2826</v>
      </c>
      <c r="Z21" s="3805"/>
      <c r="AA21" s="3805"/>
      <c r="AB21" s="3805"/>
      <c r="AC21" s="3805"/>
      <c r="AD21" s="3805"/>
    </row>
    <row r="22" spans="1:30" s="3138" customFormat="1" ht="14.25" thickBot="1">
      <c r="B22" s="3139"/>
      <c r="C22" s="3140"/>
      <c r="D22" s="3141" t="s">
        <v>2827</v>
      </c>
      <c r="E22" s="3142" t="s">
        <v>2828</v>
      </c>
      <c r="F22" s="3142" t="s">
        <v>2829</v>
      </c>
      <c r="G22" s="3142" t="s">
        <v>2830</v>
      </c>
      <c r="H22" s="3142"/>
      <c r="I22" s="3142" t="s">
        <v>2831</v>
      </c>
      <c r="J22" s="3143"/>
      <c r="K22" s="3141" t="s">
        <v>2827</v>
      </c>
      <c r="L22" s="3142" t="s">
        <v>2828</v>
      </c>
      <c r="M22" s="3142" t="s">
        <v>2829</v>
      </c>
      <c r="N22" s="3142" t="s">
        <v>2830</v>
      </c>
      <c r="O22" s="3142"/>
      <c r="P22" s="3142" t="s">
        <v>2831</v>
      </c>
      <c r="Q22" s="3143"/>
      <c r="R22" s="3141" t="s">
        <v>2827</v>
      </c>
      <c r="S22" s="3142" t="s">
        <v>2828</v>
      </c>
      <c r="T22" s="3142" t="s">
        <v>2829</v>
      </c>
      <c r="U22" s="3142" t="s">
        <v>2830</v>
      </c>
      <c r="V22" s="3142"/>
      <c r="W22" s="3142" t="s">
        <v>2831</v>
      </c>
      <c r="X22" s="3143"/>
      <c r="Y22" s="3141" t="s">
        <v>2827</v>
      </c>
      <c r="Z22" s="3142" t="s">
        <v>2828</v>
      </c>
      <c r="AA22" s="3142" t="s">
        <v>2829</v>
      </c>
      <c r="AB22" s="3142" t="s">
        <v>2830</v>
      </c>
      <c r="AC22" s="3142"/>
      <c r="AD22" s="3142" t="s">
        <v>2831</v>
      </c>
    </row>
    <row r="23" spans="1:30" s="3156" customFormat="1" ht="12.75">
      <c r="A23" s="3144" t="s">
        <v>2832</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3367</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3368</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3370</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3371</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3369</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3364</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2833</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2834</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2835</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2836</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2821</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2306</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2305</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6"/>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2">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6"/>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2">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3">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4"/>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4"/>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5"/>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45118</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2307</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7" sqref="O3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1" t="s">
        <v>925</v>
      </c>
      <c r="E3" s="851" t="s">
        <v>931</v>
      </c>
      <c r="F3" s="851" t="s">
        <v>925</v>
      </c>
      <c r="G3" s="851" t="s">
        <v>926</v>
      </c>
      <c r="H3" s="851" t="s">
        <v>925</v>
      </c>
      <c r="I3" s="851" t="s">
        <v>926</v>
      </c>
    </row>
    <row r="4" spans="1:9" ht="30">
      <c r="A4" s="1502" t="str">
        <f>项目基本情况!S2</f>
        <v>北京市朝阳区安定路5号院房地产</v>
      </c>
      <c r="B4" s="851">
        <f>项目基本情况!C17</f>
        <v>132744.37</v>
      </c>
      <c r="C4" s="851">
        <f>项目基本情况!C18</f>
        <v>19087.400000000001</v>
      </c>
      <c r="D4" s="851">
        <f ca="1">结果表!D118</f>
        <v>392843</v>
      </c>
      <c r="E4" s="851">
        <f ca="1">结果表!E118</f>
        <v>29594</v>
      </c>
      <c r="F4" s="851">
        <f ca="1">结果表!F118</f>
        <v>105057</v>
      </c>
      <c r="G4" s="851">
        <f ca="1">结果表!G118</f>
        <v>7914</v>
      </c>
      <c r="H4" s="851">
        <f ca="1">结果表!H118</f>
        <v>497900</v>
      </c>
      <c r="I4" s="851">
        <f ca="1">结果表!I118</f>
        <v>37508</v>
      </c>
    </row>
    <row r="5" spans="1:9" ht="30" customHeight="1">
      <c r="A5" s="3491" t="s">
        <v>927</v>
      </c>
      <c r="B5" s="3491"/>
      <c r="C5" s="3491"/>
      <c r="D5" s="3491" t="str">
        <f ca="1">结果表!D119</f>
        <v>叁拾玖亿贰仟捌佰肆拾叁万元整</v>
      </c>
      <c r="E5" s="3491"/>
      <c r="F5" s="3491" t="str">
        <f ca="1">结果表!F119</f>
        <v>壹拾亿伍仟零伍拾柒万元整</v>
      </c>
      <c r="G5" s="3491"/>
      <c r="H5" s="3491" t="str">
        <f ca="1">结果表!H119</f>
        <v>肆拾玖亿柒仟玖佰万元整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497900</v>
      </c>
      <c r="E8" s="3492"/>
      <c r="F8" s="3492"/>
      <c r="G8" s="3492"/>
      <c r="H8" s="3492"/>
      <c r="I8" s="3492"/>
    </row>
    <row r="9" spans="1:9" ht="15">
      <c r="A9" s="3491" t="s">
        <v>927</v>
      </c>
      <c r="B9" s="3491"/>
      <c r="C9" s="3491"/>
      <c r="D9" s="3491" t="str">
        <f ca="1">结果表!D123</f>
        <v>肆拾玖亿柒仟玖佰万元整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8" t="s">
        <v>949</v>
      </c>
      <c r="B1" s="3498"/>
      <c r="C1" s="3498"/>
      <c r="D1" s="3498"/>
    </row>
    <row r="2" spans="1:4" ht="18">
      <c r="A2" s="3499" t="s">
        <v>933</v>
      </c>
      <c r="B2" s="3499"/>
      <c r="C2" s="3499"/>
      <c r="D2" s="3499"/>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9" t="s">
        <v>939</v>
      </c>
      <c r="B6" s="3499"/>
      <c r="C6" s="3499"/>
      <c r="D6" s="3499"/>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24" sqref="F24"/>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2" t="s">
        <v>956</v>
      </c>
      <c r="B15" s="3507" t="s">
        <v>109</v>
      </c>
      <c r="C15" s="3508"/>
    </row>
    <row r="16" spans="1:7" ht="13.5">
      <c r="A16" s="3513"/>
      <c r="B16" s="3507" t="s">
        <v>42</v>
      </c>
      <c r="C16" s="3508"/>
    </row>
    <row r="17" spans="1:3" ht="13.5">
      <c r="A17" s="3513"/>
      <c r="B17" s="3510" t="s">
        <v>957</v>
      </c>
      <c r="C17" s="1529" t="s">
        <v>956</v>
      </c>
    </row>
    <row r="18" spans="1:3" ht="13.5">
      <c r="A18" s="3513"/>
      <c r="B18" s="3510"/>
      <c r="C18" s="1529" t="s">
        <v>958</v>
      </c>
    </row>
    <row r="19" spans="1:3" ht="13.5">
      <c r="A19" s="3513"/>
      <c r="B19" s="3510"/>
      <c r="C19" s="1529" t="s">
        <v>959</v>
      </c>
    </row>
    <row r="20" spans="1:3" ht="13.5">
      <c r="A20" s="3514"/>
      <c r="B20" s="3509" t="s">
        <v>960</v>
      </c>
      <c r="C20" s="3508"/>
    </row>
    <row r="21" spans="1:3" ht="13.5">
      <c r="A21" s="1530" t="s">
        <v>961</v>
      </c>
      <c r="B21" s="1531"/>
      <c r="C21" s="1532"/>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29" t="s">
        <v>967</v>
      </c>
    </row>
    <row r="26" spans="1:3" ht="13.5">
      <c r="A26" s="3511"/>
      <c r="B26" s="3510"/>
      <c r="C26" s="1529" t="s">
        <v>968</v>
      </c>
    </row>
    <row r="27" spans="1:3" ht="13.5">
      <c r="A27" s="3511"/>
      <c r="B27" s="3510"/>
      <c r="C27" s="1529" t="s">
        <v>969</v>
      </c>
    </row>
    <row r="28" spans="1:3" ht="13.5">
      <c r="A28" s="3511"/>
      <c r="B28" s="3510"/>
      <c r="C28" s="1529" t="s">
        <v>970</v>
      </c>
    </row>
    <row r="29" spans="1:3" ht="13.5">
      <c r="A29" s="3511"/>
      <c r="B29" s="3510"/>
      <c r="C29" s="1529" t="s">
        <v>971</v>
      </c>
    </row>
    <row r="30" spans="1:3" ht="13.5">
      <c r="A30" s="3511"/>
      <c r="B30" s="3510"/>
      <c r="C30" s="1529" t="s">
        <v>972</v>
      </c>
    </row>
    <row r="31" spans="1:3" ht="13.5">
      <c r="A31" s="3511"/>
      <c r="B31" s="3510"/>
      <c r="C31" s="1529" t="s">
        <v>973</v>
      </c>
    </row>
    <row r="32" spans="1:3" ht="13.5">
      <c r="A32" s="3511"/>
      <c r="B32" s="3510"/>
      <c r="C32" s="1529" t="s">
        <v>974</v>
      </c>
    </row>
    <row r="33" spans="1:3" ht="13.5">
      <c r="A33" s="3511"/>
      <c r="B33" s="351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45121</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2434</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5" t="s">
        <v>2158</v>
      </c>
      <c r="B17" s="3515"/>
      <c r="C17" s="3515"/>
      <c r="D17" s="3515"/>
      <c r="E17" s="3515"/>
      <c r="F17" s="3515"/>
      <c r="G17" s="3515"/>
      <c r="H17" s="3515"/>
    </row>
    <row r="18" spans="1:8" ht="24" customHeight="1">
      <c r="A18" s="3516" t="s">
        <v>2159</v>
      </c>
      <c r="B18" s="3516"/>
      <c r="C18" s="3516"/>
      <c r="D18" s="2340"/>
      <c r="E18" s="3517" t="s">
        <v>2160</v>
      </c>
      <c r="F18" s="3516"/>
      <c r="G18" s="3516"/>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基准地价（汇总）</vt:lpstr>
      <vt:lpstr>基准地价修正-办公</vt:lpstr>
      <vt:lpstr>收益法 (元)</vt:lpstr>
      <vt:lpstr>收益法-酒店模型</vt:lpstr>
      <vt:lpstr>基准地价修正-商业</vt:lpstr>
      <vt:lpstr>收益法（汇总）</vt:lpstr>
      <vt:lpstr>收益法-办公</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2023-07-14T04:54:21Z</dcterms:modified>
</cp:coreProperties>
</file>