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2210" windowHeight="124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501" sheetId="9" r:id="rId18"/>
    <sheet name="成本法" sheetId="68" state="hidden" r:id="rId19"/>
    <sheet name="成本法 (元)" sheetId="69" state="hidden" r:id="rId20"/>
    <sheet name="假设开发法" sheetId="12" state="hidden" r:id="rId21"/>
    <sheet name="收益法" sheetId="15" state="hidden" r:id="rId22"/>
    <sheet name="比较法-办公501" sheetId="81" r:id="rId23"/>
    <sheet name="收益法501" sheetId="67" r:id="rId24"/>
    <sheet name="收益法-酒店模型" sheetId="77" state="hidden" r:id="rId25"/>
    <sheet name="收益法（汇总）" sheetId="70" state="hidden" r:id="rId26"/>
    <sheet name="比较法-住宅" sheetId="21" state="hidden" r:id="rId27"/>
    <sheet name="比较法-商业" sheetId="33" state="hidden" r:id="rId28"/>
    <sheet name="结果表502" sheetId="82" r:id="rId29"/>
    <sheet name="比较法-办公502" sheetId="84" r:id="rId30"/>
    <sheet name="收益法502" sheetId="83" r:id="rId31"/>
    <sheet name="结果表503" sheetId="85" r:id="rId32"/>
    <sheet name="比较法-办公503" sheetId="86" r:id="rId33"/>
    <sheet name="收益法503" sheetId="87"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22" hidden="1">'比较法-办公501'!$A$1:$L$50</definedName>
    <definedName name="_xlnm._FilterDatabase" localSheetId="29" hidden="1">'比较法-办公502'!$A$1:$L$50</definedName>
    <definedName name="_xlnm._FilterDatabase" localSheetId="32" hidden="1">'比较法-办公503'!$A$1:$L$50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2">'比较法-办公501'!$A$1:$K$55,'比较法-办公501'!$A$58:$M$132</definedName>
    <definedName name="_xlnm.Print_Area" localSheetId="29">'比较法-办公502'!$A$1:$K$55,'比较法-办公502'!$A$58:$M$132</definedName>
    <definedName name="_xlnm.Print_Area" localSheetId="32">'比较法-办公503'!$A$1:$K$55,'比较法-办公503'!$A$58:$M$132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结果表501!$A$1:$I$127</definedName>
    <definedName name="_xlnm.Print_Area" localSheetId="28">结果表502!$A$1:$I$127</definedName>
    <definedName name="_xlnm.Print_Area" localSheetId="31">结果表503!$A$1:$I$127</definedName>
    <definedName name="_xlnm.Print_Area" localSheetId="21">收益法!$A$1:$F$43,收益法!$H$3:$M$29,收益法!$A$46:$F$71,收益法!$I$46:$N$65</definedName>
    <definedName name="_xlnm.Print_Area" localSheetId="25">'收益法（汇总）'!$A$1:$F$13</definedName>
    <definedName name="_xlnm.Print_Area" localSheetId="23">收益法501!$A$1:$F$43,收益法501!$H$3:$M$29,收益法501!$A$45:$F$71,收益法501!$I$46:$N$65</definedName>
    <definedName name="_xlnm.Print_Area" localSheetId="30">收益法502!$A$1:$F$43,收益法502!$H$3:$M$29,收益法502!$A$45:$F$71,收益法502!$I$46:$N$65</definedName>
    <definedName name="_xlnm.Print_Area" localSheetId="33">收益法503!$A$1:$F$43,收益法503!$H$3:$M$29,收益法503!$A$45:$F$71,收益法503!$I$46:$N$65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'比较法-办公501'!$B$119:$M$119</definedName>
    <definedName name="办公层高" localSheetId="29">'比较法-办公502'!$B$119:$M$119</definedName>
    <definedName name="办公层高" localSheetId="32">'比较法-办公503'!$B$119:$M$119</definedName>
    <definedName name="办公层高">#REF!</definedName>
    <definedName name="办公朝向" localSheetId="22">'比较法-办公501'!$B$91:$M$91</definedName>
    <definedName name="办公朝向" localSheetId="29">'比较法-办公502'!$B$91:$M$91</definedName>
    <definedName name="办公朝向" localSheetId="32">'比较法-办公503'!$B$91:$M$91</definedName>
    <definedName name="办公朝向">#REF!</definedName>
    <definedName name="办公道路级别" localSheetId="22">'比较法-办公501'!$B$87:$M$87</definedName>
    <definedName name="办公道路级别" localSheetId="29">'比较法-办公502'!$B$87:$M$87</definedName>
    <definedName name="办公道路级别" localSheetId="32">'比较法-办公503'!$B$87:$M$87</definedName>
    <definedName name="办公道路级别">#REF!</definedName>
    <definedName name="办公公共部分装修" localSheetId="22">'比较法-办公501'!$B$108:$M$108</definedName>
    <definedName name="办公公共部分装修" localSheetId="29">'比较法-办公502'!$B$108:$M$108</definedName>
    <definedName name="办公公共部分装修" localSheetId="32">'比较法-办公503'!$B$108:$M$108</definedName>
    <definedName name="办公公共部分装修">#REF!</definedName>
    <definedName name="办公基础设施水平" localSheetId="22">'比较法-办公501'!$B$117:$M$117</definedName>
    <definedName name="办公基础设施水平" localSheetId="29">'比较法-办公502'!$B$117:$M$117</definedName>
    <definedName name="办公基础设施水平" localSheetId="32">'比较法-办公503'!$B$117:$M$117</definedName>
    <definedName name="办公基础设施水平">#REF!</definedName>
    <definedName name="办公集聚程度">定义!$M$1:$M$6</definedName>
    <definedName name="办公建筑结构" localSheetId="22">'比较法-办公501'!$B$106:$M$106</definedName>
    <definedName name="办公建筑结构" localSheetId="29">'比较法-办公502'!$B$106:$M$106</definedName>
    <definedName name="办公建筑结构" localSheetId="32">'比较法-办公503'!$B$106:$M$106</definedName>
    <definedName name="办公建筑结构">#REF!</definedName>
    <definedName name="办公建筑类型" localSheetId="22">'比较法-办公501'!$B$101:$M$101</definedName>
    <definedName name="办公建筑类型" localSheetId="29">'比较法-办公502'!$B$101:$M$101</definedName>
    <definedName name="办公建筑类型" localSheetId="32">'比较法-办公503'!$B$101:$M$101</definedName>
    <definedName name="办公建筑类型">#REF!</definedName>
    <definedName name="办公交易情况" localSheetId="22">'比较法-办公501'!$A$62:$M$62</definedName>
    <definedName name="办公交易情况" localSheetId="29">'比较法-办公502'!$A$62:$M$62</definedName>
    <definedName name="办公交易情况" localSheetId="32">'比较法-办公503'!$A$62:$M$62</definedName>
    <definedName name="办公交易情况">#REF!</definedName>
    <definedName name="办公楼层" localSheetId="22">'比较法-办公501'!$B$89:$M$89</definedName>
    <definedName name="办公楼层" localSheetId="29">'比较法-办公502'!$B$89:$M$89</definedName>
    <definedName name="办公楼层" localSheetId="32">'比较法-办公503'!$B$89:$M$89</definedName>
    <definedName name="办公楼层">#REF!</definedName>
    <definedName name="办公内部装修" localSheetId="22">'比较法-办公501'!$B$123:$M$123</definedName>
    <definedName name="办公内部装修" localSheetId="29">'比较法-办公502'!$B$123:$M$123</definedName>
    <definedName name="办公内部装修" localSheetId="32">'比较法-办公503'!$B$123:$M$123</definedName>
    <definedName name="办公内部装修">#REF!</definedName>
    <definedName name="办公物业管理" localSheetId="22">'比较法-办公501'!$B$115:$M$115</definedName>
    <definedName name="办公物业管理" localSheetId="29">'比较法-办公502'!$B$115:$M$115</definedName>
    <definedName name="办公物业管理" localSheetId="32">'比较法-办公503'!$B$115:$M$115</definedName>
    <definedName name="办公物业管理">#REF!</definedName>
    <definedName name="办公用途" localSheetId="22">'比较法-办公501'!$B$64:$M$64</definedName>
    <definedName name="办公用途" localSheetId="29">'比较法-办公502'!$B$64:$M$64</definedName>
    <definedName name="办公用途" localSheetId="32">'比较法-办公503'!$B$64:$M$64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'比较法-办公501'!$B$113:$M$113</definedName>
    <definedName name="写字楼等级" localSheetId="29">'比较法-办公502'!$B$113:$M$113</definedName>
    <definedName name="写字楼等级" localSheetId="32">'比较法-办公503'!$B$113:$M$113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Q72" i="87" l="1"/>
  <c r="C62" i="87"/>
  <c r="C61" i="87"/>
  <c r="C60" i="87"/>
  <c r="Q59" i="87"/>
  <c r="K59" i="87"/>
  <c r="P74" i="87" s="1"/>
  <c r="Q58" i="87"/>
  <c r="Q51" i="87"/>
  <c r="J50" i="87"/>
  <c r="J51" i="87" s="1"/>
  <c r="M47" i="87"/>
  <c r="D46" i="87"/>
  <c r="F34" i="87"/>
  <c r="F62" i="87" s="1"/>
  <c r="C34" i="87"/>
  <c r="F33" i="87"/>
  <c r="F61" i="87" s="1"/>
  <c r="C33" i="87"/>
  <c r="F32" i="87"/>
  <c r="F60" i="87" s="1"/>
  <c r="C32" i="87"/>
  <c r="F28" i="87"/>
  <c r="C28" i="87"/>
  <c r="F23" i="87"/>
  <c r="D24" i="87" s="1"/>
  <c r="D23" i="87"/>
  <c r="D22" i="87"/>
  <c r="F21" i="87"/>
  <c r="M20" i="87"/>
  <c r="F20" i="87"/>
  <c r="M19" i="87"/>
  <c r="M18" i="87"/>
  <c r="F18" i="87"/>
  <c r="F17" i="87"/>
  <c r="F15" i="87"/>
  <c r="G1" i="87"/>
  <c r="B131" i="86"/>
  <c r="B129" i="86"/>
  <c r="B127" i="86"/>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E109" i="86"/>
  <c r="F109" i="86" s="1"/>
  <c r="G109" i="86" s="1"/>
  <c r="H109" i="86" s="1"/>
  <c r="I109" i="86" s="1"/>
  <c r="J109" i="86" s="1"/>
  <c r="K109" i="86" s="1"/>
  <c r="L109" i="86" s="1"/>
  <c r="M109" i="86" s="1"/>
  <c r="D109" i="86"/>
  <c r="E107" i="86"/>
  <c r="F107" i="86" s="1"/>
  <c r="G107" i="86" s="1"/>
  <c r="H107" i="86" s="1"/>
  <c r="I107" i="86" s="1"/>
  <c r="J107" i="86" s="1"/>
  <c r="K107" i="86" s="1"/>
  <c r="L107" i="86" s="1"/>
  <c r="M107" i="86" s="1"/>
  <c r="D107"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I37" i="86"/>
  <c r="J37" i="86" s="1"/>
  <c r="G37" i="86"/>
  <c r="H37" i="86" s="1"/>
  <c r="E37" i="86"/>
  <c r="F37" i="86" s="1"/>
  <c r="C37" i="86"/>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Q32" i="86"/>
  <c r="Z32" i="86" s="1"/>
  <c r="J32" i="86"/>
  <c r="AC32" i="86" s="1"/>
  <c r="H32" i="86"/>
  <c r="AB32" i="86" s="1"/>
  <c r="F32" i="86"/>
  <c r="AA32" i="86" s="1"/>
  <c r="AC31" i="86"/>
  <c r="W31" i="86"/>
  <c r="Q31" i="86"/>
  <c r="Z31" i="86" s="1"/>
  <c r="J31" i="86"/>
  <c r="H31" i="86"/>
  <c r="AB31" i="86" s="1"/>
  <c r="F31" i="86"/>
  <c r="AA31" i="86" s="1"/>
  <c r="AB30" i="86"/>
  <c r="U30" i="86"/>
  <c r="Q30" i="86"/>
  <c r="Z30" i="86" s="1"/>
  <c r="J30" i="86"/>
  <c r="AC30" i="86" s="1"/>
  <c r="H30" i="86"/>
  <c r="F30" i="86"/>
  <c r="AA30" i="86" s="1"/>
  <c r="Q29" i="86"/>
  <c r="Z29" i="86" s="1"/>
  <c r="J29" i="86"/>
  <c r="AC29" i="86" s="1"/>
  <c r="H29" i="86"/>
  <c r="AB29" i="86" s="1"/>
  <c r="F29" i="86"/>
  <c r="AA29" i="86" s="1"/>
  <c r="Z28" i="86"/>
  <c r="Q28" i="86"/>
  <c r="J28" i="86"/>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U8" i="86"/>
  <c r="J8" i="86"/>
  <c r="W8" i="86" s="1"/>
  <c r="H8" i="86"/>
  <c r="AB8" i="86" s="1"/>
  <c r="F8" i="86"/>
  <c r="S8" i="86" s="1"/>
  <c r="C7" i="86"/>
  <c r="C59" i="86" s="1"/>
  <c r="D59" i="86" s="1"/>
  <c r="E59" i="86" s="1"/>
  <c r="F59" i="86" s="1"/>
  <c r="G59" i="86" s="1"/>
  <c r="H59" i="86" s="1"/>
  <c r="I59" i="86" s="1"/>
  <c r="J59" i="86" s="1"/>
  <c r="K59" i="86" s="1"/>
  <c r="L59" i="86" s="1"/>
  <c r="M59" i="86" s="1"/>
  <c r="N59" i="86" s="1"/>
  <c r="O59" i="86" s="1"/>
  <c r="D3" i="86"/>
  <c r="C34" i="86" s="1"/>
  <c r="A120" i="85"/>
  <c r="A118" i="85"/>
  <c r="E111" i="85"/>
  <c r="A126" i="85" s="1"/>
  <c r="H109" i="85"/>
  <c r="D124" i="85" s="1"/>
  <c r="D125" i="85" s="1"/>
  <c r="E109" i="85"/>
  <c r="A124" i="85" s="1"/>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M47" i="85"/>
  <c r="C35" i="85"/>
  <c r="G118" i="85" s="1"/>
  <c r="C34" i="85"/>
  <c r="E118" i="85" s="1"/>
  <c r="F33" i="85"/>
  <c r="D27" i="85"/>
  <c r="C25" i="85"/>
  <c r="C24" i="85"/>
  <c r="M19" i="85"/>
  <c r="C118" i="85" s="1"/>
  <c r="L19" i="85"/>
  <c r="M18" i="85"/>
  <c r="B118" i="85" s="1"/>
  <c r="L18" i="85"/>
  <c r="D17" i="85"/>
  <c r="C17" i="85"/>
  <c r="C18" i="85" s="1"/>
  <c r="D18" i="85" s="1"/>
  <c r="L4" i="85"/>
  <c r="K4" i="85"/>
  <c r="A2" i="85"/>
  <c r="H1" i="85"/>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E109" i="84"/>
  <c r="F109" i="84" s="1"/>
  <c r="G109" i="84" s="1"/>
  <c r="H109" i="84" s="1"/>
  <c r="I109" i="84" s="1"/>
  <c r="J109" i="84" s="1"/>
  <c r="K109" i="84" s="1"/>
  <c r="L109" i="84" s="1"/>
  <c r="M109" i="84" s="1"/>
  <c r="D109" i="84"/>
  <c r="E107" i="84"/>
  <c r="F107" i="84" s="1"/>
  <c r="G107" i="84" s="1"/>
  <c r="H107" i="84" s="1"/>
  <c r="I107" i="84" s="1"/>
  <c r="J107" i="84" s="1"/>
  <c r="K107" i="84" s="1"/>
  <c r="L107" i="84" s="1"/>
  <c r="M107" i="84" s="1"/>
  <c r="D107" i="84"/>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B97" i="84"/>
  <c r="B95" i="84"/>
  <c r="B93" i="84"/>
  <c r="D92" i="84"/>
  <c r="E92" i="84" s="1"/>
  <c r="F92" i="84" s="1"/>
  <c r="G92" i="84" s="1"/>
  <c r="H92" i="84" s="1"/>
  <c r="I92" i="84" s="1"/>
  <c r="J92" i="84" s="1"/>
  <c r="K92" i="84" s="1"/>
  <c r="L92" i="84" s="1"/>
  <c r="M92" i="84" s="1"/>
  <c r="B91" i="84"/>
  <c r="E90" i="84"/>
  <c r="F90" i="84" s="1"/>
  <c r="G90" i="84" s="1"/>
  <c r="H90" i="84" s="1"/>
  <c r="I90" i="84" s="1"/>
  <c r="J90" i="84" s="1"/>
  <c r="K90" i="84" s="1"/>
  <c r="L90" i="84" s="1"/>
  <c r="M90" i="84" s="1"/>
  <c r="D90" i="84"/>
  <c r="B89" i="84"/>
  <c r="D88" i="84"/>
  <c r="E88" i="84" s="1"/>
  <c r="F88" i="84" s="1"/>
  <c r="G88" i="84" s="1"/>
  <c r="H88" i="84" s="1"/>
  <c r="I88" i="84" s="1"/>
  <c r="J88" i="84" s="1"/>
  <c r="K88" i="84" s="1"/>
  <c r="L88" i="84" s="1"/>
  <c r="M88" i="84" s="1"/>
  <c r="D86" i="84"/>
  <c r="E86" i="84" s="1"/>
  <c r="F86" i="84" s="1"/>
  <c r="G86" i="84" s="1"/>
  <c r="D84" i="84"/>
  <c r="E84" i="84" s="1"/>
  <c r="F84" i="84" s="1"/>
  <c r="G84" i="84" s="1"/>
  <c r="D82" i="84"/>
  <c r="E82" i="84" s="1"/>
  <c r="F82" i="84" s="1"/>
  <c r="G82" i="84" s="1"/>
  <c r="D80" i="84"/>
  <c r="E80" i="84" s="1"/>
  <c r="F80" i="84" s="1"/>
  <c r="G80" i="84" s="1"/>
  <c r="D78" i="84"/>
  <c r="E78" i="84" s="1"/>
  <c r="F78" i="84" s="1"/>
  <c r="G78" i="84" s="1"/>
  <c r="B75" i="84"/>
  <c r="B73" i="84"/>
  <c r="B71" i="84"/>
  <c r="E70" i="84"/>
  <c r="F70" i="84" s="1"/>
  <c r="G70" i="84" s="1"/>
  <c r="H70" i="84" s="1"/>
  <c r="I70" i="84" s="1"/>
  <c r="J70" i="84" s="1"/>
  <c r="K70" i="84" s="1"/>
  <c r="L70" i="84" s="1"/>
  <c r="M70" i="84" s="1"/>
  <c r="D70" i="84"/>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I37" i="84"/>
  <c r="J37" i="84" s="1"/>
  <c r="G37" i="84"/>
  <c r="H37" i="84" s="1"/>
  <c r="E37" i="84"/>
  <c r="F37" i="84" s="1"/>
  <c r="C37" i="84"/>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H27" i="84"/>
  <c r="AB27" i="84" s="1"/>
  <c r="F27" i="84"/>
  <c r="AA27" i="84" s="1"/>
  <c r="Q25" i="84"/>
  <c r="Z25" i="84" s="1"/>
  <c r="J25" i="84"/>
  <c r="AC25" i="84" s="1"/>
  <c r="H25" i="84"/>
  <c r="AB25" i="84" s="1"/>
  <c r="F25" i="84"/>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U8" i="84"/>
  <c r="J8" i="84"/>
  <c r="W8" i="84" s="1"/>
  <c r="H8" i="84"/>
  <c r="AB8" i="84" s="1"/>
  <c r="F8" i="84"/>
  <c r="S8" i="84" s="1"/>
  <c r="C7" i="84"/>
  <c r="C59" i="84" s="1"/>
  <c r="D59" i="84" s="1"/>
  <c r="E59" i="84" s="1"/>
  <c r="F59" i="84" s="1"/>
  <c r="G59" i="84" s="1"/>
  <c r="H59" i="84" s="1"/>
  <c r="I59" i="84" s="1"/>
  <c r="J59" i="84" s="1"/>
  <c r="K59" i="84" s="1"/>
  <c r="L59" i="84" s="1"/>
  <c r="M59" i="84" s="1"/>
  <c r="N59" i="84" s="1"/>
  <c r="O59" i="84" s="1"/>
  <c r="D3" i="84"/>
  <c r="C34" i="84" s="1"/>
  <c r="Q72" i="83"/>
  <c r="C62" i="83"/>
  <c r="C61" i="83"/>
  <c r="C60" i="83"/>
  <c r="Q59" i="83"/>
  <c r="K59" i="83"/>
  <c r="P74" i="83" s="1"/>
  <c r="Q58" i="83"/>
  <c r="Q51" i="83"/>
  <c r="J50" i="83"/>
  <c r="J51" i="83" s="1"/>
  <c r="M47" i="83"/>
  <c r="D46" i="83"/>
  <c r="F34" i="83"/>
  <c r="F62" i="83" s="1"/>
  <c r="C34" i="83"/>
  <c r="F33" i="83"/>
  <c r="F61" i="83" s="1"/>
  <c r="C33" i="83"/>
  <c r="F32" i="83"/>
  <c r="F60" i="83" s="1"/>
  <c r="C32" i="83"/>
  <c r="F28" i="83"/>
  <c r="C28" i="83"/>
  <c r="F23" i="83"/>
  <c r="D24" i="83" s="1"/>
  <c r="D23" i="83"/>
  <c r="D22" i="83"/>
  <c r="F21" i="83"/>
  <c r="M20" i="83"/>
  <c r="F20" i="83"/>
  <c r="M19" i="83"/>
  <c r="M18" i="83"/>
  <c r="F18" i="83"/>
  <c r="F17" i="83"/>
  <c r="F15" i="83"/>
  <c r="G1" i="83"/>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C35" i="82"/>
  <c r="C34" i="82"/>
  <c r="F33" i="82"/>
  <c r="D27" i="82"/>
  <c r="C25" i="82"/>
  <c r="C24" i="82"/>
  <c r="M19" i="82"/>
  <c r="C118" i="82" s="1"/>
  <c r="M18" i="82"/>
  <c r="B118" i="82" s="1"/>
  <c r="D17" i="82"/>
  <c r="C17" i="82"/>
  <c r="L4" i="82"/>
  <c r="K4" i="82"/>
  <c r="A2" i="82"/>
  <c r="H1" i="82"/>
  <c r="I8" i="1"/>
  <c r="I7" i="1"/>
  <c r="H8" i="1"/>
  <c r="H7" i="1"/>
  <c r="AK8" i="1"/>
  <c r="AK7" i="1"/>
  <c r="N6" i="1"/>
  <c r="N7" i="1" s="1"/>
  <c r="N20" i="1"/>
  <c r="W8" i="1"/>
  <c r="W7" i="1"/>
  <c r="V8" i="1"/>
  <c r="V7" i="1"/>
  <c r="U8" i="1"/>
  <c r="U7" i="1"/>
  <c r="Q8" i="1"/>
  <c r="Q7" i="1"/>
  <c r="N8" i="1"/>
  <c r="N18" i="1"/>
  <c r="L8" i="1"/>
  <c r="L7" i="1"/>
  <c r="F20" i="6"/>
  <c r="F21" i="6"/>
  <c r="F19" i="6"/>
  <c r="C76" i="87"/>
  <c r="C20" i="85"/>
  <c r="D2" i="84"/>
  <c r="D2" i="86"/>
  <c r="C19" i="85"/>
  <c r="C76" i="83"/>
  <c r="Q71" i="87" l="1"/>
  <c r="P61" i="87"/>
  <c r="H7" i="86"/>
  <c r="AA8" i="86"/>
  <c r="AC8" i="86"/>
  <c r="U9" i="86"/>
  <c r="S10" i="86"/>
  <c r="W10" i="86"/>
  <c r="U11" i="86"/>
  <c r="S12" i="86"/>
  <c r="W12" i="86"/>
  <c r="U13" i="86"/>
  <c r="S14" i="86"/>
  <c r="W14" i="86"/>
  <c r="S15" i="86"/>
  <c r="W15" i="86"/>
  <c r="S17" i="86"/>
  <c r="W17" i="86"/>
  <c r="S19" i="86"/>
  <c r="W19" i="86"/>
  <c r="S21" i="86"/>
  <c r="W21" i="86"/>
  <c r="S23" i="86"/>
  <c r="W23" i="86"/>
  <c r="U25" i="86"/>
  <c r="S27" i="86"/>
  <c r="W27" i="86"/>
  <c r="U28" i="86"/>
  <c r="W29" i="86"/>
  <c r="S31" i="86"/>
  <c r="U32" i="86"/>
  <c r="AB37" i="86"/>
  <c r="U37" i="86"/>
  <c r="H34" i="86"/>
  <c r="J34" i="86"/>
  <c r="F34" i="86"/>
  <c r="F7" i="86"/>
  <c r="J7" i="86"/>
  <c r="S9" i="86"/>
  <c r="W9" i="86"/>
  <c r="U10" i="86"/>
  <c r="S11" i="86"/>
  <c r="W11" i="86"/>
  <c r="U12" i="86"/>
  <c r="S13" i="86"/>
  <c r="W13" i="86"/>
  <c r="U14" i="86"/>
  <c r="U15" i="86"/>
  <c r="U17" i="86"/>
  <c r="U19" i="86"/>
  <c r="U21" i="86"/>
  <c r="U23" i="86"/>
  <c r="S25" i="86"/>
  <c r="W25" i="86"/>
  <c r="U27" i="86"/>
  <c r="AC28" i="86"/>
  <c r="W28" i="86"/>
  <c r="S28" i="86"/>
  <c r="S29" i="86"/>
  <c r="AA33" i="86"/>
  <c r="S33" i="86"/>
  <c r="AA37" i="86"/>
  <c r="S37" i="86"/>
  <c r="AC37" i="86"/>
  <c r="W37" i="86"/>
  <c r="W33" i="86"/>
  <c r="U35" i="86"/>
  <c r="S36" i="86"/>
  <c r="W36" i="86"/>
  <c r="S38" i="86"/>
  <c r="W38" i="86"/>
  <c r="U39" i="86"/>
  <c r="S40" i="86"/>
  <c r="W40" i="86"/>
  <c r="U41" i="86"/>
  <c r="S42" i="86"/>
  <c r="W42" i="86"/>
  <c r="U43" i="86"/>
  <c r="S44" i="86"/>
  <c r="W44" i="86"/>
  <c r="U45" i="86"/>
  <c r="S46" i="86"/>
  <c r="W46" i="86"/>
  <c r="U47" i="86"/>
  <c r="U29" i="86"/>
  <c r="S30" i="86"/>
  <c r="W30" i="86"/>
  <c r="U31" i="86"/>
  <c r="S32" i="86"/>
  <c r="W32" i="86"/>
  <c r="U33" i="86"/>
  <c r="S35" i="86"/>
  <c r="W35" i="86"/>
  <c r="U36" i="86"/>
  <c r="U38" i="86"/>
  <c r="S39" i="86"/>
  <c r="W39" i="86"/>
  <c r="U40" i="86"/>
  <c r="S41" i="86"/>
  <c r="W41" i="86"/>
  <c r="U42" i="86"/>
  <c r="S43" i="86"/>
  <c r="W43" i="86"/>
  <c r="U44" i="86"/>
  <c r="S45" i="86"/>
  <c r="W45" i="86"/>
  <c r="U46" i="86"/>
  <c r="S47" i="86"/>
  <c r="W47" i="86"/>
  <c r="C102" i="85"/>
  <c r="C21" i="85"/>
  <c r="C103" i="85"/>
  <c r="F118" i="85"/>
  <c r="F119" i="85" s="1"/>
  <c r="C92" i="85"/>
  <c r="C94" i="85"/>
  <c r="K120" i="85"/>
  <c r="D121" i="85"/>
  <c r="D118" i="85"/>
  <c r="D119" i="85" s="1"/>
  <c r="H112" i="85"/>
  <c r="H110" i="85"/>
  <c r="H111" i="85"/>
  <c r="D126" i="85" s="1"/>
  <c r="D127" i="85" s="1"/>
  <c r="AA8" i="84"/>
  <c r="AC8" i="84"/>
  <c r="U9" i="84"/>
  <c r="S10" i="84"/>
  <c r="W10" i="84"/>
  <c r="U11" i="84"/>
  <c r="S12" i="84"/>
  <c r="W12" i="84"/>
  <c r="U13" i="84"/>
  <c r="S14" i="84"/>
  <c r="W14" i="84"/>
  <c r="S15" i="84"/>
  <c r="W15" i="84"/>
  <c r="S17" i="84"/>
  <c r="W17" i="84"/>
  <c r="S19" i="84"/>
  <c r="W19" i="84"/>
  <c r="S21" i="84"/>
  <c r="W21" i="84"/>
  <c r="S23" i="84"/>
  <c r="W23" i="84"/>
  <c r="AC27" i="84"/>
  <c r="W27" i="84"/>
  <c r="S27" i="84"/>
  <c r="AB37" i="84"/>
  <c r="U37" i="84"/>
  <c r="H7" i="84"/>
  <c r="J34" i="84"/>
  <c r="F34" i="84"/>
  <c r="H34" i="84"/>
  <c r="F7" i="84"/>
  <c r="J7" i="84"/>
  <c r="S9" i="84"/>
  <c r="W9" i="84"/>
  <c r="U10" i="84"/>
  <c r="S11" i="84"/>
  <c r="W11" i="84"/>
  <c r="U12" i="84"/>
  <c r="S13" i="84"/>
  <c r="W13" i="84"/>
  <c r="U14" i="84"/>
  <c r="U15" i="84"/>
  <c r="U17" i="84"/>
  <c r="U19" i="84"/>
  <c r="U21" i="84"/>
  <c r="U23" i="84"/>
  <c r="AA25" i="84"/>
  <c r="S25" i="84"/>
  <c r="U25" i="84"/>
  <c r="AA37" i="84"/>
  <c r="S37" i="84"/>
  <c r="AC37" i="84"/>
  <c r="W37" i="84"/>
  <c r="W25" i="84"/>
  <c r="U27" i="84"/>
  <c r="S28" i="84"/>
  <c r="W28" i="84"/>
  <c r="U29" i="84"/>
  <c r="S30" i="84"/>
  <c r="W30" i="84"/>
  <c r="U31" i="84"/>
  <c r="S32" i="84"/>
  <c r="W32" i="84"/>
  <c r="U33" i="84"/>
  <c r="S35" i="84"/>
  <c r="W35" i="84"/>
  <c r="U36" i="84"/>
  <c r="U38" i="84"/>
  <c r="S39" i="84"/>
  <c r="W39" i="84"/>
  <c r="U40" i="84"/>
  <c r="S41" i="84"/>
  <c r="W41" i="84"/>
  <c r="U42" i="84"/>
  <c r="S43" i="84"/>
  <c r="W43" i="84"/>
  <c r="U44" i="84"/>
  <c r="S45" i="84"/>
  <c r="W45" i="84"/>
  <c r="U46" i="84"/>
  <c r="S47" i="84"/>
  <c r="W47" i="84"/>
  <c r="U28" i="84"/>
  <c r="S29" i="84"/>
  <c r="W29" i="84"/>
  <c r="U30" i="84"/>
  <c r="S31" i="84"/>
  <c r="W31" i="84"/>
  <c r="U32" i="84"/>
  <c r="S33" i="84"/>
  <c r="W33" i="84"/>
  <c r="U35" i="84"/>
  <c r="S36" i="84"/>
  <c r="W36" i="84"/>
  <c r="S38" i="84"/>
  <c r="W38" i="84"/>
  <c r="U39" i="84"/>
  <c r="S40" i="84"/>
  <c r="W40" i="84"/>
  <c r="U41" i="84"/>
  <c r="S42" i="84"/>
  <c r="W42" i="84"/>
  <c r="U43" i="84"/>
  <c r="S44" i="84"/>
  <c r="W44" i="84"/>
  <c r="U45" i="84"/>
  <c r="S46" i="84"/>
  <c r="W46" i="84"/>
  <c r="U47" i="84"/>
  <c r="Q71" i="83"/>
  <c r="P61" i="83"/>
  <c r="E118" i="82"/>
  <c r="D118" i="82" s="1"/>
  <c r="D119" i="82" s="1"/>
  <c r="C94" i="82"/>
  <c r="C92" i="82"/>
  <c r="C18" i="82"/>
  <c r="D18" i="82" s="1"/>
  <c r="G118" i="82"/>
  <c r="F118" i="82" s="1"/>
  <c r="F119" i="82" s="1"/>
  <c r="D121" i="82"/>
  <c r="K120" i="82"/>
  <c r="H109" i="82"/>
  <c r="B131" i="81"/>
  <c r="B129" i="8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F109" i="81"/>
  <c r="G109" i="81" s="1"/>
  <c r="H109" i="81" s="1"/>
  <c r="I109" i="81" s="1"/>
  <c r="J109" i="81" s="1"/>
  <c r="K109" i="81" s="1"/>
  <c r="L109" i="81" s="1"/>
  <c r="M109" i="81" s="1"/>
  <c r="D109" i="81"/>
  <c r="E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W47" i="81"/>
  <c r="Q47" i="81"/>
  <c r="Z47" i="81" s="1"/>
  <c r="J47" i="81"/>
  <c r="H47" i="81"/>
  <c r="AB47" i="81" s="1"/>
  <c r="F47" i="81"/>
  <c r="AA47" i="81" s="1"/>
  <c r="Q46" i="81"/>
  <c r="Z46" i="81" s="1"/>
  <c r="H46" i="81"/>
  <c r="AB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H34" i="81"/>
  <c r="AB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S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D3" i="81"/>
  <c r="C34" i="81" s="1"/>
  <c r="J34" i="81" s="1"/>
  <c r="AC34" i="81" s="1"/>
  <c r="Y6" i="1"/>
  <c r="D3" i="4"/>
  <c r="F7" i="87"/>
  <c r="M22" i="87"/>
  <c r="F40" i="87"/>
  <c r="M6" i="87"/>
  <c r="F16" i="87"/>
  <c r="M26" i="87"/>
  <c r="F36" i="87"/>
  <c r="L47" i="87"/>
  <c r="M28" i="87"/>
  <c r="F6" i="87"/>
  <c r="F13" i="87"/>
  <c r="F26" i="87"/>
  <c r="F37" i="87"/>
  <c r="M9" i="83"/>
  <c r="F38" i="83"/>
  <c r="M28" i="83"/>
  <c r="F6" i="83"/>
  <c r="F13" i="83"/>
  <c r="F26" i="83"/>
  <c r="F37" i="83"/>
  <c r="F9" i="83"/>
  <c r="M24" i="83"/>
  <c r="M6" i="83"/>
  <c r="M26" i="83"/>
  <c r="L47" i="83"/>
  <c r="F9" i="87"/>
  <c r="M24" i="87"/>
  <c r="F43" i="87"/>
  <c r="M9" i="87"/>
  <c r="M23" i="87"/>
  <c r="M29" i="87"/>
  <c r="F38" i="87"/>
  <c r="F8" i="87"/>
  <c r="F42" i="87"/>
  <c r="M8" i="87"/>
  <c r="J15" i="87"/>
  <c r="M27" i="87"/>
  <c r="L48" i="87"/>
  <c r="M23" i="83"/>
  <c r="F8" i="83"/>
  <c r="F42" i="83"/>
  <c r="M8" i="83"/>
  <c r="J15" i="83"/>
  <c r="M27" i="83"/>
  <c r="L48" i="83"/>
  <c r="M22" i="83"/>
  <c r="F40" i="83"/>
  <c r="F16" i="83"/>
  <c r="F36" i="83"/>
  <c r="D2" i="81"/>
  <c r="L57" i="87" l="1"/>
  <c r="L56" i="87"/>
  <c r="J53" i="87"/>
  <c r="J57" i="87"/>
  <c r="J55" i="87" s="1"/>
  <c r="J58" i="87" s="1"/>
  <c r="Q50" i="87" s="1"/>
  <c r="I54" i="87"/>
  <c r="L60" i="87"/>
  <c r="F65" i="87"/>
  <c r="C27" i="87"/>
  <c r="F31" i="87"/>
  <c r="C6" i="87"/>
  <c r="F51" i="87"/>
  <c r="N59" i="87"/>
  <c r="L59" i="87"/>
  <c r="L58" i="87"/>
  <c r="M59" i="87"/>
  <c r="F66" i="87"/>
  <c r="F64" i="87"/>
  <c r="F71" i="87"/>
  <c r="F68" i="87"/>
  <c r="F50" i="87"/>
  <c r="M7" i="87"/>
  <c r="M17" i="87" s="1"/>
  <c r="AC7" i="86"/>
  <c r="W7" i="86"/>
  <c r="AA34" i="86"/>
  <c r="S34" i="86"/>
  <c r="AB34" i="86"/>
  <c r="U34" i="86"/>
  <c r="AA7" i="86"/>
  <c r="R49" i="86" s="1"/>
  <c r="S7" i="86"/>
  <c r="AC34" i="86"/>
  <c r="W34" i="86"/>
  <c r="U7" i="86"/>
  <c r="AB7" i="86"/>
  <c r="F34" i="81"/>
  <c r="AA34" i="81" s="1"/>
  <c r="AC7" i="84"/>
  <c r="W7" i="84"/>
  <c r="AB34" i="84"/>
  <c r="U34" i="84"/>
  <c r="AC34" i="84"/>
  <c r="W34" i="84"/>
  <c r="AA7" i="84"/>
  <c r="S7" i="84"/>
  <c r="AA34" i="84"/>
  <c r="S34" i="84"/>
  <c r="U7" i="84"/>
  <c r="AB7" i="84"/>
  <c r="N59" i="83"/>
  <c r="L59" i="83"/>
  <c r="L58" i="83"/>
  <c r="M59" i="83"/>
  <c r="F64" i="83"/>
  <c r="F68" i="83"/>
  <c r="L57" i="83"/>
  <c r="L56" i="83"/>
  <c r="J57" i="83"/>
  <c r="J55" i="83" s="1"/>
  <c r="J58" i="83" s="1"/>
  <c r="Q50" i="83" s="1"/>
  <c r="I54" i="83"/>
  <c r="L60" i="83"/>
  <c r="J53" i="83"/>
  <c r="F65" i="83"/>
  <c r="C27" i="83"/>
  <c r="F51" i="83"/>
  <c r="F66" i="83"/>
  <c r="D124" i="82"/>
  <c r="D125" i="82" s="1"/>
  <c r="H110" i="82"/>
  <c r="Y7" i="1"/>
  <c r="Y8" i="1"/>
  <c r="C37" i="81"/>
  <c r="U9" i="81"/>
  <c r="S10" i="81"/>
  <c r="W10" i="81"/>
  <c r="U11" i="81"/>
  <c r="S12" i="81"/>
  <c r="W12" i="81"/>
  <c r="U13" i="81"/>
  <c r="AA14" i="81"/>
  <c r="S15" i="81"/>
  <c r="W15" i="81"/>
  <c r="S17" i="81"/>
  <c r="W17" i="81"/>
  <c r="S19" i="81"/>
  <c r="W19" i="81"/>
  <c r="S21" i="81"/>
  <c r="W21" i="81"/>
  <c r="S23" i="81"/>
  <c r="W23" i="81"/>
  <c r="U25" i="81"/>
  <c r="S27" i="81"/>
  <c r="W27" i="81"/>
  <c r="S29" i="81"/>
  <c r="U30" i="81"/>
  <c r="AA8" i="81"/>
  <c r="AC8" i="81"/>
  <c r="W14" i="81"/>
  <c r="S9" i="81"/>
  <c r="W9" i="81"/>
  <c r="U10" i="81"/>
  <c r="S11" i="81"/>
  <c r="W11" i="81"/>
  <c r="U12" i="81"/>
  <c r="S13" i="81"/>
  <c r="W13" i="81"/>
  <c r="U14" i="81"/>
  <c r="U15" i="81"/>
  <c r="U17" i="81"/>
  <c r="U19" i="81"/>
  <c r="U21" i="81"/>
  <c r="U23" i="81"/>
  <c r="S25" i="81"/>
  <c r="W25" i="81"/>
  <c r="U27" i="81"/>
  <c r="U28" i="81"/>
  <c r="W29" i="81"/>
  <c r="S31" i="81"/>
  <c r="W31" i="81"/>
  <c r="U32" i="81"/>
  <c r="S33" i="81"/>
  <c r="W33" i="81"/>
  <c r="U34" i="81"/>
  <c r="S35" i="81"/>
  <c r="W35" i="81"/>
  <c r="U36" i="81"/>
  <c r="S38" i="81"/>
  <c r="W38" i="81"/>
  <c r="U39" i="81"/>
  <c r="S40" i="81"/>
  <c r="W40" i="81"/>
  <c r="U41" i="81"/>
  <c r="S42" i="81"/>
  <c r="W42" i="81"/>
  <c r="U43" i="81"/>
  <c r="S44" i="81"/>
  <c r="W44" i="81"/>
  <c r="U45" i="81"/>
  <c r="U46" i="81"/>
  <c r="J46" i="81"/>
  <c r="F46" i="81"/>
  <c r="S28" i="81"/>
  <c r="W28" i="81"/>
  <c r="U29" i="81"/>
  <c r="S30" i="81"/>
  <c r="W30" i="81"/>
  <c r="U31" i="81"/>
  <c r="S32" i="81"/>
  <c r="W32" i="81"/>
  <c r="U33" i="81"/>
  <c r="W34" i="81"/>
  <c r="U35" i="81"/>
  <c r="S36" i="81"/>
  <c r="W36" i="81"/>
  <c r="U38" i="81"/>
  <c r="S39" i="81"/>
  <c r="W39" i="81"/>
  <c r="U40" i="81"/>
  <c r="S41" i="81"/>
  <c r="W41" i="81"/>
  <c r="U42" i="81"/>
  <c r="S43" i="81"/>
  <c r="W43" i="81"/>
  <c r="U44" i="81"/>
  <c r="S45" i="81"/>
  <c r="W45" i="81"/>
  <c r="S47" i="81"/>
  <c r="U47" i="81"/>
  <c r="E9" i="1"/>
  <c r="E10" i="1"/>
  <c r="E11" i="1"/>
  <c r="E12" i="1"/>
  <c r="E13" i="1"/>
  <c r="C16" i="87"/>
  <c r="C14" i="87"/>
  <c r="C17" i="87"/>
  <c r="F59" i="87" l="1"/>
  <c r="C18" i="87"/>
  <c r="C15" i="87"/>
  <c r="J6" i="87"/>
  <c r="Q61" i="87"/>
  <c r="Q74" i="87"/>
  <c r="C49" i="87"/>
  <c r="F1" i="87"/>
  <c r="Q52" i="87"/>
  <c r="Q60" i="87"/>
  <c r="Q73" i="87"/>
  <c r="C31" i="87"/>
  <c r="Q66" i="87"/>
  <c r="Q57" i="87"/>
  <c r="T49" i="86"/>
  <c r="G49" i="86" s="1"/>
  <c r="E49" i="86"/>
  <c r="V49" i="86"/>
  <c r="I49" i="86" s="1"/>
  <c r="S34" i="81"/>
  <c r="T49" i="84"/>
  <c r="G49" i="84" s="1"/>
  <c r="R49" i="84"/>
  <c r="V49" i="84"/>
  <c r="I49" i="84" s="1"/>
  <c r="F1" i="83"/>
  <c r="Q52" i="83"/>
  <c r="Q61" i="83"/>
  <c r="Q74" i="83"/>
  <c r="Q66" i="83"/>
  <c r="Q57" i="83"/>
  <c r="Q60" i="83"/>
  <c r="Q73" i="83"/>
  <c r="G37" i="81"/>
  <c r="I37" i="81"/>
  <c r="J37" i="81" s="1"/>
  <c r="E37" i="81"/>
  <c r="F37" i="81"/>
  <c r="AA37" i="81" s="1"/>
  <c r="H37" i="81"/>
  <c r="AC46" i="81"/>
  <c r="W46" i="81"/>
  <c r="AB37" i="81"/>
  <c r="U37" i="81"/>
  <c r="AA46" i="81"/>
  <c r="S46" i="8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9" i="87" l="1"/>
  <c r="C20" i="87" s="1"/>
  <c r="C26" i="87" s="1"/>
  <c r="C59" i="87"/>
  <c r="J18" i="87"/>
  <c r="J17" i="87"/>
  <c r="J19" i="87"/>
  <c r="I54" i="86"/>
  <c r="J54" i="86" s="1"/>
  <c r="I53" i="86"/>
  <c r="J53" i="86" s="1"/>
  <c r="R50" i="86"/>
  <c r="E54" i="86"/>
  <c r="F54" i="86" s="1"/>
  <c r="E53" i="86"/>
  <c r="F53" i="86" s="1"/>
  <c r="G53" i="86"/>
  <c r="H53" i="86" s="1"/>
  <c r="G54" i="86"/>
  <c r="H54" i="86" s="1"/>
  <c r="R50" i="84"/>
  <c r="E49" i="84"/>
  <c r="I53" i="84"/>
  <c r="J53" i="84" s="1"/>
  <c r="I54" i="84"/>
  <c r="J54" i="84" s="1"/>
  <c r="G54" i="84"/>
  <c r="H54" i="84" s="1"/>
  <c r="G53" i="84"/>
  <c r="H53" i="84" s="1"/>
  <c r="AC37" i="81"/>
  <c r="W37" i="81"/>
  <c r="S37" i="81"/>
  <c r="T5" i="79"/>
  <c r="C50" i="86" l="1"/>
  <c r="C49" i="86"/>
  <c r="C49" i="84"/>
  <c r="C50" i="84"/>
  <c r="E53" i="84"/>
  <c r="F53" i="84" s="1"/>
  <c r="E54" i="84"/>
  <c r="F54" i="84" s="1"/>
  <c r="B10" i="74"/>
  <c r="B3" i="86" l="1"/>
  <c r="B2" i="86"/>
  <c r="B3" i="84"/>
  <c r="B2" i="8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9" i="81" s="1"/>
  <c r="E15" i="4"/>
  <c r="F8" i="1" s="1"/>
  <c r="A7" i="1"/>
  <c r="B7" i="1" s="1"/>
  <c r="E7" i="1" s="1"/>
  <c r="A8" i="1"/>
  <c r="B8" i="1" s="1"/>
  <c r="E8" i="1" s="1"/>
  <c r="A9" i="1"/>
  <c r="A10" i="1"/>
  <c r="A11" i="1"/>
  <c r="B11" i="1" s="1"/>
  <c r="A12" i="1"/>
  <c r="A13" i="1"/>
  <c r="A6" i="1"/>
  <c r="F3" i="35"/>
  <c r="B13" i="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S41" i="33"/>
  <c r="F113" i="33"/>
  <c r="G113" i="33"/>
  <c r="H113" i="33"/>
  <c r="I113" i="33"/>
  <c r="J113" i="33"/>
  <c r="K113" i="33"/>
  <c r="L113" i="33"/>
  <c r="M113" i="33"/>
  <c r="H37" i="33"/>
  <c r="AB37" i="33"/>
  <c r="H15" i="33"/>
  <c r="AB15" i="33"/>
  <c r="H11" i="33"/>
  <c r="AB11" i="33" s="1"/>
  <c r="F28" i="40"/>
  <c r="AA28" i="40"/>
  <c r="AA29" i="35"/>
  <c r="J11" i="33"/>
  <c r="W11" i="33" s="1"/>
  <c r="U23" i="40"/>
  <c r="G123" i="21"/>
  <c r="H123" i="21"/>
  <c r="I123" i="21"/>
  <c r="J123" i="21"/>
  <c r="K123" i="21"/>
  <c r="L123" i="21"/>
  <c r="M123" i="21"/>
  <c r="J42" i="21"/>
  <c r="AC42" i="21"/>
  <c r="H42" i="21"/>
  <c r="U42" i="2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A5" i="3"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12" i="3"/>
  <c r="E286" i="3"/>
  <c r="E499" i="3"/>
  <c r="E502" i="3"/>
  <c r="E466" i="3"/>
  <c r="E430" i="3"/>
  <c r="E255" i="3"/>
  <c r="AP6" i="3"/>
  <c r="E517" i="3"/>
  <c r="E435" i="3"/>
  <c r="E491" i="3"/>
  <c r="E417" i="3"/>
  <c r="E479" i="3"/>
  <c r="E56" i="3"/>
  <c r="E37" i="3"/>
  <c r="E95" i="3"/>
  <c r="E152" i="3"/>
  <c r="E132" i="3"/>
  <c r="E192" i="3"/>
  <c r="E258" i="3"/>
  <c r="E241" i="3"/>
  <c r="E292" i="3"/>
  <c r="E363" i="3"/>
  <c r="E349" i="3"/>
  <c r="E389" i="3"/>
  <c r="E544" i="3"/>
  <c r="E76" i="3"/>
  <c r="E59" i="3"/>
  <c r="E409" i="3"/>
  <c r="E484" i="3"/>
  <c r="E425" i="3"/>
  <c r="E46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83"/>
  <c r="B11" i="76"/>
  <c r="M6" i="15"/>
  <c r="F13" i="67"/>
  <c r="L48" i="67"/>
  <c r="L48" i="15"/>
  <c r="F3" i="73"/>
  <c r="E8" i="76"/>
  <c r="M26" i="67"/>
  <c r="D7" i="73"/>
  <c r="B9" i="76"/>
  <c r="M22" i="15"/>
  <c r="E10" i="76"/>
  <c r="F26" i="67"/>
  <c r="F13" i="15"/>
  <c r="M28" i="15"/>
  <c r="F37" i="67"/>
  <c r="M29" i="15"/>
  <c r="D6" i="73"/>
  <c r="E9" i="76"/>
  <c r="F40" i="15"/>
  <c r="B12" i="76"/>
  <c r="M26" i="15"/>
  <c r="F37" i="15"/>
  <c r="F6" i="73"/>
  <c r="E13" i="76"/>
  <c r="F6" i="15"/>
  <c r="F38" i="15"/>
  <c r="F9" i="67"/>
  <c r="F26" i="15"/>
  <c r="F7" i="15"/>
  <c r="F42" i="67"/>
  <c r="F9" i="15"/>
  <c r="B10" i="76"/>
  <c r="E12" i="76"/>
  <c r="M6" i="67"/>
  <c r="J15" i="15"/>
  <c r="F38" i="67"/>
  <c r="M22" i="67"/>
  <c r="M8" i="15"/>
  <c r="F16" i="67"/>
  <c r="F4" i="73"/>
  <c r="F42" i="15"/>
  <c r="D5" i="73"/>
  <c r="E2" i="68"/>
  <c r="L47" i="67"/>
  <c r="F8" i="67"/>
  <c r="F43" i="15"/>
  <c r="F43" i="67"/>
  <c r="AO13" i="1"/>
  <c r="B7" i="76"/>
  <c r="M29" i="83"/>
  <c r="F7" i="83"/>
  <c r="M24" i="67"/>
  <c r="L47" i="15"/>
  <c r="D4" i="73"/>
  <c r="B8" i="76"/>
  <c r="F40" i="67"/>
  <c r="F36" i="15"/>
  <c r="M8" i="67"/>
  <c r="C76" i="67"/>
  <c r="J15" i="67"/>
  <c r="M24" i="15"/>
  <c r="M29" i="67"/>
  <c r="F8" i="15"/>
  <c r="M9" i="67"/>
  <c r="E11" i="76"/>
  <c r="M28" i="67"/>
  <c r="F7" i="73"/>
  <c r="E7" i="76"/>
  <c r="F36" i="67"/>
  <c r="C76" i="15"/>
  <c r="F16" i="15"/>
  <c r="M23" i="15"/>
  <c r="F20" i="31"/>
  <c r="M9" i="15"/>
  <c r="B13" i="76"/>
  <c r="M23" i="67"/>
  <c r="D3" i="73"/>
  <c r="E2" i="69"/>
  <c r="F7" i="67"/>
  <c r="F5" i="73"/>
  <c r="C6" i="83" l="1"/>
  <c r="F31" i="83"/>
  <c r="M7" i="83"/>
  <c r="F50" i="83"/>
  <c r="F71" i="83"/>
  <c r="AP6" i="1"/>
  <c r="AZ14"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47" i="3"/>
  <c r="E446" i="3"/>
  <c r="E521" i="3"/>
  <c r="E462" i="3"/>
  <c r="E488" i="3"/>
  <c r="E110" i="3"/>
  <c r="E58" i="3"/>
  <c r="E504" i="3"/>
  <c r="E375" i="3"/>
  <c r="E378" i="3"/>
  <c r="E348" i="3"/>
  <c r="E259" i="3"/>
  <c r="E297" i="3"/>
  <c r="E240" i="3"/>
  <c r="E155" i="3"/>
  <c r="E187" i="3"/>
  <c r="E131" i="3"/>
  <c r="E57" i="3"/>
  <c r="E90" i="3"/>
  <c r="E39" i="3"/>
  <c r="E436" i="3"/>
  <c r="E520" i="3"/>
  <c r="E460" i="3"/>
  <c r="E413" i="3"/>
  <c r="E554" i="3"/>
  <c r="I3" i="6"/>
  <c r="E449" i="3"/>
  <c r="E541" i="3"/>
  <c r="E442" i="3"/>
  <c r="R6" i="3"/>
  <c r="E575" i="3"/>
  <c r="E199" i="3"/>
  <c r="E244" i="3"/>
  <c r="E582" i="3"/>
  <c r="E500" i="3"/>
  <c r="E566" i="3"/>
  <c r="E374" i="3"/>
  <c r="E459" i="3"/>
  <c r="E416" i="3"/>
  <c r="E398" i="3"/>
  <c r="E487" i="3"/>
  <c r="E464" i="3"/>
  <c r="E421" i="3"/>
  <c r="E552" i="3"/>
  <c r="E542" i="3"/>
  <c r="AD6" i="3"/>
  <c r="E312" i="3"/>
  <c r="E141" i="3"/>
  <c r="E167" i="3"/>
  <c r="E149" i="3"/>
  <c r="E510" i="3"/>
  <c r="E539" i="3"/>
  <c r="E536" i="3"/>
  <c r="E148"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140" i="3"/>
  <c r="E188" i="3"/>
  <c r="E296" i="3"/>
  <c r="E16" i="3"/>
  <c r="E205" i="3"/>
  <c r="E329" i="3"/>
  <c r="BL5" i="3"/>
  <c r="D59" i="81"/>
  <c r="E59" i="81" s="1"/>
  <c r="F59" i="81" s="1"/>
  <c r="G59" i="81" s="1"/>
  <c r="H59" i="81" s="1"/>
  <c r="I59" i="81" s="1"/>
  <c r="J59" i="81" s="1"/>
  <c r="K59" i="81" s="1"/>
  <c r="L59" i="81" s="1"/>
  <c r="M59" i="81" s="1"/>
  <c r="N59" i="81" s="1"/>
  <c r="O59" i="81" s="1"/>
  <c r="H7" i="81"/>
  <c r="F7" i="81"/>
  <c r="C28" i="67"/>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C16" i="15"/>
  <c r="C16" i="67"/>
  <c r="G1" i="73"/>
  <c r="C31" i="83" l="1"/>
  <c r="M11" i="87"/>
  <c r="J10" i="87" s="1"/>
  <c r="J5" i="87" s="1"/>
  <c r="F11" i="87"/>
  <c r="F59" i="83"/>
  <c r="C49" i="83"/>
  <c r="J6" i="83"/>
  <c r="M17" i="83"/>
  <c r="M11" i="83"/>
  <c r="J10" i="83" s="1"/>
  <c r="J5" i="83" s="1"/>
  <c r="F11" i="83"/>
  <c r="J7" i="81"/>
  <c r="AC7" i="81" s="1"/>
  <c r="V49" i="81" s="1"/>
  <c r="I49" i="81" s="1"/>
  <c r="AA7" i="81"/>
  <c r="R49" i="81" s="1"/>
  <c r="S7" i="81"/>
  <c r="U7" i="81"/>
  <c r="AB7" i="81"/>
  <c r="T49" i="81" s="1"/>
  <c r="G49" i="81" s="1"/>
  <c r="K16" i="1"/>
  <c r="D18" i="53"/>
  <c r="B35" i="72" s="1"/>
  <c r="C7" i="74"/>
  <c r="F7" i="36"/>
  <c r="J7" i="37"/>
  <c r="H7" i="36"/>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AE8" i="1"/>
  <c r="C24" i="87" l="1"/>
  <c r="C23" i="87"/>
  <c r="J24" i="87"/>
  <c r="J26" i="87"/>
  <c r="C53" i="87"/>
  <c r="C48" i="87" s="1"/>
  <c r="C10" i="87"/>
  <c r="C5" i="87" s="1"/>
  <c r="J17" i="83"/>
  <c r="C59" i="83"/>
  <c r="J18" i="83"/>
  <c r="J19" i="83"/>
  <c r="C53" i="83"/>
  <c r="C48" i="83" s="1"/>
  <c r="C10" i="83"/>
  <c r="C5" i="83" s="1"/>
  <c r="L36" i="43"/>
  <c r="P36" i="43" s="1"/>
  <c r="F24" i="83"/>
  <c r="J24" i="83"/>
  <c r="J26" i="83"/>
  <c r="W7" i="81"/>
  <c r="G54" i="81"/>
  <c r="H54" i="81" s="1"/>
  <c r="G53" i="81"/>
  <c r="H53" i="81" s="1"/>
  <c r="I53" i="81"/>
  <c r="J53" i="81" s="1"/>
  <c r="E49" i="81"/>
  <c r="I54" i="81" s="1"/>
  <c r="J54" i="81" s="1"/>
  <c r="R50" i="81"/>
  <c r="E65" i="39"/>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C17" i="83"/>
  <c r="M27" i="67"/>
  <c r="F41" i="15"/>
  <c r="M27" i="15"/>
  <c r="C14" i="83"/>
  <c r="C66" i="87" l="1"/>
  <c r="C29" i="87"/>
  <c r="C38" i="87"/>
  <c r="C18" i="83"/>
  <c r="C15" i="83"/>
  <c r="N36" i="43"/>
  <c r="O36" i="43"/>
  <c r="L37" i="43"/>
  <c r="M37" i="43" s="1"/>
  <c r="M36" i="43"/>
  <c r="Q36" i="43"/>
  <c r="C24" i="83"/>
  <c r="C38" i="83"/>
  <c r="C66" i="83"/>
  <c r="S8" i="1"/>
  <c r="E8" i="70" s="1"/>
  <c r="B14" i="74"/>
  <c r="B1" i="74" s="1"/>
  <c r="C49" i="81"/>
  <c r="C50" i="81"/>
  <c r="E54" i="81"/>
  <c r="F54" i="81" s="1"/>
  <c r="E53" i="81"/>
  <c r="F53" i="81" s="1"/>
  <c r="D116" i="43"/>
  <c r="M21" i="6"/>
  <c r="I21" i="6" s="1"/>
  <c r="S21" i="6" s="1"/>
  <c r="E6" i="70"/>
  <c r="C34" i="43"/>
  <c r="E34" i="43" s="1"/>
  <c r="F69" i="15"/>
  <c r="E33" i="43"/>
  <c r="M24" i="6"/>
  <c r="I24" i="6" s="1"/>
  <c r="S24" i="6" s="1"/>
  <c r="S11" i="1"/>
  <c r="E11" i="70" s="1"/>
  <c r="M22" i="6"/>
  <c r="I22" i="6" s="1"/>
  <c r="S22" i="6" s="1"/>
  <c r="S9" i="1"/>
  <c r="T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F6" i="67"/>
  <c r="C14" i="67"/>
  <c r="C17" i="15"/>
  <c r="C57" i="87" l="1"/>
  <c r="C64" i="87" s="1"/>
  <c r="Q49" i="87"/>
  <c r="C36" i="87"/>
  <c r="J14" i="87"/>
  <c r="C13" i="87"/>
  <c r="J59" i="87"/>
  <c r="J60" i="87" s="1"/>
  <c r="C19" i="83"/>
  <c r="P37" i="43"/>
  <c r="AR8" i="1"/>
  <c r="AQ8" i="1"/>
  <c r="C20" i="83"/>
  <c r="C23" i="83" s="1"/>
  <c r="N37" i="43"/>
  <c r="Q37" i="43"/>
  <c r="O37" i="43"/>
  <c r="C25" i="11"/>
  <c r="C22" i="11" s="1"/>
  <c r="C31" i="11" s="1"/>
  <c r="F31" i="67"/>
  <c r="B3" i="81"/>
  <c r="B2" i="81"/>
  <c r="C6" i="67"/>
  <c r="C33" i="67"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J19" i="67"/>
  <c r="C34" i="68"/>
  <c r="C20" i="82"/>
  <c r="C20" i="9"/>
  <c r="C14" i="15"/>
  <c r="B6" i="76"/>
  <c r="F41" i="83"/>
  <c r="C19" i="82"/>
  <c r="C19" i="9"/>
  <c r="AE6" i="1"/>
  <c r="E6" i="76"/>
  <c r="F41" i="87"/>
  <c r="F69" i="87" l="1"/>
  <c r="J29" i="87"/>
  <c r="Q48" i="87"/>
  <c r="L46" i="87"/>
  <c r="J22" i="87"/>
  <c r="J13" i="87"/>
  <c r="J23" i="87" s="1"/>
  <c r="C75" i="87"/>
  <c r="Q70" i="87"/>
  <c r="C56" i="87"/>
  <c r="C65" i="87" s="1"/>
  <c r="C37" i="87"/>
  <c r="C30" i="87" s="1"/>
  <c r="C39" i="87" s="1"/>
  <c r="C58" i="87"/>
  <c r="C67" i="87" s="1"/>
  <c r="C68" i="87" s="1"/>
  <c r="C26" i="83"/>
  <c r="C29" i="83" s="1"/>
  <c r="C103" i="82"/>
  <c r="C102" i="82"/>
  <c r="L18" i="82"/>
  <c r="L18" i="9"/>
  <c r="F69" i="83"/>
  <c r="J29" i="83"/>
  <c r="R7" i="1"/>
  <c r="C102" i="9"/>
  <c r="C103" i="9"/>
  <c r="C32" i="67"/>
  <c r="C10" i="67"/>
  <c r="C5" i="67" s="1"/>
  <c r="C38" i="67"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41" i="67"/>
  <c r="J16" i="87" l="1"/>
  <c r="J25" i="87" s="1"/>
  <c r="C40" i="87"/>
  <c r="C45" i="87" s="1"/>
  <c r="C46" i="87" s="1"/>
  <c r="Q69" i="87"/>
  <c r="Q68" i="87" s="1"/>
  <c r="C80" i="87"/>
  <c r="C79" i="87" s="1"/>
  <c r="C71" i="87"/>
  <c r="Q49" i="83"/>
  <c r="C57" i="83"/>
  <c r="C64" i="83" s="1"/>
  <c r="C13" i="83"/>
  <c r="Q70" i="83" s="1"/>
  <c r="C36" i="83"/>
  <c r="J59" i="83"/>
  <c r="J60" i="83" s="1"/>
  <c r="L46" i="83" s="1"/>
  <c r="J14" i="83"/>
  <c r="J13" i="83" s="1"/>
  <c r="J23" i="83" s="1"/>
  <c r="L19" i="82"/>
  <c r="C21" i="82" s="1"/>
  <c r="L19" i="9"/>
  <c r="C21" i="9" s="1"/>
  <c r="C75" i="83"/>
  <c r="J22" i="83"/>
  <c r="F7" i="21"/>
  <c r="AA7" i="21" s="1"/>
  <c r="R48" i="21" s="1"/>
  <c r="F69" i="67"/>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J63" i="40"/>
  <c r="I65" i="40"/>
  <c r="K48" i="35"/>
  <c r="L48" i="35" s="1"/>
  <c r="M48" i="35" s="1"/>
  <c r="N48" i="35" s="1"/>
  <c r="O48" i="35" s="1"/>
  <c r="H7" i="35" s="1"/>
  <c r="L51" i="87"/>
  <c r="Q67" i="87" l="1"/>
  <c r="Q47" i="87"/>
  <c r="Q53" i="87" s="1"/>
  <c r="C43" i="87"/>
  <c r="Q65" i="87"/>
  <c r="Q75" i="87" s="1"/>
  <c r="Q56" i="87"/>
  <c r="Q62" i="87" s="1"/>
  <c r="D2" i="87"/>
  <c r="C83" i="87"/>
  <c r="C82" i="87" s="1"/>
  <c r="Q48" i="83"/>
  <c r="C56" i="83"/>
  <c r="C65" i="83" s="1"/>
  <c r="C58" i="83" s="1"/>
  <c r="C67" i="83" s="1"/>
  <c r="C68" i="83" s="1"/>
  <c r="C71" i="83" s="1"/>
  <c r="C37" i="83"/>
  <c r="C30" i="83" s="1"/>
  <c r="C39" i="83" s="1"/>
  <c r="C40" i="83" s="1"/>
  <c r="J16" i="83"/>
  <c r="J25" i="83" s="1"/>
  <c r="W7" i="2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7"/>
  <c r="F35" i="83"/>
  <c r="M21" i="15"/>
  <c r="M21" i="67"/>
  <c r="F35" i="87"/>
  <c r="L51" i="83"/>
  <c r="M21" i="83"/>
  <c r="F35" i="67"/>
  <c r="F35" i="15"/>
  <c r="J20" i="87" l="1"/>
  <c r="F63" i="87"/>
  <c r="C45" i="83"/>
  <c r="C46" i="83" s="1"/>
  <c r="B3" i="87"/>
  <c r="B2" i="87"/>
  <c r="C80" i="83"/>
  <c r="C79" i="83" s="1"/>
  <c r="Q69" i="83"/>
  <c r="Q68" i="83" s="1"/>
  <c r="J20" i="83"/>
  <c r="F63" i="83"/>
  <c r="Q67" i="83"/>
  <c r="Q47" i="83"/>
  <c r="Q53" i="83" s="1"/>
  <c r="C43" i="83"/>
  <c r="Q65" i="83"/>
  <c r="Q75" i="83" s="1"/>
  <c r="Q56" i="83"/>
  <c r="Q62" i="83" s="1"/>
  <c r="D2" i="83"/>
  <c r="C83" i="83"/>
  <c r="C82" i="8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l="1"/>
  <c r="B2"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82"/>
  <c r="D2" i="37"/>
  <c r="D2" i="35"/>
  <c r="D19" i="85"/>
  <c r="L51" i="15"/>
  <c r="D19" i="9"/>
  <c r="D2" i="36"/>
  <c r="D21" i="85" l="1"/>
  <c r="D102" i="85"/>
  <c r="D22" i="85"/>
  <c r="G19" i="85"/>
  <c r="G21" i="85" s="1"/>
  <c r="D102" i="82"/>
  <c r="D21" i="82"/>
  <c r="D22" i="82"/>
  <c r="G19" i="82"/>
  <c r="G21" i="82" s="1"/>
  <c r="D102" i="9"/>
  <c r="G19" i="9"/>
  <c r="G21" i="9" s="1"/>
  <c r="D22" i="9"/>
  <c r="D21" i="9"/>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20" i="85"/>
  <c r="AO8" i="1"/>
  <c r="AO11" i="1"/>
  <c r="AO6" i="1"/>
  <c r="AO9" i="1"/>
  <c r="D20" i="82"/>
  <c r="AO10" i="1"/>
  <c r="AO12" i="1"/>
  <c r="AO7" i="1"/>
  <c r="D20" i="9"/>
  <c r="D103" i="85" l="1"/>
  <c r="G20" i="85"/>
  <c r="C32" i="85" s="1"/>
  <c r="D103" i="82"/>
  <c r="G20" i="82"/>
  <c r="C32" i="82" s="1"/>
  <c r="G20" i="9"/>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5" l="1"/>
  <c r="D35" i="85"/>
  <c r="D34" i="85"/>
  <c r="I118" i="82"/>
  <c r="D34" i="82"/>
  <c r="D35" i="82"/>
  <c r="C32" i="9"/>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5" l="1"/>
  <c r="H102" i="85"/>
  <c r="H118" i="85"/>
  <c r="H118" i="82"/>
  <c r="C105" i="82"/>
  <c r="H102" i="82"/>
  <c r="C34" i="9"/>
  <c r="C42" i="40"/>
  <c r="C43" i="40"/>
  <c r="E47" i="40"/>
  <c r="F47" i="40" s="1"/>
  <c r="E46" i="40"/>
  <c r="F46" i="40" s="1"/>
  <c r="I47" i="40"/>
  <c r="J47" i="40" s="1"/>
  <c r="D34" i="9"/>
  <c r="D16" i="74" l="1"/>
  <c r="F16" i="74" s="1"/>
  <c r="G16" i="74"/>
  <c r="E16" i="74"/>
  <c r="D15" i="74"/>
  <c r="F15" i="74" s="1"/>
  <c r="G15" i="74"/>
  <c r="E15" i="74"/>
  <c r="C104" i="85"/>
  <c r="H119" i="85"/>
  <c r="H101" i="85"/>
  <c r="H119" i="82"/>
  <c r="H101" i="82"/>
  <c r="C104" i="82"/>
  <c r="B58" i="40"/>
  <c r="F58" i="40" s="1"/>
  <c r="B54" i="40"/>
  <c r="F54" i="40" s="1"/>
  <c r="B53" i="40"/>
  <c r="F53" i="40" s="1"/>
  <c r="B59" i="40"/>
  <c r="F59" i="40" s="1"/>
  <c r="B52" i="40"/>
  <c r="F52" i="40" s="1"/>
  <c r="B56" i="40"/>
  <c r="F56" i="40" s="1"/>
  <c r="B60" i="40"/>
  <c r="F60" i="40" s="1"/>
  <c r="B57" i="40"/>
  <c r="F57" i="40" s="1"/>
  <c r="B51" i="40"/>
  <c r="F51" i="40" s="1"/>
  <c r="F61" i="40"/>
  <c r="B2" i="40" s="1"/>
  <c r="B3" i="40" s="1"/>
  <c r="D45" i="85" l="1"/>
  <c r="M48" i="85"/>
  <c r="H107" i="85"/>
  <c r="M48" i="82"/>
  <c r="H107" i="82"/>
  <c r="D45" i="82"/>
  <c r="G118" i="9"/>
  <c r="G4" i="52" s="1"/>
  <c r="B52" i="72" s="1"/>
  <c r="I118" i="9"/>
  <c r="C105" i="9" s="1"/>
  <c r="D122" i="85" l="1"/>
  <c r="D123" i="85" s="1"/>
  <c r="H108" i="85"/>
  <c r="M49" i="85"/>
  <c r="C78" i="85"/>
  <c r="C73" i="85" s="1"/>
  <c r="D52" i="85"/>
  <c r="C93" i="85"/>
  <c r="C86" i="85" s="1"/>
  <c r="C85" i="85"/>
  <c r="C95" i="85" s="1"/>
  <c r="C72" i="85"/>
  <c r="C79" i="85" s="1"/>
  <c r="C64" i="85"/>
  <c r="C63" i="85" s="1"/>
  <c r="C67" i="85" s="1"/>
  <c r="D55" i="85"/>
  <c r="M53" i="85" s="1"/>
  <c r="D53" i="85"/>
  <c r="C93" i="82"/>
  <c r="C86" i="82" s="1"/>
  <c r="C85" i="82"/>
  <c r="C72" i="82"/>
  <c r="C64" i="82"/>
  <c r="C63" i="82" s="1"/>
  <c r="C67" i="82" s="1"/>
  <c r="D55" i="82"/>
  <c r="M53" i="82" s="1"/>
  <c r="D53" i="82"/>
  <c r="C78" i="82"/>
  <c r="C73" i="82" s="1"/>
  <c r="D52" i="82"/>
  <c r="D122" i="82"/>
  <c r="D123" i="82" s="1"/>
  <c r="H108" i="82"/>
  <c r="M49" i="82"/>
  <c r="F118" i="9"/>
  <c r="F4" i="52" s="1"/>
  <c r="B51" i="72" s="1"/>
  <c r="H118" i="9"/>
  <c r="D14" i="74" s="1"/>
  <c r="G14" i="74" s="1"/>
  <c r="B6" i="74" s="1"/>
  <c r="D6" i="74" s="1"/>
  <c r="H102" i="9"/>
  <c r="I4" i="52"/>
  <c r="E118" i="9"/>
  <c r="C96" i="85" l="1"/>
  <c r="E96" i="85" s="1"/>
  <c r="E97" i="85" s="1"/>
  <c r="C80" i="85"/>
  <c r="E80" i="85" s="1"/>
  <c r="E81" i="85" s="1"/>
  <c r="D59" i="85"/>
  <c r="M55" i="85" s="1"/>
  <c r="C68" i="85"/>
  <c r="D54" i="85" s="1"/>
  <c r="L66" i="85"/>
  <c r="M66" i="85" s="1"/>
  <c r="L65" i="85"/>
  <c r="M65" i="85" s="1"/>
  <c r="L64" i="85"/>
  <c r="M64" i="85" s="1"/>
  <c r="L68" i="85"/>
  <c r="M68" i="85" s="1"/>
  <c r="L67" i="85"/>
  <c r="M67" i="85" s="1"/>
  <c r="L63" i="85"/>
  <c r="M63" i="85" s="1"/>
  <c r="L68" i="82"/>
  <c r="M68" i="82" s="1"/>
  <c r="L67" i="82"/>
  <c r="M67" i="82" s="1"/>
  <c r="L63" i="82"/>
  <c r="M63" i="82" s="1"/>
  <c r="L65" i="82"/>
  <c r="M65" i="82" s="1"/>
  <c r="L66" i="82"/>
  <c r="M66" i="82" s="1"/>
  <c r="L64" i="82"/>
  <c r="M64" i="82" s="1"/>
  <c r="C79" i="82"/>
  <c r="C68" i="82"/>
  <c r="D54" i="82" s="1"/>
  <c r="D59" i="82"/>
  <c r="M55" i="82" s="1"/>
  <c r="C95" i="82"/>
  <c r="F119" i="9"/>
  <c r="F5" i="52" s="1"/>
  <c r="B53" i="72" s="1"/>
  <c r="F14" i="74"/>
  <c r="E14" i="74"/>
  <c r="B5" i="74"/>
  <c r="D5" i="74" s="1"/>
  <c r="E4" i="52"/>
  <c r="B48" i="72" s="1"/>
  <c r="D118" i="9"/>
  <c r="D7" i="53"/>
  <c r="B21" i="72" s="1"/>
  <c r="C104" i="9"/>
  <c r="H101" i="9"/>
  <c r="H4" i="52"/>
  <c r="H119" i="9"/>
  <c r="H5" i="52" s="1"/>
  <c r="C97" i="85" l="1"/>
  <c r="D58" i="85" s="1"/>
  <c r="D56" i="85" s="1"/>
  <c r="M54" i="85" s="1"/>
  <c r="N57" i="85" s="1"/>
  <c r="M69" i="85"/>
  <c r="N69" i="85" s="1"/>
  <c r="C81" i="85"/>
  <c r="C80" i="82"/>
  <c r="E80" i="82" s="1"/>
  <c r="E81" i="82" s="1"/>
  <c r="M69" i="82"/>
  <c r="N69" i="82" s="1"/>
  <c r="C96" i="82"/>
  <c r="E96" i="82" s="1"/>
  <c r="E97" i="82" s="1"/>
  <c r="C5" i="74"/>
  <c r="M48" i="9"/>
  <c r="D5" i="53"/>
  <c r="D45" i="9"/>
  <c r="H107" i="9"/>
  <c r="D4" i="52"/>
  <c r="B47" i="72" s="1"/>
  <c r="D119" i="9"/>
  <c r="D5" i="52" s="1"/>
  <c r="B49" i="72" s="1"/>
  <c r="N59" i="85" l="1"/>
  <c r="N61" i="85" s="1"/>
  <c r="P57" i="85"/>
  <c r="N60" i="85"/>
  <c r="N58" i="85"/>
  <c r="C81" i="82"/>
  <c r="C97" i="82"/>
  <c r="D58" i="82" s="1"/>
  <c r="D56" i="82" s="1"/>
  <c r="M54" i="82" s="1"/>
  <c r="N57" i="82" s="1"/>
  <c r="D122" i="9"/>
  <c r="D13" i="53"/>
  <c r="M49" i="9"/>
  <c r="H108" i="9"/>
  <c r="B20" i="72"/>
  <c r="D6" i="53"/>
  <c r="B22" i="72" s="1"/>
  <c r="D53" i="9"/>
  <c r="C93" i="9"/>
  <c r="C86" i="9" s="1"/>
  <c r="C72" i="9"/>
  <c r="D55" i="9"/>
  <c r="M53" i="9" s="1"/>
  <c r="C85" i="9"/>
  <c r="D52" i="9"/>
  <c r="C78" i="9"/>
  <c r="C73" i="9" s="1"/>
  <c r="C64" i="9"/>
  <c r="C63" i="9" s="1"/>
  <c r="C67" i="9" s="1"/>
  <c r="N58" i="82" l="1"/>
  <c r="P57" i="82"/>
  <c r="N59" i="82"/>
  <c r="C95" i="9"/>
  <c r="C96" i="9" s="1"/>
  <c r="E96" i="9" s="1"/>
  <c r="E97" i="9" s="1"/>
  <c r="C6" i="74"/>
  <c r="D15" i="53"/>
  <c r="B31" i="72" s="1"/>
  <c r="B30" i="72"/>
  <c r="D14" i="53"/>
  <c r="B32" i="72" s="1"/>
  <c r="D59" i="9"/>
  <c r="M55" i="9" s="1"/>
  <c r="C68" i="9"/>
  <c r="D54" i="9" s="1"/>
  <c r="C79" i="9"/>
  <c r="L67" i="9"/>
  <c r="M67" i="9" s="1"/>
  <c r="L65" i="9"/>
  <c r="M65" i="9" s="1"/>
  <c r="L68" i="9"/>
  <c r="M68" i="9" s="1"/>
  <c r="L63" i="9"/>
  <c r="M63" i="9" s="1"/>
  <c r="L64" i="9"/>
  <c r="M64" i="9" s="1"/>
  <c r="L66" i="9"/>
  <c r="M66" i="9" s="1"/>
  <c r="D8" i="52"/>
  <c r="D123" i="9"/>
  <c r="D9" i="52" s="1"/>
  <c r="N61" i="82" l="1"/>
  <c r="N60" i="82"/>
  <c r="M69" i="9"/>
  <c r="N69" i="9" s="1"/>
  <c r="C80" i="9"/>
  <c r="E80" i="9" s="1"/>
  <c r="E81" i="9" s="1"/>
  <c r="C97" i="9"/>
  <c r="D58" i="9" s="1"/>
  <c r="D56" i="9" s="1"/>
  <c r="M54" i="9" s="1"/>
  <c r="N57"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<sst xmlns="http://schemas.openxmlformats.org/spreadsheetml/2006/main" count="10030" uniqueCount="3448">
  <si>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</si>
  <si>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</si>
  <si>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</si>
  <si>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</si>
  <si>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</si>
  <si>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</si>
  <si>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</si>
  <si>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</si>
  <si>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</si>
  <si>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</si>
  <si>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</si>
  <si>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</si>
  <si>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</si>
  <si>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</si>
  <si>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</si>
  <si>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</si>
  <si>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</si>
  <si>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</si>
  <si>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</si>
  <si>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</si>
  <si>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</si>
  <si>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</si>
  <si>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</si>
  <si>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</si>
  <si>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</si>
  <si>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</si>
  <si>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</si>
  <si>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</si>
  <si>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</si>
  <si>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</si>
  <si>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</si>
  <si>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</si>
  <si>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</si>
  <si>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</si>
  <si>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</si>
  <si>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</si>
  <si>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</si>
  <si>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</si>
  <si>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</si>
  <si>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</si>
  <si>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</si>
  <si>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</si>
  <si>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</si>
  <si>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</si>
  <si>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</si>
  <si>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</si>
  <si>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</si>
  <si>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</si>
  <si>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</si>
  <si>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</si>
  <si>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</si>
  <si>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</si>
  <si>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</si>
  <si>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</si>
  <si>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</si>
  <si>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</si>
  <si>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</si>
  <si>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</si>
  <si>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</si>
  <si>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</si>
  <si>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</si>
  <si>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</si>
  <si>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</si>
  <si>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</si>
  <si>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</si>
  <si>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</si>
  <si>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</si>
  <si>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</si>
  <si>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</si>
  <si>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</si>
  <si>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</si>
  <si>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</si>
  <si>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</si>
  <si>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</si>
  <si>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</si>
  <si>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</si>
  <si>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</si>
  <si>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</si>
  <si>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</si>
  <si>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</si>
  <si>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</si>
  <si>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</si>
  <si>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</si>
  <si>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</si>
  <si>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</si>
  <si>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</si>
  <si>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</si>
  <si>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</si>
  <si>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</si>
  <si>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</si>
  <si>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</si>
  <si>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</si>
  <si>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</si>
  <si>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</si>
  <si>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</si>
  <si>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</si>
  <si>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</si>
  <si>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</si>
  <si>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</si>
  <si>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</si>
  <si>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</si>
  <si>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</si>
  <si>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</si>
  <si>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</si>
  <si>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</si>
  <si>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</si>
  <si>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</si>
  <si>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</si>
  <si>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</si>
  <si>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</si>
  <si>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</si>
  <si>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</si>
  <si>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</si>
  <si>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</si>
  <si>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</si>
  <si>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</si>
  <si>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</si>
  <si>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</si>
  <si>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</si>
  <si>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</si>
  <si>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</si>
  <si>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</si>
  <si>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</si>
  <si>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</si>
  <si>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</si>
  <si>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</si>
  <si>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</si>
  <si>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</si>
  <si>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</si>
  <si>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</si>
  <si>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</si>
  <si>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</si>
  <si>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</si>
  <si>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</si>
  <si>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</si>
  <si>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</si>
  <si>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</si>
  <si>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</si>
  <si>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</si>
  <si>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</si>
  <si>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</si>
  <si>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</si>
  <si>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</si>
  <si>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</si>
  <si>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</si>
  <si>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</si>
  <si>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</si>
  <si>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</si>
  <si>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</si>
  <si>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</si>
  <si>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</si>
  <si>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</si>
  <si>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</si>
  <si>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</si>
  <si>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</si>
  <si>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</si>
  <si>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</si>
  <si>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</si>
  <si>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</si>
  <si>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</si>
  <si>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</si>
  <si>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</si>
  <si>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</si>
  <si>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</si>
  <si>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</si>
  <si>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</si>
  <si>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</si>
  <si>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</si>
  <si>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</si>
  <si>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</si>
  <si>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</si>
  <si>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</si>
  <si>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</si>
  <si>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</si>
  <si>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</si>
  <si>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</si>
  <si>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</si>
  <si>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</si>
  <si>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</si>
  <si>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</si>
  <si>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</si>
  <si>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</si>
  <si>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</si>
  <si>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</si>
  <si>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</si>
  <si>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</si>
  <si>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</si>
  <si>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</si>
  <si>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</si>
  <si>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</si>
  <si>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</si>
  <si>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</si>
  <si>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</si>
  <si>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</si>
  <si>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</si>
  <si>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</si>
  <si>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</si>
  <si>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</si>
  <si>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</si>
  <si>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</si>
  <si>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</si>
  <si>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</si>
  <si>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</si>
  <si>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</si>
  <si>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</si>
  <si>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</si>
  <si>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</si>
  <si>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</si>
  <si>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</si>
  <si>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</si>
  <si>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</si>
  <si>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</si>
  <si>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</si>
  <si>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</si>
  <si>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</si>
  <si>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</si>
  <si>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</si>
  <si>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</si>
  <si>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</si>
  <si>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</si>
  <si>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</si>
  <si>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</si>
  <si>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</si>
  <si>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</si>
  <si>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</si>
  <si>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</si>
  <si>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</si>
  <si>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</si>
  <si>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</si>
  <si>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</si>
  <si>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</si>
  <si>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</si>
  <si>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</si>
  <si>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</si>
  <si>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</si>
  <si>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</si>
  <si>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</si>
  <si>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</si>
  <si>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</si>
  <si>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</si>
  <si>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</si>
  <si>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</si>
  <si>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</si>
  <si>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</si>
  <si>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</si>
  <si>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</si>
  <si>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</si>
  <si>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</si>
  <si>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</si>
  <si>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</si>
  <si>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</si>
  <si>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</si>
  <si>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</si>
  <si>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</si>
  <si>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</si>
  <si>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</si>
  <si>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</si>
  <si>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</si>
  <si>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</si>
  <si>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</si>
  <si>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</si>
  <si>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</si>
  <si>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</si>
  <si>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</si>
  <si>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</si>
  <si>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</si>
  <si>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</si>
  <si>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</si>
  <si>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</si>
  <si>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</si>
  <si>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</si>
  <si>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</si>
  <si>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</si>
  <si>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</si>
  <si>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</si>
  <si>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</si>
  <si>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</si>
  <si>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</si>
  <si>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</si>
  <si>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</si>
  <si>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</si>
  <si>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</si>
  <si>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</si>
  <si>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</si>
  <si>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</si>
  <si>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</si>
  <si>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</si>
  <si>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</si>
  <si>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</si>
  <si>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</si>
  <si>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</si>
  <si>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</si>
  <si>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</si>
  <si>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</si>
  <si>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</si>
  <si>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</si>
  <si>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</si>
  <si>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</si>
  <si>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</si>
  <si>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</si>
  <si>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</si>
  <si>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</si>
  <si>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</si>
  <si>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</si>
  <si>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</si>
  <si>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</si>
  <si>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</si>
  <si>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</si>
  <si>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</si>
  <si>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</si>
  <si>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</si>
  <si>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</si>
  <si>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</si>
  <si>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</si>
  <si>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</si>
  <si>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</si>
  <si>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</si>
  <si>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</si>
  <si>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</si>
  <si>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</si>
  <si>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</si>
  <si>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</si>
  <si>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</si>
  <si>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</si>
  <si>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</si>
  <si>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</si>
  <si>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</si>
  <si>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</si>
  <si>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</si>
  <si>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</si>
  <si>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</si>
  <si>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</si>
  <si>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</si>
  <si>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</si>
  <si>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</si>
  <si>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</si>
  <si>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</si>
  <si>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</si>
  <si>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</si>
  <si>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</si>
  <si>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</si>
  <si>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</si>
  <si>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</si>
  <si>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</si>
  <si>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</si>
  <si>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</si>
  <si>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</si>
  <si>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</si>
  <si>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</si>
  <si>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</si>
  <si>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</si>
  <si>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</si>
  <si>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</si>
  <si>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</si>
  <si>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</si>
  <si>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</si>
  <si>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</si>
  <si>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</si>
  <si>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</si>
  <si>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</si>
  <si>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</si>
  <si>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</si>
  <si>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</si>
  <si>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</si>
  <si>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</si>
  <si>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</si>
  <si>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</si>
  <si>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</si>
  <si>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</si>
  <si>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</si>
  <si>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</si>
  <si>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</si>
  <si>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</si>
  <si>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</si>
  <si>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</si>
  <si>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</si>
  <si>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</si>
  <si>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</si>
  <si>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</si>
  <si>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</si>
  <si>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</si>
  <si>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</si>
  <si>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</si>
  <si>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</si>
  <si>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</si>
  <si>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</si>
  <si>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</si>
  <si>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</si>
  <si>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</si>
  <si>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</si>
  <si>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</si>
  <si>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</si>
  <si>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</si>
  <si>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</si>
  <si>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</si>
  <si>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</si>
  <si>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</si>
  <si>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</si>
  <si>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</si>
  <si>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</si>
  <si>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</si>
  <si>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</si>
  <si>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</si>
  <si>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</si>
  <si>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</si>
  <si>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</si>
  <si>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</si>
  <si>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</si>
  <si>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</si>
  <si>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</si>
  <si>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</si>
  <si>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</si>
  <si>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</si>
  <si>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</si>
  <si>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</si>
  <si>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</si>
  <si>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</si>
  <si>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</si>
  <si>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</si>
  <si>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</si>
  <si>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</si>
  <si>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</si>
  <si>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</si>
  <si>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</si>
  <si>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</si>
  <si>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</si>
  <si>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</si>
  <si>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</si>
  <si>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</si>
  <si>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</si>
  <si>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</si>
  <si>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</si>
  <si>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</si>
  <si>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</si>
  <si>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</si>
  <si>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</si>
  <si>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</si>
  <si>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</si>
  <si>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</si>
  <si>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</si>
  <si>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</si>
  <si>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</si>
  <si>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</si>
  <si>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</si>
  <si>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</si>
  <si>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</si>
  <si>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</si>
  <si>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</si>
  <si>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</si>
  <si>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</si>
  <si>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</si>
  <si>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</si>
  <si>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</si>
  <si>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</si>
  <si>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</si>
  <si>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</si>
  <si>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</si>
  <si>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</si>
  <si>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</si>
  <si>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</si>
  <si>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</si>
  <si>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</si>
  <si>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</si>
  <si>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</si>
  <si>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</si>
  <si>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</si>
  <si>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</si>
  <si>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</si>
  <si>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</si>
  <si>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</si>
  <si>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</si>
  <si>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</si>
  <si>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</si>
  <si>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</si>
  <si>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</si>
  <si>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</si>
  <si>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</si>
  <si>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</si>
  <si>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</si>
  <si>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</si>
  <si>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</si>
  <si>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</si>
  <si>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</si>
  <si>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</si>
  <si>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</si>
  <si>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</si>
  <si>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</si>
  <si>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</si>
  <si>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</si>
  <si>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</si>
  <si>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</si>
  <si>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</si>
  <si>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</si>
  <si>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</si>
  <si>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</si>
  <si>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</si>
  <si>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</si>
  <si>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</si>
  <si>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</si>
  <si>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</si>
  <si>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</si>
  <si>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</si>
  <si>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</si>
  <si>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</si>
  <si>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</si>
  <si>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</si>
  <si>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</si>
  <si>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</si>
  <si>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</si>
  <si>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</si>
  <si>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</si>
  <si>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</si>
  <si>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</si>
  <si>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</si>
  <si>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</si>
  <si>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</si>
  <si>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</si>
  <si>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</si>
  <si>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</si>
  <si>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</si>
  <si>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</si>
  <si>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</si>
  <si>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</si>
  <si>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</si>
  <si>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</si>
  <si>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</si>
  <si>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</si>
  <si>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</si>
  <si>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</si>
  <si>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</si>
  <si>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</si>
  <si>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</si>
  <si>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</si>
  <si>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</si>
  <si>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</si>
  <si>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</si>
  <si>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</si>
  <si>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</si>
  <si>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</si>
  <si>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</si>
  <si>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</si>
  <si>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</si>
  <si>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</si>
  <si>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</si>
  <si>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</si>
  <si>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</si>
  <si>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</si>
  <si>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</si>
  <si>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</si>
  <si>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</si>
  <si>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</si>
  <si>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</si>
  <si>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</si>
  <si>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</si>
  <si>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</si>
  <si>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</si>
  <si>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</si>
  <si>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</si>
  <si>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</si>
  <si>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</si>
  <si>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</si>
  <si>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</si>
  <si>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</si>
  <si>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</si>
  <si>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</si>
  <si>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</si>
  <si>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</si>
  <si>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</si>
  <si>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</si>
  <si>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</si>
  <si>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</si>
  <si>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</si>
  <si>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</si>
  <si>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</si>
  <si>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</si>
  <si>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</si>
  <si>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</si>
  <si>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</si>
  <si>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</si>
  <si>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</si>
  <si>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</si>
  <si>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</si>
  <si>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</si>
  <si>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</si>
  <si>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</si>
  <si>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</si>
  <si>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</si>
  <si>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</si>
  <si>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</si>
  <si>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</si>
  <si>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</si>
  <si>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</si>
  <si>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</si>
  <si>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</si>
  <si>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</si>
  <si>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</si>
  <si>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</si>
  <si>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</si>
  <si>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</si>
  <si>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</si>
  <si>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</si>
  <si>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</si>
  <si>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</si>
  <si>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</si>
  <si>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</si>
  <si>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</si>
  <si>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</si>
  <si>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</si>
  <si>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</si>
  <si>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</si>
  <si>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</si>
  <si>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</si>
  <si>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</si>
  <si>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</si>
  <si>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</si>
  <si>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</si>
  <si>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</si>
  <si>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</si>
  <si>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</si>
  <si>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</si>
  <si>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</si>
  <si>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</si>
  <si>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</si>
  <si>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</si>
  <si>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</si>
  <si>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</si>
  <si>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</si>
  <si>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</si>
  <si>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</si>
  <si>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</si>
  <si>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</si>
  <si>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</si>
  <si>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</si>
  <si>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</si>
  <si>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</si>
  <si>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</si>
  <si>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</si>
  <si>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</si>
  <si>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</si>
  <si>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</si>
  <si>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</si>
  <si>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</si>
  <si>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</si>
  <si>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</si>
  <si>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</si>
  <si>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</si>
  <si>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</si>
  <si>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</si>
  <si>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</si>
  <si>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</si>
  <si>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</si>
  <si>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</si>
  <si>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</si>
  <si>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</si>
  <si>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</si>
  <si>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</si>
  <si>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</si>
  <si>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</si>
  <si>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</si>
  <si>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</si>
  <si>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</si>
  <si>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</si>
  <si>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</si>
  <si>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</si>
  <si>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</si>
  <si>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</si>
  <si>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</si>
  <si>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</si>
  <si>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</si>
  <si>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</si>
  <si>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</si>
  <si>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</si>
  <si>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</si>
  <si>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</si>
  <si>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</si>
  <si>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</si>
  <si>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</si>
  <si>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</si>
  <si>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</si>
  <si>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</si>
  <si>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</si>
  <si>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</si>
  <si>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</si>
  <si>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</si>
  <si>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</si>
  <si>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</si>
  <si>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</si>
  <si>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</si>
  <si>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</si>
  <si>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</si>
  <si>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</si>
  <si>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</si>
  <si>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</si>
  <si>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</si>
  <si>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</si>
  <si>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</si>
  <si>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</si>
  <si>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</si>
  <si>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</si>
  <si>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</si>
  <si>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</si>
  <si>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</si>
  <si>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</si>
  <si>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</si>
  <si>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</si>
  <si>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</si>
  <si>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</si>
  <si>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</si>
  <si>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</si>
  <si>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</si>
  <si>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</si>
  <si>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</si>
  <si>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</si>
  <si>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</si>
  <si>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</si>
  <si>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</si>
  <si>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</si>
  <si>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</si>
  <si>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</si>
  <si>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</si>
  <si>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</si>
  <si>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</si>
  <si>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</si>
  <si>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</si>
  <si>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</si>
  <si>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</si>
  <si>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</si>
  <si>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</si>
  <si>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</si>
  <si>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</si>
  <si>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</si>
  <si>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</si>
  <si>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</si>
  <si>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</si>
  <si>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</si>
  <si>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</si>
  <si>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</si>
  <si>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</si>
  <si>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</si>
  <si>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</si>
  <si>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</si>
  <si>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</si>
  <si>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</si>
  <si>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</si>
  <si>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</si>
  <si>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</si>
  <si>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</si>
  <si>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</si>
  <si>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</si>
  <si>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</si>
  <si>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</si>
  <si>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</si>
  <si>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</si>
  <si>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</si>
  <si>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</si>
  <si>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</si>
  <si>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</si>
  <si>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</si>
  <si>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</si>
  <si>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</si>
  <si>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</si>
  <si>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</si>
  <si>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</si>
  <si>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</si>
  <si>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</si>
  <si>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</si>
  <si>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</si>
  <si>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</si>
  <si>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</si>
  <si>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</si>
  <si>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</si>
  <si>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</si>
  <si>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</si>
  <si>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</si>
  <si>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</si>
  <si>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</si>
  <si>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</si>
  <si>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</si>
  <si>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</si>
  <si>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</si>
  <si>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</si>
  <si>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</si>
  <si>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</si>
  <si>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</si>
  <si>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</si>
  <si>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</si>
  <si>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</si>
  <si>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</si>
  <si>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</si>
  <si>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</si>
  <si>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</si>
  <si>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</si>
  <si>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</si>
  <si>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</si>
  <si>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</si>
  <si>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</si>
  <si>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</si>
  <si>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</si>
  <si>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</si>
  <si>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</si>
  <si>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</si>
  <si>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</si>
  <si>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</si>
  <si>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</si>
  <si>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</si>
  <si>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</si>
  <si>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</si>
  <si>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</si>
  <si>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</si>
  <si>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</si>
  <si>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</si>
  <si>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</si>
  <si>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</si>
  <si>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</si>
  <si>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</si>
  <si>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</si>
  <si>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</si>
  <si>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</si>
  <si>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</si>
  <si>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</si>
  <si>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</si>
  <si>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</si>
  <si>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</si>
  <si>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</si>
  <si>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</si>
  <si>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</si>
  <si>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</si>
  <si>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</si>
  <si>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</si>
  <si>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</si>
  <si>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</si>
  <si>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</si>
  <si>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</si>
  <si>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</si>
  <si>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</si>
  <si>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</si>
  <si>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</si>
  <si>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</si>
  <si>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</si>
  <si>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</si>
  <si>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</si>
  <si>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</si>
  <si>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</si>
  <si>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</si>
  <si>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</si>
  <si>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</si>
  <si>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</si>
  <si>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</si>
  <si>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</si>
  <si>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</si>
  <si>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</si>
  <si>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</si>
  <si>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</si>
  <si>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</si>
  <si>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</si>
  <si>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</si>
  <si>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</si>
  <si>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</si>
  <si>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</si>
  <si>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</si>
  <si>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</si>
  <si>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</si>
  <si>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</si>
  <si>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</si>
  <si>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</si>
  <si>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</si>
  <si>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</si>
  <si>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</si>
  <si>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</si>
  <si>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</si>
  <si>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</si>
  <si>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</si>
  <si>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</si>
  <si>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</si>
  <si>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</si>
  <si>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</si>
  <si>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</si>
  <si>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</si>
  <si>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</si>
  <si>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</si>
  <si>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</si>
  <si>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</si>
  <si>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</si>
  <si>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</si>
  <si>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</si>
  <si>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</si>
  <si>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</si>
  <si>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</si>
  <si>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</si>
  <si>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</si>
  <si>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</si>
  <si>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</si>
  <si>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</si>
  <si>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</si>
  <si>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</si>
  <si>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</si>
  <si>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</si>
  <si>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</si>
  <si>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</si>
  <si>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</si>
  <si>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</si>
  <si>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</si>
  <si>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</si>
  <si>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</si>
  <si>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</si>
  <si>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</si>
  <si>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</si>
  <si>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</si>
  <si>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</si>
  <si>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</si>
  <si>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</si>
  <si>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</si>
  <si>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</si>
  <si>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</si>
  <si>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</si>
  <si>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</si>
  <si>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</si>
  <si>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</si>
  <si>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</si>
  <si>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</si>
  <si>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</si>
  <si>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</si>
  <si>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</si>
  <si>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</si>
  <si>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</si>
  <si>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</si>
  <si>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</si>
  <si>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</si>
  <si>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</si>
  <si>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</si>
  <si>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</si>
  <si>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</si>
  <si>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</si>
  <si>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</si>
  <si>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</si>
  <si>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</si>
  <si>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</si>
  <si>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</si>
  <si>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</si>
  <si>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</si>
  <si>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</si>
  <si>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</si>
  <si>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</si>
  <si>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</si>
  <si>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</si>
  <si>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</si>
  <si>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</si>
  <si>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</si>
  <si>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</si>
  <si>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</si>
  <si>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</si>
  <si>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</si>
  <si>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</si>
  <si>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</si>
  <si>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</si>
  <si>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</si>
  <si>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</si>
  <si>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</si>
  <si>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</si>
  <si>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</si>
  <si>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</si>
  <si>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</si>
  <si>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</si>
  <si>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</si>
  <si>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</si>
  <si>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</si>
  <si>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</si>
  <si>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</si>
  <si>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</si>
  <si>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</si>
  <si>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</si>
  <si>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</si>
  <si>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</si>
  <si>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</si>
  <si>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</si>
  <si>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</si>
  <si>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</si>
  <si>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</si>
  <si>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</si>
  <si>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</si>
  <si>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</si>
  <si>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</si>
  <si>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</si>
  <si>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</si>
  <si>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</si>
  <si>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</si>
  <si>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</si>
  <si>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</si>
  <si>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</si>
  <si>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</si>
  <si>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</si>
  <si>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</si>
  <si>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</si>
  <si>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</si>
  <si>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</si>
  <si>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</si>
  <si>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</si>
  <si>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</si>
  <si>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</si>
  <si>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</si>
  <si>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</si>
  <si>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</si>
  <si>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</si>
  <si>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</si>
  <si>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</si>
  <si>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</si>
  <si>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</si>
  <si>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</si>
  <si>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</si>
  <si>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</si>
  <si>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</si>
  <si>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</si>
  <si>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</si>
  <si>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</si>
  <si>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</si>
  <si>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</si>
  <si>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</si>
  <si>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</si>
  <si>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</si>
  <si>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</si>
  <si>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</si>
  <si>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</si>
  <si>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</si>
  <si>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</si>
  <si>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</si>
  <si>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</si>
  <si>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</si>
  <si>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</si>
  <si>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</si>
  <si>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</si>
  <si>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</si>
  <si>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</si>
  <si>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</si>
  <si>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</si>
  <si>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</si>
  <si>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</si>
  <si>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</si>
  <si>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</si>
  <si>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</si>
  <si>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</si>
  <si>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</si>
  <si>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</si>
  <si>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</si>
  <si>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</si>
  <si>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</si>
  <si>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</si>
  <si>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</si>
  <si>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</si>
  <si>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</si>
  <si>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</si>
  <si>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</si>
  <si>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</si>
  <si>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</si>
  <si>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</si>
  <si>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</si>
  <si>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</si>
  <si>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</si>
  <si>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</si>
  <si>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</si>
  <si>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</si>
  <si>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</si>
  <si>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</si>
  <si>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</si>
  <si>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</si>
  <si>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</si>
  <si>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</si>
  <si>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</si>
  <si>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</si>
  <si>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</si>
  <si>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</si>
  <si>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</si>
  <si>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</si>
  <si>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</si>
  <si>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</si>
  <si>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</si>
  <si>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</si>
  <si>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</si>
  <si>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</si>
  <si>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</si>
  <si>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</si>
  <si>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</si>
  <si>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</si>
  <si>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</si>
  <si>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</si>
  <si>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</si>
  <si>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</si>
  <si>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</si>
  <si>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</si>
  <si>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</si>
  <si>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</si>
  <si>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</si>
  <si>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</si>
  <si>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</si>
  <si>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</si>
  <si>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</si>
  <si>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</si>
  <si>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</si>
  <si>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</si>
  <si>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</si>
  <si>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</si>
  <si>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</si>
  <si>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</si>
  <si>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</si>
  <si>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</si>
  <si>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</si>
  <si>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</si>
  <si>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</si>
  <si>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</si>
  <si>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</si>
  <si>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</si>
  <si>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</si>
  <si>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</si>
  <si>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</si>
  <si>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</si>
  <si>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</si>
  <si>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</si>
  <si>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</si>
  <si>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</si>
  <si>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</si>
  <si>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</si>
  <si>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</si>
  <si>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</si>
  <si>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</si>
  <si>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</si>
  <si>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</si>
  <si>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</si>
  <si>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</si>
  <si>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</si>
  <si>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</si>
  <si>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</si>
  <si>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</si>
  <si>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</si>
  <si>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</si>
  <si>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</si>
  <si>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</si>
  <si>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</si>
  <si>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</si>
  <si>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</si>
  <si>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</si>
  <si>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</si>
  <si>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</si>
  <si>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</si>
  <si>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</si>
  <si>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</si>
  <si>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</si>
  <si>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</si>
  <si>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</si>
  <si>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</si>
  <si>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</si>
  <si>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</si>
  <si>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</si>
  <si>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</si>
  <si>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</si>
  <si>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</si>
  <si>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</si>
  <si>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</si>
  <si>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</si>
  <si>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</si>
  <si>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</si>
  <si>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</si>
  <si>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</si>
  <si>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</si>
  <si>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</si>
  <si>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</si>
  <si>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</si>
  <si>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</si>
  <si>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</si>
  <si>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</si>
  <si>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</si>
  <si>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</si>
  <si>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</si>
  <si>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</si>
  <si>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</si>
  <si>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</si>
  <si>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</si>
  <si>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</si>
  <si>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</si>
  <si>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</si>
  <si>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</si>
  <si>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</si>
  <si>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</si>
  <si>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</si>
  <si>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</si>
  <si>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</si>
  <si>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</si>
  <si>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</si>
  <si>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</si>
  <si>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</si>
  <si>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</si>
  <si>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</si>
  <si>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</si>
  <si>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</si>
  <si>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</si>
  <si>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</si>
  <si>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</si>
  <si>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</si>
  <si>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</si>
  <si>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</si>
  <si>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</si>
  <si>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</si>
  <si>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</si>
  <si>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</si>
  <si>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</si>
  <si>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</si>
  <si>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</si>
  <si>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</si>
  <si>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</si>
  <si>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</si>
  <si>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</si>
  <si>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</si>
  <si>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</si>
  <si>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</si>
  <si>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</si>
  <si>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</si>
  <si>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</si>
  <si>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</si>
  <si>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</si>
  <si>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</si>
  <si>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</si>
  <si>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</si>
  <si>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</si>
  <si>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</si>
  <si>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</si>
  <si>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</si>
  <si>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</si>
  <si>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</si>
  <si>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</si>
  <si>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</si>
  <si>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</si>
  <si>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</si>
  <si>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</si>
  <si>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</si>
  <si>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</si>
  <si>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</si>
  <si>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</si>
  <si>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</si>
  <si>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</si>
  <si>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</si>
  <si>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</si>
  <si>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</si>
  <si>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</si>
  <si>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</si>
  <si>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</si>
  <si>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</si>
  <si>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</si>
  <si>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</si>
  <si>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</si>
  <si>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</si>
  <si>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</si>
  <si>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</si>
  <si>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</si>
  <si>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</si>
  <si>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</si>
  <si>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</si>
  <si>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</si>
  <si>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</si>
  <si>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</si>
  <si>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</si>
  <si>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</si>
  <si>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</si>
  <si>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</si>
  <si>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</si>
  <si>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</si>
  <si>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</si>
  <si>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</si>
  <si>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</si>
  <si>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</si>
  <si>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</si>
  <si>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</si>
  <si>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</si>
  <si>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</si>
  <si>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</si>
  <si>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</si>
  <si>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</si>
  <si>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</si>
  <si>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</si>
  <si>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</si>
  <si>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</si>
  <si>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</si>
  <si>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</si>
  <si>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</si>
  <si>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</si>
  <si>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</si>
  <si>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</si>
  <si>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</si>
  <si>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</si>
  <si>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</si>
  <si>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</si>
  <si>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</si>
  <si>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</si>
  <si>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</si>
  <si>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</si>
  <si>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</si>
  <si>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</si>
  <si>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</si>
  <si>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</si>
  <si>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</si>
  <si>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</si>
  <si>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</si>
  <si>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</si>
  <si>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</si>
  <si>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</si>
  <si>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</si>
  <si>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</si>
  <si>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</si>
  <si>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</si>
  <si>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</si>
  <si>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</si>
  <si>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</si>
  <si>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</si>
  <si>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</si>
  <si>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</si>
  <si>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</si>
  <si>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</si>
  <si>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</si>
  <si>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</si>
  <si>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</si>
  <si>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</si>
  <si>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</si>
  <si>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</si>
  <si>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</si>
  <si>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</si>
  <si>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</si>
  <si>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</si>
  <si>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</si>
  <si>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</si>
  <si>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</si>
  <si>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</si>
  <si>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</si>
  <si>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</si>
  <si>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</si>
  <si>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</si>
  <si>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</si>
  <si>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</si>
  <si>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</si>
  <si>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</si>
  <si>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</si>
  <si>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</si>
  <si>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</si>
  <si>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</si>
  <si>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</si>
  <si>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</si>
  <si>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</si>
  <si>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</si>
  <si>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</si>
  <si>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</si>
  <si>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</si>
  <si>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</si>
  <si>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</si>
  <si>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</si>
  <si>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</si>
  <si>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</si>
  <si>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</si>
  <si>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</si>
  <si>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</si>
  <si>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</si>
  <si>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</si>
  <si>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</si>
  <si>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</si>
  <si>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</si>
  <si>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</si>
  <si>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</si>
  <si>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</si>
  <si>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</si>
  <si>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</si>
  <si>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</si>
  <si>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</si>
  <si>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</si>
  <si>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</si>
  <si>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</si>
  <si>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</si>
  <si>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</si>
  <si>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</si>
  <si>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</si>
  <si>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</si>
  <si>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</si>
  <si>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</si>
  <si>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</si>
  <si>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</si>
  <si>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</si>
  <si>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</si>
  <si>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</si>
  <si>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</si>
  <si>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</si>
  <si>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</si>
  <si>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</si>
  <si>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</si>
  <si>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</si>
  <si>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</si>
  <si>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</si>
  <si>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</si>
  <si>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</si>
  <si>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</si>
  <si>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</si>
  <si>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</si>
  <si>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</si>
  <si>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</si>
  <si>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</si>
  <si>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</si>
  <si>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</si>
  <si>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</si>
  <si>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</si>
  <si>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</si>
  <si>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</si>
  <si>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</si>
  <si>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</si>
  <si>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</si>
  <si>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</si>
  <si>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</si>
  <si>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</si>
  <si>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</si>
  <si>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</si>
  <si>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</si>
  <si>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</si>
  <si>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</si>
  <si>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</si>
  <si>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</si>
  <si>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</si>
  <si>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</si>
  <si>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</si>
  <si>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</si>
  <si>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</si>
  <si>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</si>
  <si>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</si>
  <si>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</si>
  <si>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</si>
  <si>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</si>
  <si>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</si>
  <si>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</si>
  <si>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</si>
  <si>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</si>
  <si>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</si>
  <si>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</si>
  <si>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</si>
  <si>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</si>
  <si>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</si>
  <si>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</si>
  <si>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</si>
  <si>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</si>
  <si>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</si>
  <si>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</si>
  <si>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</si>
  <si>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</si>
  <si>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</si>
  <si>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</si>
  <si>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</si>
  <si>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</si>
  <si>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</si>
  <si>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</si>
  <si>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</si>
  <si>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</si>
  <si>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</si>
  <si>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</si>
  <si>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</si>
  <si>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</si>
  <si>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</si>
  <si>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</si>
  <si>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</si>
  <si>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</si>
  <si>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</si>
  <si>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</si>
  <si>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</si>
  <si>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</si>
  <si>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</si>
  <si>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</si>
  <si>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</si>
  <si>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</si>
  <si>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</si>
  <si>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</si>
  <si>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</si>
  <si>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</si>
  <si>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</si>
  <si>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</si>
  <si>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</si>
  <si>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</si>
  <si>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</si>
  <si>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</si>
  <si>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</si>
  <si>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</si>
  <si>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</si>
  <si>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</si>
  <si>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</si>
  <si>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</si>
  <si>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</si>
  <si>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</si>
  <si>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</si>
  <si>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</si>
  <si>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</si>
  <si>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</si>
  <si>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</si>
  <si>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</si>
  <si>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</si>
  <si>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</si>
  <si>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</si>
  <si>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</si>
  <si>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</si>
  <si>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</si>
  <si>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</si>
  <si>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</si>
  <si>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</si>
  <si>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</si>
  <si>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</si>
  <si>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</si>
  <si>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</si>
  <si>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</si>
  <si>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</si>
  <si>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</si>
  <si>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</si>
  <si>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</si>
  <si>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</si>
  <si>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</si>
  <si>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</si>
  <si>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</si>
  <si>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</si>
  <si>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</si>
  <si>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</si>
  <si>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</si>
  <si>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</si>
  <si>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</si>
  <si>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</si>
  <si>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</si>
  <si>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</si>
  <si>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</si>
  <si>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</si>
  <si>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</si>
  <si>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</si>
  <si>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</si>
  <si>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</si>
  <si>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</si>
  <si>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</si>
  <si>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</si>
  <si>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</si>
  <si>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</si>
  <si>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</si>
  <si>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</si>
  <si>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</si>
  <si>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</si>
  <si>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</si>
  <si>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</si>
  <si>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</si>
  <si>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</si>
  <si>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</si>
  <si>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</si>
  <si>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</si>
  <si>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</si>
  <si>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</si>
  <si>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</si>
  <si>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</si>
  <si>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</si>
  <si>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</si>
  <si>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</si>
  <si>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</si>
  <si>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</si>
  <si>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</si>
  <si>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</si>
  <si>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</si>
  <si>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</si>
  <si>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</si>
  <si>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</si>
  <si>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</si>
  <si>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</si>
  <si>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</si>
  <si>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</si>
  <si>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</si>
  <si>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</si>
  <si>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</si>
  <si>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</si>
  <si>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</si>
  <si>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</si>
  <si>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</si>
  <si>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</si>
  <si>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</si>
  <si>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</si>
  <si>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</si>
  <si>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</si>
  <si>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</si>
  <si>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</si>
  <si>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</si>
  <si>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</si>
  <si>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</si>
  <si>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</si>
  <si>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</si>
  <si>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</si>
  <si>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</si>
  <si>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</si>
  <si>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</si>
  <si>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</si>
  <si>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</si>
  <si>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</si>
  <si>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</si>
  <si>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</si>
  <si>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</si>
  <si>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</si>
  <si>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</si>
  <si>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</si>
  <si>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</si>
  <si>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</si>
  <si>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</si>
  <si>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</si>
  <si>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</si>
  <si>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</si>
  <si>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</si>
  <si>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</si>
  <si>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</si>
  <si>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</si>
  <si>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</si>
  <si>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</si>
  <si>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</si>
  <si>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</si>
  <si>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</si>
  <si>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</si>
  <si>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</si>
  <si>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</si>
  <si>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</si>
  <si>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</si>
  <si>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</si>
  <si>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</si>
  <si>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</si>
  <si>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</si>
  <si>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</si>
  <si>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</si>
  <si>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</si>
  <si>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</si>
  <si>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</si>
  <si>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</si>
  <si>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</si>
  <si>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</si>
  <si>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</si>
  <si>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</si>
  <si>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</si>
  <si>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</si>
  <si>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</si>
  <si>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</si>
  <si>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</si>
  <si>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</si>
  <si>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</si>
  <si>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</si>
  <si>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</si>
  <si>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</si>
  <si>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</si>
  <si>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</si>
  <si>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</si>
  <si>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</si>
  <si>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</si>
  <si>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</si>
  <si>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</si>
  <si>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</si>
  <si>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</si>
  <si>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</si>
  <si>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</si>
  <si>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</si>
  <si>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</si>
  <si>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</si>
  <si>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</si>
  <si>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</si>
  <si>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</si>
  <si>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</si>
  <si>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</si>
  <si>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</si>
  <si>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</si>
  <si>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</si>
  <si>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</si>
  <si>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</si>
  <si>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</si>
  <si>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</si>
  <si>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</si>
  <si>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</si>
  <si>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</si>
  <si>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</si>
  <si>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</si>
  <si>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</si>
  <si>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</si>
  <si>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</si>
  <si>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</si>
  <si>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</si>
  <si>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</si>
  <si>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</si>
  <si>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</si>
  <si>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</si>
  <si>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</si>
  <si>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</si>
  <si>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</si>
  <si>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</si>
  <si>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</si>
  <si>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</si>
  <si>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</si>
  <si>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</si>
  <si>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</si>
  <si>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</si>
  <si>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</si>
  <si>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</si>
  <si>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</si>
  <si>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</si>
  <si>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</si>
  <si>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</si>
  <si>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</si>
  <si>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</si>
  <si>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</si>
  <si>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</si>
  <si>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</si>
  <si>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</si>
  <si>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</si>
  <si>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</si>
  <si>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</si>
  <si>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</si>
  <si>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</si>
  <si>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</si>
  <si>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</si>
  <si>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</si>
  <si>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</si>
  <si>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</si>
  <si>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</si>
  <si>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</si>
  <si>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</si>
  <si>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</si>
  <si>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</si>
  <si>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</si>
  <si>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</si>
  <si>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</si>
  <si>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</si>
  <si>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</si>
  <si>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</si>
  <si>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</si>
  <si>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</si>
  <si>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</si>
  <si>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</si>
  <si>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</si>
  <si>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</si>
  <si>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</si>
  <si>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</si>
  <si>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</si>
  <si>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</si>
  <si>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</si>
  <si>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</si>
  <si>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</si>
  <si>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</si>
  <si>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</si>
  <si>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</si>
  <si>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</si>
  <si>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</si>
  <si>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</si>
  <si>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</si>
  <si>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</si>
  <si>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</si>
  <si>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</si>
  <si>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</si>
  <si>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</si>
  <si>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</si>
  <si>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</si>
  <si>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</si>
  <si>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</si>
  <si>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</si>
  <si>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</si>
  <si>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</si>
  <si>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</si>
  <si>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</si>
  <si>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</si>
  <si>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</si>
  <si>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</si>
  <si>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</si>
  <si>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</si>
  <si>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</si>
  <si>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</si>
  <si>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</si>
  <si>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</si>
  <si>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</si>
  <si>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</si>
  <si>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</si>
  <si>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</si>
  <si>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</si>
  <si>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</si>
  <si>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</si>
  <si>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</si>
  <si>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</si>
  <si>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</si>
  <si>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</si>
  <si>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</si>
  <si>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</si>
  <si>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</si>
  <si>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</si>
  <si>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</si>
  <si>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</si>
  <si>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</si>
  <si>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</si>
  <si>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</si>
  <si>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</si>
  <si>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</si>
  <si>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</si>
  <si>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</si>
  <si>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</si>
  <si>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</si>
  <si>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</si>
  <si>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</si>
  <si>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</si>
  <si>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</si>
  <si>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</si>
  <si>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</si>
  <si>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</si>
  <si>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</si>
  <si>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</si>
  <si>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</si>
  <si>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</si>
  <si>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</si>
  <si>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</si>
  <si>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</si>
  <si>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</si>
  <si>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</si>
  <si>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</si>
  <si>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</si>
  <si>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</si>
  <si>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</si>
  <si>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</si>
  <si>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</si>
  <si>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</si>
  <si>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</si>
  <si>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</si>
  <si>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</si>
  <si>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</si>
  <si>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</si>
  <si>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</si>
  <si>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</si>
  <si>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</si>
  <si>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</si>
  <si>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</si>
  <si>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</si>
  <si>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</si>
  <si>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</si>
  <si>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</si>
  <si>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</si>
  <si>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</si>
  <si>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</si>
  <si>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</si>
  <si>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</si>
  <si>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</si>
  <si>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</si>
  <si>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</si>
  <si>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</si>
  <si>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</si>
  <si>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</si>
  <si>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</si>
  <si>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</si>
  <si>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</si>
  <si>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</si>
  <si>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</si>
  <si>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</si>
  <si>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</si>
  <si>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</si>
  <si>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</si>
  <si>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</si>
  <si>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</si>
  <si>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</si>
  <si>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</si>
  <si>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</si>
  <si>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</si>
  <si>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</si>
  <si>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</si>
  <si>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</si>
  <si>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</si>
  <si>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</si>
  <si>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</si>
  <si>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</si>
  <si>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</si>
  <si>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</si>
  <si>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</si>
  <si>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</si>
  <si>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</si>
  <si>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</si>
  <si>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</si>
  <si>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</si>
  <si>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</si>
  <si>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</si>
  <si>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</si>
  <si>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</si>
  <si>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</si>
  <si>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</si>
  <si>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</si>
  <si>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</si>
  <si>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</si>
  <si>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</si>
  <si>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</si>
  <si>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</si>
  <si>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</si>
  <si>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</si>
  <si>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</si>
  <si>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</si>
  <si>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</si>
  <si>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</si>
  <si>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</si>
  <si>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</si>
  <si>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</si>
  <si>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</si>
  <si>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</si>
  <si>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</si>
  <si>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</si>
  <si>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</si>
  <si>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</si>
  <si>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</si>
  <si>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</si>
  <si>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</si>
  <si>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</si>
  <si>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</si>
  <si>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</si>
  <si>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</si>
  <si>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</si>
  <si>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</si>
  <si>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</si>
  <si>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</si>
  <si>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</si>
  <si>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</si>
  <si>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</si>
  <si>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</si>
  <si>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</si>
  <si>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</si>
  <si>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</si>
  <si>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</si>
  <si>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</si>
  <si>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</si>
  <si>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</si>
  <si>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</si>
  <si>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</si>
  <si>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</si>
  <si>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</si>
  <si>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</si>
  <si>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</si>
  <si>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</si>
  <si>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</si>
  <si>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</si>
  <si>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</si>
  <si>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</si>
  <si>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</si>
  <si>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</si>
  <si>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</si>
  <si>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</si>
  <si>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</si>
  <si>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</si>
  <si>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</si>
  <si>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</si>
  <si>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</si>
  <si>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</si>
  <si>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</si>
  <si>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</si>
  <si>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</si>
  <si>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</si>
  <si>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</si>
  <si>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</si>
  <si>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</si>
  <si>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</si>
  <si>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</si>
  <si>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</si>
  <si>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</si>
  <si>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</si>
  <si>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</si>
  <si>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</si>
  <si>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</si>
  <si>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</si>
  <si>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</si>
  <si>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</si>
  <si>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</si>
  <si>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</si>
  <si>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</si>
  <si>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</si>
  <si>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</si>
  <si>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</si>
  <si>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</si>
  <si>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</si>
  <si>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</si>
  <si>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</si>
  <si>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</si>
  <si>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</si>
  <si>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</si>
  <si>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</si>
  <si>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</si>
  <si>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</si>
  <si>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</si>
  <si>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</si>
  <si>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</si>
  <si>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</si>
  <si>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</si>
  <si>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</si>
  <si>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</si>
  <si>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</si>
  <si>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</si>
  <si>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</si>
  <si>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</si>
  <si>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</si>
  <si>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</si>
  <si>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</si>
  <si>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</si>
  <si>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</si>
  <si>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</si>
  <si>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</si>
  <si>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</si>
  <si>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</si>
  <si>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</si>
  <si>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</si>
  <si>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</si>
  <si>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</si>
  <si>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</si>
  <si>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</si>
  <si>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</si>
  <si>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</si>
  <si>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</si>
  <si>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</si>
  <si>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</si>
  <si>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</si>
  <si>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</si>
  <si>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</si>
  <si>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</si>
  <si>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</si>
  <si>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</si>
  <si>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</si>
  <si>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</si>
  <si>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</si>
  <si>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</si>
  <si>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</si>
  <si>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</si>
  <si>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</si>
  <si>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</si>
  <si>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</si>
  <si>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</si>
  <si>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</si>
  <si>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</si>
  <si>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</si>
  <si>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</si>
  <si>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</si>
  <si>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</si>
  <si>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</si>
  <si>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</si>
  <si>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</si>
  <si>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</si>
  <si>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</si>
  <si>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</si>
  <si>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</si>
  <si>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</si>
  <si>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</si>
  <si>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</si>
  <si>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</si>
  <si>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</si>
  <si>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</si>
  <si>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</si>
  <si>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</si>
  <si>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</si>
  <si>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</si>
  <si>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</si>
  <si>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</si>
  <si>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</si>
  <si>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</si>
  <si>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</si>
  <si>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</si>
  <si>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</si>
  <si>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</si>
  <si>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</si>
  <si>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</si>
  <si>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</si>
  <si>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</si>
  <si>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</si>
  <si>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</si>
  <si>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</si>
  <si>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</si>
  <si>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</si>
  <si>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</si>
  <si>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</si>
  <si>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</si>
  <si>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</si>
  <si>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</si>
  <si>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</si>
  <si>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</si>
  <si>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</si>
  <si>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</si>
  <si>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</si>
  <si>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</si>
  <si>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</si>
  <si>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</si>
  <si>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</si>
  <si>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</si>
  <si>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</si>
  <si>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</si>
  <si>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</si>
  <si>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</si>
  <si>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</si>
  <si>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</si>
  <si>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</si>
  <si>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</si>
  <si>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</si>
  <si>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</si>
  <si>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</si>
  <si>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</si>
  <si>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</si>
  <si>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</si>
  <si>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</si>
  <si>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</si>
  <si>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</si>
  <si>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</si>
  <si>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</si>
  <si>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</si>
  <si>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</si>
  <si>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</si>
  <si>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</si>
  <si>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</si>
  <si>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</si>
  <si>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</si>
  <si>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</si>
  <si>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</si>
  <si>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</si>
  <si>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</si>
  <si>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</si>
  <si>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</si>
  <si>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</si>
  <si>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</si>
  <si>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</si>
  <si>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</si>
  <si>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</si>
  <si>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</si>
  <si>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</si>
  <si>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</si>
  <si>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</si>
  <si>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</si>
  <si>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</si>
  <si>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</si>
  <si>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</si>
  <si>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</si>
  <si>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</si>
  <si>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</si>
  <si>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</si>
  <si>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</si>
  <si>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</si>
  <si>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</si>
  <si>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</si>
  <si>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</si>
  <si>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</si>
  <si>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</si>
  <si>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</si>
  <si>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</si>
  <si>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</si>
  <si>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</si>
  <si>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</si>
  <si>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</si>
  <si>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</si>
  <si>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</si>
  <si>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</si>
  <si>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</si>
  <si>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</si>
  <si>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</si>
  <si>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</si>
  <si>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</si>
  <si>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</si>
  <si>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</si>
  <si>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</si>
  <si>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</si>
  <si>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</si>
  <si>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</si>
  <si>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</si>
  <si>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</si>
  <si>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</si>
  <si>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</si>
  <si>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</si>
  <si>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</si>
  <si>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</si>
  <si>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</si>
  <si>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</si>
  <si>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</si>
  <si>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</si>
  <si>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</si>
  <si>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</si>
  <si>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</si>
  <si>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</si>
  <si>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</si>
  <si>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</si>
  <si>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</si>
  <si>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</si>
  <si>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</si>
  <si>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</si>
  <si>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</si>
  <si>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</si>
  <si>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</si>
  <si>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</si>
  <si>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</si>
  <si>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</si>
  <si>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</si>
  <si>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</si>
  <si>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</si>
  <si>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</si>
  <si>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</si>
  <si>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</si>
  <si>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</si>
  <si>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</si>
  <si>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</si>
  <si>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</si>
  <si>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</si>
  <si>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</si>
  <si>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</si>
  <si>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</si>
  <si>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</si>
  <si>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</si>
  <si>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</si>
  <si>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</si>
  <si>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</si>
  <si>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</si>
  <si>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</si>
  <si>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</si>
  <si>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</si>
  <si>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</si>
  <si>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</si>
  <si>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</si>
  <si>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</si>
  <si>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</si>
  <si>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</si>
  <si>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</si>
  <si>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</si>
  <si>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</si>
  <si>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</si>
  <si>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</si>
  <si>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</si>
  <si>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</si>
  <si>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</si>
  <si>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</si>
  <si>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</si>
  <si>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</si>
  <si>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</si>
  <si>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</si>
  <si>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</si>
  <si>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</si>
  <si>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</si>
  <si>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</si>
  <si>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</si>
  <si>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</si>
  <si>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</si>
  <si>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</si>
  <si>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</si>
  <si>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</si>
  <si>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</si>
  <si>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</si>
  <si>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</si>
  <si>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</si>
  <si>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</si>
  <si>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</si>
  <si>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</si>
  <si>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</si>
  <si>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</si>
  <si>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</si>
  <si>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</si>
  <si>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</si>
  <si>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</si>
  <si>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</si>
  <si>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</si>
  <si>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</si>
  <si>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</si>
  <si>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</si>
  <si>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</si>
  <si>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</si>
  <si>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</si>
  <si>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</si>
  <si>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</si>
  <si>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</si>
  <si>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</si>
  <si>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</si>
  <si>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</si>
  <si>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</si>
  <si>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</si>
  <si>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</si>
  <si>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</si>
  <si>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</si>
  <si>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</si>
  <si>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</si>
  <si>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</si>
  <si>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</si>
  <si>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</si>
  <si>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</si>
  <si>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</si>
  <si>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</si>
  <si>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</si>
  <si>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</si>
  <si>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</si>
  <si>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</si>
  <si>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</si>
  <si>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</si>
  <si>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</si>
  <si>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</si>
  <si>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</si>
  <si>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</si>
  <si>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</si>
  <si>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</si>
  <si>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</si>
  <si>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</si>
  <si>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</si>
  <si>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</si>
  <si>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</si>
  <si>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</si>
  <si>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</si>
  <si>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</si>
  <si>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</si>
  <si>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</si>
  <si>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</si>
  <si>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</si>
  <si>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</si>
  <si>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</si>
  <si>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</si>
  <si>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</si>
  <si>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</si>
  <si>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</si>
  <si>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</si>
  <si>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</si>
  <si>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</si>
  <si>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</si>
  <si>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</si>
  <si>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</si>
  <si>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</si>
  <si>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</si>
  <si>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</si>
  <si>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</si>
  <si>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</si>
  <si>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</si>
  <si>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</si>
  <si>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</si>
  <si>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</si>
  <si>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</si>
  <si>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</si>
  <si>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</si>
  <si>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</si>
  <si>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</si>
  <si>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</si>
  <si>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</si>
  <si>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</si>
  <si>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</si>
  <si>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</si>
  <si>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</si>
  <si>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</si>
  <si>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</si>
  <si>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</si>
  <si>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</si>
  <si>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</si>
  <si>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</si>
  <si>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</si>
  <si>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</si>
  <si>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</si>
  <si>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</si>
  <si>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</si>
  <si>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</si>
  <si>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</si>
  <si>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</si>
  <si>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</si>
  <si>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</si>
  <si>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</si>
  <si>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</si>
  <si>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</si>
  <si>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</si>
  <si>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</si>
  <si>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</si>
  <si>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</si>
  <si>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</si>
  <si>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</si>
  <si>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</si>
  <si>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</si>
  <si>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</si>
  <si>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</si>
  <si>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</si>
  <si>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</si>
  <si>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</si>
  <si>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</si>
  <si>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</si>
  <si>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</si>
  <si>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</si>
  <si>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</si>
  <si>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</si>
  <si>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</si>
  <si>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</si>
  <si>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</si>
  <si>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</si>
  <si>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</si>
  <si>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</si>
  <si>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</si>
  <si>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</si>
  <si>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</si>
  <si>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</si>
  <si>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</si>
  <si>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</si>
  <si>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</si>
  <si>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</si>
  <si>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</si>
  <si>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</si>
  <si>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</si>
  <si>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</si>
  <si>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</si>
  <si>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</si>
  <si>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</si>
  <si>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</si>
  <si>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</si>
  <si>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</si>
  <si>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</si>
  <si>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</si>
  <si>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</si>
  <si>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</si>
  <si>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</si>
  <si>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</si>
  <si>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</si>
  <si>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</si>
  <si>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</si>
  <si>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</si>
  <si>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</si>
  <si>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</si>
  <si>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</si>
  <si>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</si>
  <si>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</si>
  <si>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</si>
  <si>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</si>
  <si>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</si>
  <si>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</si>
  <si>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</si>
  <si>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</si>
  <si>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</si>
  <si>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</si>
  <si>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</si>
  <si>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</si>
  <si>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</si>
  <si>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</si>
  <si>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</si>
  <si>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</si>
  <si>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</si>
  <si>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</si>
  <si>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</si>
  <si>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</si>
  <si>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</si>
  <si>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</si>
  <si>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</si>
  <si>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</si>
  <si>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</si>
  <si>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</si>
  <si>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</si>
  <si>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</si>
  <si>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</si>
  <si>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</si>
  <si>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</si>
  <si>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</si>
  <si>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</si>
  <si>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</si>
  <si>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</si>
  <si>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</si>
  <si>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</si>
  <si>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</si>
  <si>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</si>
  <si>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</si>
  <si>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</si>
  <si>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</si>
  <si>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</si>
  <si>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</si>
  <si>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</si>
  <si>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</si>
  <si>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</si>
  <si>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</si>
  <si>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</si>
  <si>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</si>
  <si>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</si>
  <si>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</si>
  <si>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</si>
  <si>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</si>
  <si>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</si>
  <si>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</si>
  <si>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</si>
  <si>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</si>
  <si>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</si>
  <si>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</si>
  <si>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</si>
  <si>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</si>
  <si>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</si>
  <si>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</si>
  <si>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</si>
  <si>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</si>
  <si>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</si>
  <si>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</si>
  <si>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</si>
  <si>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</si>
  <si>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</si>
  <si>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</si>
  <si>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</si>
  <si>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</si>
  <si>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</si>
  <si>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</si>
  <si>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</si>
  <si>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</si>
  <si>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</si>
  <si>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</si>
  <si>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</si>
  <si>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</si>
  <si>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</si>
  <si>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</si>
  <si>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</si>
  <si>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</si>
  <si>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</si>
  <si>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</si>
  <si>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</si>
  <si>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</si>
  <si>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</si>
  <si>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</si>
  <si>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</si>
  <si>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</si>
  <si>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</si>
  <si>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</si>
  <si>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</si>
  <si>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</si>
  <si>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</si>
  <si>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</si>
  <si>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</si>
  <si>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</si>
  <si>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</si>
  <si>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</si>
  <si>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</si>
  <si>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</si>
  <si>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</si>
  <si>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</si>
  <si>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</si>
  <si>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</si>
  <si>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</si>
  <si>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</si>
  <si>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</si>
  <si>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</si>
  <si>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</si>
  <si>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</si>
  <si>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</si>
  <si>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</si>
  <si>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</si>
  <si>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</si>
  <si>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</si>
  <si>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</si>
  <si>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</si>
  <si>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</si>
  <si>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</si>
  <si>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</si>
  <si>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</si>
  <si>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</si>
  <si>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</si>
  <si>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</si>
  <si>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</si>
  <si>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</si>
  <si>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</si>
  <si>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</si>
  <si>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</si>
  <si>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</si>
  <si>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</si>
  <si>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</si>
  <si>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</si>
  <si>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</si>
  <si>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</si>
  <si>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</si>
  <si>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</si>
  <si>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</si>
  <si>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</si>
  <si>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</si>
  <si>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</si>
  <si>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</si>
  <si>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</si>
  <si>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</si>
  <si>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</si>
  <si>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</si>
  <si>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</si>
  <si>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</si>
  <si>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</si>
  <si>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</si>
  <si>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</si>
  <si>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</si>
  <si>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</si>
  <si>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</si>
  <si>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</si>
  <si>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</si>
  <si>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</si>
  <si>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</si>
  <si>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</si>
  <si>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</si>
  <si>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</si>
  <si>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</si>
  <si>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</si>
  <si>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</si>
  <si>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</si>
  <si>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</si>
  <si>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</si>
  <si>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</si>
  <si>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</si>
  <si>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</si>
  <si>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</si>
  <si>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</si>
  <si>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</si>
  <si>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</si>
  <si>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</si>
  <si>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</si>
  <si>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</si>
  <si>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</si>
  <si>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</si>
  <si>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</si>
  <si>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</si>
  <si>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</si>
  <si>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</si>
  <si>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</si>
  <si>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</si>
  <si>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</si>
  <si>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</si>
  <si>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</si>
  <si>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</si>
  <si>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</si>
  <si>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</si>
  <si>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</si>
  <si>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</si>
  <si>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</si>
  <si>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</si>
  <si>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</si>
  <si>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</si>
  <si>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</si>
  <si>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</si>
  <si>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</si>
  <si>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</si>
  <si>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</si>
  <si>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</si>
  <si>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</si>
  <si>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</si>
  <si>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</si>
  <si>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</si>
  <si>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</si>
  <si>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</si>
  <si>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</si>
  <si>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</si>
  <si>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</si>
  <si>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</si>
  <si>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</si>
  <si>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</si>
  <si>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</si>
  <si>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</si>
  <si>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</si>
  <si>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</si>
  <si>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</si>
  <si>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</si>
  <si>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</si>
  <si>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</si>
  <si>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</si>
  <si>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</si>
  <si>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</si>
  <si>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</si>
  <si>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</si>
  <si>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</si>
  <si>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</si>
  <si>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</si>
  <si>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</si>
  <si>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</si>
  <si>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</si>
  <si>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</si>
  <si>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</si>
  <si>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</si>
  <si>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</si>
  <si>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</si>
  <si>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</si>
  <si>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</si>
  <si>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</si>
  <si>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</si>
  <si>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</si>
  <si>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</si>
  <si>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</si>
  <si>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</si>
  <si>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</si>
  <si>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</si>
  <si>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</si>
  <si>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</si>
  <si>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</si>
  <si>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</si>
  <si>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</si>
  <si>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</si>
  <si>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</si>
  <si>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</si>
  <si>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</si>
  <si>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</si>
  <si>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</si>
  <si>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</si>
  <si>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</si>
  <si>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</si>
  <si>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</si>
  <si>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</si>
  <si>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</si>
  <si>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</si>
  <si>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</si>
  <si>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</si>
  <si>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</si>
  <si>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</si>
  <si>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</si>
  <si>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</si>
  <si>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</si>
  <si>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</si>
  <si>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</si>
  <si>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</si>
  <si>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</si>
  <si>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</si>
  <si>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</si>
  <si>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</si>
  <si>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</si>
  <si>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</si>
  <si>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</si>
  <si>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</si>
  <si>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</si>
  <si>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</si>
  <si>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</si>
  <si>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</si>
  <si>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</si>
  <si>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</si>
  <si>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</si>
  <si>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</si>
  <si>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</si>
  <si>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</si>
  <si>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</si>
  <si>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</si>
  <si>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</si>
  <si>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</si>
  <si>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</si>
  <si>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</si>
  <si>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</si>
  <si>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</si>
  <si>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</si>
  <si>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</si>
  <si>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</si>
  <si>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</si>
  <si>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</si>
  <si>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</si>
  <si>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</si>
  <si>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</si>
  <si>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</si>
  <si>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</si>
  <si>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</si>
  <si>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</si>
  <si>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</si>
  <si>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</si>
  <si>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</si>
  <si>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</si>
  <si>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</si>
  <si>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</si>
  <si>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</si>
  <si>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</si>
  <si>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</si>
  <si>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</si>
  <si>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</si>
  <si>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</si>
  <si>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</si>
  <si>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</si>
  <si>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</si>
  <si>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</si>
  <si>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</si>
  <si>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</si>
  <si>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</si>
  <si>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</si>
  <si>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</si>
  <si>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</si>
  <si>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</si>
  <si>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</si>
  <si>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</si>
  <si>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</si>
  <si>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</si>
  <si>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</si>
  <si>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</si>
  <si>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</si>
  <si>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</si>
  <si>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</si>
  <si>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</si>
  <si>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</si>
  <si>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</si>
  <si>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</si>
  <si>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</si>
  <si>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</si>
  <si>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</si>
  <si>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</si>
  <si>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</si>
  <si>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</si>
  <si>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</si>
  <si>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</si>
  <si>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</si>
  <si>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</si>
  <si>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</si>
  <si>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</si>
  <si>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</si>
  <si>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</si>
  <si>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</si>
  <si>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</si>
  <si>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</si>
  <si>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</si>
  <si>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</si>
  <si>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</si>
  <si>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</si>
  <si>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</si>
  <si>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</si>
  <si>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</si>
  <si>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</si>
  <si>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</si>
  <si>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</si>
  <si>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</si>
  <si>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</si>
  <si>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</si>
  <si>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</si>
  <si>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</si>
  <si>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</si>
  <si>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</si>
  <si>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</si>
  <si>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</si>
  <si>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</si>
  <si>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</si>
  <si>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</si>
  <si>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</si>
  <si>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</si>
  <si>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</si>
  <si>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</si>
  <si>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</si>
  <si>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</si>
  <si>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</si>
  <si>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</si>
  <si>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</si>
  <si>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</si>
  <si>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</si>
  <si>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</si>
  <si>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</si>
  <si>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</si>
  <si>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</si>
  <si>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</si>
  <si>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</si>
  <si>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</si>
  <si>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</si>
  <si>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</si>
  <si>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</si>
  <si>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</si>
  <si>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</si>
  <si>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</si>
  <si>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</si>
  <si>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</si>
  <si>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</si>
  <si>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</si>
  <si>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</si>
  <si>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</si>
  <si>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</si>
  <si>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</si>
  <si>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</si>
  <si>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</si>
  <si>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</si>
  <si>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</si>
  <si>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</si>
  <si>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</si>
  <si>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</si>
  <si>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</si>
  <si>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</si>
  <si>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</si>
  <si>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</si>
  <si>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</si>
  <si>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</si>
  <si>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</si>
  <si>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</si>
  <si>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</si>
  <si>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</si>
  <si>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</si>
  <si>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</si>
  <si>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</si>
  <si>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</si>
  <si>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</si>
  <si>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</si>
  <si>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</si>
  <si>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</si>
  <si>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</si>
  <si>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</si>
  <si>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</si>
  <si>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</si>
  <si>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</si>
  <si>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</si>
  <si>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</si>
  <si>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</si>
  <si>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</si>
  <si>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</si>
  <si>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</si>
  <si>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</si>
  <si>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</si>
  <si>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</si>
  <si>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</si>
  <si>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</si>
  <si>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</si>
  <si>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</si>
  <si>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</si>
  <si>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</si>
  <si>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</si>
  <si>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</si>
  <si>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</si>
  <si>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</si>
  <si>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</si>
  <si>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</si>
  <si>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</si>
  <si>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</si>
  <si>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</si>
  <si>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</si>
  <si>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</si>
  <si>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</si>
  <si>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</si>
  <si>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</si>
  <si>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</si>
  <si>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</si>
  <si>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</si>
  <si>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</si>
  <si>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</si>
  <si>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</si>
  <si>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</si>
  <si>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</si>
  <si>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</si>
  <si>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</si>
  <si>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</si>
  <si>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</si>
  <si>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</si>
  <si>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</si>
  <si>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</si>
  <si>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</si>
  <si>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</si>
  <si>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</si>
  <si>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</si>
  <si>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</si>
  <si>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</si>
  <si>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</si>
  <si>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</si>
  <si>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</si>
  <si>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</si>
  <si>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</si>
  <si>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</si>
  <si>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</si>
  <si>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</si>
  <si>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</si>
  <si>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</si>
  <si>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</si>
  <si>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</si>
  <si>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</si>
  <si>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</si>
  <si>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</si>
  <si>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</si>
  <si>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</si>
  <si>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</si>
  <si>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</si>
  <si>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</si>
  <si>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</si>
  <si>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</si>
  <si>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</si>
  <si>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</si>
  <si>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</si>
  <si>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</si>
  <si>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</si>
  <si>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</si>
  <si>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</si>
  <si>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</si>
  <si>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</si>
  <si>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</si>
  <si>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</si>
  <si>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</si>
  <si>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</si>
  <si>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</si>
  <si>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</si>
  <si>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</si>
  <si>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</si>
  <si>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</si>
  <si>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</si>
  <si>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</si>
  <si>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</si>
  <si>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</si>
  <si>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</si>
  <si>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</si>
  <si>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</si>
  <si>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</si>
  <si>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</si>
  <si>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</si>
  <si>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</si>
  <si>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</si>
  <si>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</si>
  <si>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</si>
  <si>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</si>
  <si>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</si>
  <si>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</si>
  <si>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</si>
  <si>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</si>
  <si>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</si>
  <si>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</si>
  <si>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</si>
  <si>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</si>
  <si>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</si>
  <si>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</si>
  <si>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</si>
  <si>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</si>
  <si>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</si>
  <si>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</si>
  <si>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</si>
  <si>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</si>
  <si>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</si>
  <si>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</si>
  <si>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</si>
  <si>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</si>
  <si>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</si>
  <si>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</si>
  <si>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</si>
  <si>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</si>
  <si>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</si>
  <si>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</si>
  <si>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</si>
  <si>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</si>
  <si>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</si>
  <si>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</si>
  <si>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</si>
  <si>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</si>
  <si>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</si>
  <si>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</si>
  <si>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</si>
  <si>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</si>
  <si>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</si>
  <si>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</si>
  <si>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</si>
  <si>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</si>
  <si>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</si>
  <si>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</si>
  <si>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</si>
  <si>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</si>
  <si>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</si>
  <si>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</si>
  <si>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</si>
  <si>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</si>
  <si>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</si>
  <si>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</si>
  <si>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</si>
  <si>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</si>
  <si>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</si>
  <si>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</si>
  <si>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</si>
  <si>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</si>
  <si>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</si>
  <si>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</si>
  <si>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</si>
  <si>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</si>
  <si>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</si>
  <si>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</si>
  <si>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</si>
  <si>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</si>
  <si>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</si>
  <si>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</si>
  <si>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</si>
  <si>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</si>
  <si>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</si>
  <si>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</si>
  <si>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</si>
  <si>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</si>
  <si>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</si>
  <si>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</si>
  <si>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</si>
  <si>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</si>
  <si>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</si>
  <si>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</si>
  <si>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</si>
  <si>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</si>
  <si>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</si>
  <si>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</si>
  <si>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</si>
  <si>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</si>
  <si>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</si>
  <si>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</si>
  <si>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</si>
  <si>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</si>
  <si>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</si>
  <si>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</si>
  <si>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</si>
  <si>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</si>
  <si>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</si>
  <si>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</si>
  <si>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</si>
  <si>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</si>
  <si>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</si>
  <si>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</si>
  <si>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</si>
  <si>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</si>
  <si>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</si>
  <si>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</si>
  <si>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</si>
  <si>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</si>
  <si>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</si>
  <si>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</si>
  <si>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</si>
  <si>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</si>
  <si>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</si>
  <si>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</si>
  <si>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</si>
  <si>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</si>
  <si>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</si>
  <si>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</si>
  <si>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</si>
  <si>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</si>
  <si>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</si>
  <si>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</si>
  <si>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</si>
  <si>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</si>
  <si>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</si>
  <si>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</si>
  <si>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</si>
  <si>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</si>
  <si>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</si>
  <si>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</si>
  <si>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</si>
  <si>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</si>
  <si>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</si>
  <si>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</si>
  <si>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</si>
  <si>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</si>
  <si>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</si>
  <si>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</si>
  <si>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</si>
  <si>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</si>
  <si>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</si>
  <si>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</si>
  <si>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</si>
  <si>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</si>
  <si>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</si>
  <si>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</si>
  <si>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</si>
  <si>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</si>
  <si>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</si>
  <si>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</si>
  <si>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</si>
  <si>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</si>
  <si>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</si>
  <si>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</si>
  <si>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</si>
  <si>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</si>
  <si>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</si>
  <si>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</si>
  <si>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</si>
  <si>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</si>
  <si>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</si>
  <si>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</si>
  <si>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</si>
  <si>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</si>
  <si>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</si>
  <si>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</si>
  <si>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</si>
  <si>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</si>
  <si>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</si>
  <si>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</si>
  <si>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</si>
  <si>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</si>
  <si>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</si>
  <si>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</si>
  <si>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</si>
  <si>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</si>
  <si>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</si>
  <si>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</si>
  <si>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</si>
  <si>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</si>
  <si>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</si>
  <si>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</si>
  <si>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</si>
  <si>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</si>
  <si>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</si>
  <si>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</si>
  <si>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</si>
  <si>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</si>
  <si>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</si>
  <si>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</si>
  <si>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</si>
  <si>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</si>
  <si>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</si>
  <si>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</si>
  <si>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</si>
  <si>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</si>
  <si>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</si>
  <si>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</si>
  <si>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</si>
  <si>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</si>
  <si>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</si>
  <si>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</si>
  <si>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</si>
  <si>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</si>
  <si>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</si>
  <si>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</si>
  <si>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</si>
  <si>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</si>
  <si>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</si>
  <si>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</si>
  <si>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</si>
  <si>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</si>
  <si>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</si>
  <si>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</si>
  <si>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</si>
  <si>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</si>
  <si>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</si>
  <si>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</si>
  <si>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</si>
  <si>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</si>
  <si>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</si>
  <si>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</si>
  <si>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</si>
  <si>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</si>
  <si>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</si>
  <si>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</si>
  <si>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</si>
  <si>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</si>
  <si>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</si>
  <si>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</si>
  <si>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</si>
  <si>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</si>
  <si>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</si>
  <si>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</si>
  <si>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</si>
  <si>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</si>
  <si>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</si>
  <si>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</si>
  <si>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</si>
  <si>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</si>
  <si>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</si>
  <si>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</si>
  <si>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</si>
  <si>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</si>
  <si>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</si>
  <si>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</si>
  <si>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</si>
  <si>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</si>
  <si>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</si>
  <si>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</si>
  <si>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</si>
  <si>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</si>
  <si>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</si>
  <si>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</si>
  <si>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</si>
  <si>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</si>
  <si>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</si>
  <si>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</si>
  <si>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</si>
  <si>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</si>
  <si>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</si>
  <si>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</si>
  <si>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</si>
  <si>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</si>
  <si>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</si>
  <si>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</si>
  <si>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</si>
  <si>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</si>
  <si>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</si>
  <si>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</si>
  <si>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</si>
  <si>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</si>
  <si>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</si>
  <si>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</si>
  <si>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</si>
  <si>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</si>
  <si>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</si>
  <si>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</si>
  <si>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</si>
  <si>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</si>
  <si>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</si>
  <si>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</si>
  <si>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</si>
  <si>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</si>
  <si>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</si>
  <si>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</si>
  <si>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</si>
  <si>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</si>
  <si>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</si>
  <si>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</si>
  <si>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</si>
  <si>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</si>
  <si>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</si>
  <si>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</si>
  <si>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</si>
  <si>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</si>
  <si>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</si>
  <si>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</si>
  <si>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</si>
  <si>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</si>
  <si>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</si>
  <si>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</si>
  <si>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</si>
  <si>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</si>
  <si>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</si>
  <si>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</si>
  <si>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</si>
  <si>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</si>
  <si>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</si>
  <si>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</si>
  <si>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</si>
  <si>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</si>
  <si>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</si>
  <si>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</si>
  <si>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</si>
  <si>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</si>
  <si>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</si>
  <si>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</si>
  <si>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</si>
  <si>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</si>
  <si>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</si>
  <si>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</si>
  <si>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</si>
  <si>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</si>
  <si>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</si>
  <si>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</si>
  <si>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</si>
  <si>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</si>
  <si>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</si>
  <si>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</si>
  <si>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</si>
  <si>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</si>
  <si>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</si>
  <si>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</si>
  <si>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</si>
  <si>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</si>
  <si>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</si>
  <si>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</si>
  <si>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</si>
  <si>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</si>
  <si>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</si>
  <si>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</si>
  <si>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</si>
  <si>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</si>
  <si>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</si>
  <si>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</si>
  <si>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</si>
  <si>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</si>
  <si>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</si>
  <si>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</si>
  <si>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</si>
  <si>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</si>
  <si>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</si>
  <si>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</si>
  <si>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</si>
  <si>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</si>
  <si>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</si>
  <si>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</si>
  <si>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</si>
  <si>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</si>
  <si>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</si>
  <si>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</si>
  <si>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</si>
  <si>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</si>
  <si>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</si>
  <si>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</si>
  <si>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</si>
  <si>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</si>
  <si>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</si>
  <si>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</si>
  <si>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</si>
  <si>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</si>
  <si>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</si>
  <si>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</si>
  <si>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</si>
  <si>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</si>
  <si>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</si>
  <si>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</si>
  <si>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</si>
  <si>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</si>
  <si>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</si>
  <si>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</si>
  <si>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</si>
  <si>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</si>
  <si>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</si>
  <si>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</si>
  <si>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</si>
  <si>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</si>
  <si>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</si>
  <si>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</si>
  <si>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</si>
  <si>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</si>
  <si>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</si>
  <si>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</si>
  <si>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</si>
  <si>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</si>
  <si>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</si>
  <si>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</si>
  <si>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</si>
  <si>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</si>
  <si>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</si>
  <si>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</si>
  <si>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</si>
  <si>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</si>
  <si>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</si>
  <si>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</si>
  <si>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</si>
  <si>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</si>
  <si>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</si>
  <si>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</si>
  <si>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</si>
  <si>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</si>
  <si>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</si>
  <si>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</si>
  <si>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</si>
  <si>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</si>
  <si>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</si>
  <si>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是</t>
  </si>
  <si>
    <t>地上</t>
  </si>
  <si>
    <t>办公楼</t>
  </si>
  <si>
    <t>利息：取LPR加浮动点数</t>
  </si>
  <si>
    <t>成新度</t>
  </si>
  <si>
    <t>比较法-办公租金</t>
    <phoneticPr fontId="16" type="noConversion"/>
  </si>
  <si>
    <t>押一</t>
  </si>
  <si>
    <t>钢混</t>
  </si>
  <si>
    <t>非生产用房</t>
  </si>
  <si>
    <t>否</t>
  </si>
  <si>
    <t>单套模式</t>
  </si>
  <si>
    <t>正常</t>
  </si>
  <si>
    <t>挂牌</t>
  </si>
  <si>
    <t>挂牌</t>
    <phoneticPr fontId="31" type="noConversion"/>
  </si>
  <si>
    <r>
      <t>30-40</t>
    </r>
    <r>
      <rPr>
        <sz val="11"/>
        <rFont val="宋体"/>
        <family val="3"/>
        <charset val="134"/>
      </rPr>
      <t>年</t>
    </r>
    <phoneticPr fontId="31" type="noConversion"/>
  </si>
  <si>
    <t>高层写字楼</t>
  </si>
  <si>
    <t>高层写字楼</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</si>
  <si>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</si>
  <si>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</si>
  <si>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</si>
  <si>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</si>
  <si>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</si>
  <si>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</si>
  <si>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</si>
  <si>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</si>
  <si>
    <t>毛坯</t>
    <phoneticPr fontId="31" type="noConversion"/>
  </si>
  <si>
    <t>甲级</t>
  </si>
  <si>
    <t>甲级</t>
    <phoneticPr fontId="31" type="noConversion"/>
  </si>
  <si>
    <t>好</t>
  </si>
  <si>
    <t>较好</t>
  </si>
  <si>
    <t>一般</t>
  </si>
  <si>
    <t>较差</t>
  </si>
  <si>
    <t>差</t>
  </si>
  <si>
    <t>七通</t>
  </si>
  <si>
    <t>六通</t>
  </si>
  <si>
    <t>五通</t>
  </si>
  <si>
    <t>四通</t>
  </si>
  <si>
    <t>三通</t>
  </si>
  <si>
    <t>标准</t>
  </si>
  <si>
    <t>标准</t>
    <phoneticPr fontId="31" type="noConversion"/>
  </si>
  <si>
    <t>高区</t>
  </si>
  <si>
    <t>高区</t>
    <phoneticPr fontId="31" type="noConversion"/>
  </si>
  <si>
    <t>中区</t>
    <phoneticPr fontId="31" type="noConversion"/>
  </si>
  <si>
    <t>低区</t>
  </si>
  <si>
    <t>低区</t>
    <phoneticPr fontId="31" type="noConversion"/>
  </si>
  <si>
    <t>办公</t>
    <phoneticPr fontId="31" type="noConversion"/>
  </si>
  <si>
    <t>售价</t>
  </si>
  <si>
    <t>楼面单价</t>
  </si>
  <si>
    <t>自定义</t>
  </si>
  <si>
    <t>吴薇</t>
  </si>
  <si>
    <t>金星西路501</t>
    <phoneticPr fontId="6" type="noConversion"/>
  </si>
  <si>
    <t>自然人</t>
  </si>
  <si>
    <t>直线</t>
    <phoneticPr fontId="3" type="noConversion"/>
  </si>
  <si>
    <t>收益法501</t>
  </si>
  <si>
    <t>收益法501</t>
    <phoneticPr fontId="16" type="noConversion"/>
  </si>
  <si>
    <t>收益法502</t>
  </si>
  <si>
    <t>收益法502</t>
    <phoneticPr fontId="16" type="noConversion"/>
  </si>
  <si>
    <t>收益法503</t>
  </si>
  <si>
    <t>收益法503</t>
    <phoneticPr fontId="16" type="noConversion"/>
  </si>
  <si>
    <t>比较法-办公501</t>
  </si>
  <si>
    <t>比较法-办公501</t>
    <phoneticPr fontId="16" type="noConversion"/>
  </si>
  <si>
    <t>比较法-办公502</t>
  </si>
  <si>
    <t>比较法-办公502</t>
    <phoneticPr fontId="16" type="noConversion"/>
  </si>
  <si>
    <t>比较法-办公503</t>
  </si>
  <si>
    <t>比较法-办公503</t>
    <phoneticPr fontId="16" type="noConversion"/>
  </si>
  <si>
    <t>金星西路5号</t>
    <phoneticPr fontId="3" type="noConversion"/>
  </si>
  <si>
    <r>
      <t>20-30</t>
    </r>
    <r>
      <rPr>
        <sz val="11"/>
        <color indexed="8"/>
        <rFont val="宋体"/>
        <family val="3"/>
        <charset val="134"/>
      </rPr>
      <t>年</t>
    </r>
    <phoneticPr fontId="31" type="noConversion"/>
  </si>
  <si>
    <t>现房</t>
  </si>
  <si>
    <t>郑燚</t>
  </si>
  <si>
    <t>观察</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</si>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</sst>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4" fontId="47" fillId="8" borderId="13" xfId="0" applyNumberFormat="1" applyFont="1" applyFill="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北京市金星西路501房地产抵押价值预评估</v>
      </c>
    </row>
    <row r="3" spans="1:2" s="1199" customFormat="1">
      <c r="A3" s="1197" t="s">
        <v>522</v>
      </c>
      <c r="B3" s="1198">
        <f>'预评函-封皮'!B40</f>
        <v>0</v>
      </c>
    </row>
    <row r="4" spans="1:2" s="1199" customFormat="1">
      <c r="A4" s="1197" t="s">
        <v>523</v>
      </c>
      <c r="B4" s="1198" t="str">
        <f ca="1">'预评函-封皮'!B46</f>
        <v>吴薇（注册号：1419970001)、郑燚（注册号：1120070131)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受贵公司委托，我公司对北京市金星西路501房地产抵押价值进行了预评估。</v>
      </c>
    </row>
    <row r="7" spans="1:2" s="1199" customFormat="1">
      <c r="A7" s="1197" t="s">
        <v>565</v>
      </c>
      <c r="B7" s="1198" t="str">
        <f>'预评函-1'!A7</f>
        <v>估价对象为北京市金星西路501房地产，为所有。根据《国有土地使用证》[]，估价对象（分摊）出让国有建设用地使用权面积为0平方米，建筑面积为680.04平方米。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估价对象为北京市金星西路501房地产,属开发建设的，该项目尚在开发建设中。根据《国有土地使用证》[]，估价对象（分摊）出让国有建设用地使用权面积为0平方米，规划建筑面积为680.04平方米。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拟使用北京市金星西路501房地产作为抵押担保物，向办理贷款手续。特委托北京康正宏基房地产评估有限公司对上述抵押物进行评估。本次评估为确定房地产抵押贷款额度提供参考依据而评估房地产抵押价值。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2023年4月18日（评估专业人员实地查勘之日）</v>
      </c>
    </row>
    <row r="13" spans="1:2" s="1199" customFormat="1">
      <c r="A13" s="1197" t="s">
        <v>528</v>
      </c>
      <c r="B13" s="1198" t="str">
        <f>'预评函-1'!A18</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
      </c>
    </row>
    <row r="18" spans="1:2" s="1193" customFormat="1" ht="15" thickBot="1">
      <c r="A18" s="1200" t="s">
        <v>533</v>
      </c>
      <c r="B18" s="1201" t="str">
        <f>'预评函-1'!A24</f>
        <v>本次评估采用的主估价方法为比较法和收益法。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548</v>
      </c>
    </row>
    <row r="21" spans="1:2" s="1199" customFormat="1">
      <c r="A21" s="1197" t="s">
        <v>536</v>
      </c>
      <c r="B21" s="1198">
        <f ca="1">'预评函-2'!D7</f>
        <v>25122</v>
      </c>
    </row>
    <row r="22" spans="1:2" s="1199" customFormat="1">
      <c r="A22" s="1197" t="s">
        <v>537</v>
      </c>
      <c r="B22" s="1198" t="str">
        <f ca="1">'预评函-2'!D6</f>
        <v>伍佰肆拾捌万元整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548</v>
      </c>
    </row>
    <row r="31" spans="1:2" s="1199" customFormat="1">
      <c r="A31" s="1197" t="s">
        <v>575</v>
      </c>
      <c r="B31" s="1198">
        <f ca="1">'预评函-2'!D15</f>
        <v>25122</v>
      </c>
    </row>
    <row r="32" spans="1:2" s="1199" customFormat="1">
      <c r="A32" s="1197" t="s">
        <v>542</v>
      </c>
      <c r="B32" s="1198" t="str">
        <f ca="1">'预评函-2'!D14</f>
        <v>伍佰肆拾捌万元整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v>
      </c>
    </row>
    <row r="38" spans="1:2" s="1199" customFormat="1">
      <c r="A38" s="1197" t="s">
        <v>596</v>
      </c>
      <c r="B38" s="1198" t="str">
        <f>'预评函-2'!D19</f>
        <v>——</v>
      </c>
    </row>
    <row r="39" spans="1:2" s="1199" customFormat="1">
      <c r="A39" s="1197" t="s">
        <v>544</v>
      </c>
      <c r="B39" s="1198" t="str">
        <f>'预评函-2'!D21</f>
        <v>——</v>
      </c>
    </row>
    <row r="40" spans="1:2" s="1199" customFormat="1">
      <c r="A40" s="1197" t="s">
        <v>545</v>
      </c>
      <c r="B40" s="1198" t="e">
        <f>'预评函-2'!D20</f>
        <v>#VALUE!</v>
      </c>
    </row>
    <row r="41" spans="1:2" s="1199" customFormat="1">
      <c r="A41" s="1197" t="s">
        <v>591</v>
      </c>
      <c r="B41" s="1198" t="str">
        <f>'预评函-3'!A4</f>
        <v>北京市金星西路501房地产</v>
      </c>
    </row>
    <row r="42" spans="1:2" s="1199" customFormat="1">
      <c r="A42" s="1197" t="s">
        <v>589</v>
      </c>
      <c r="B42" s="1198" t="str">
        <f>'预评函-3'!B2</f>
        <v>建筑面积</v>
      </c>
    </row>
    <row r="43" spans="1:2" s="1199" customFormat="1">
      <c r="A43" s="1197" t="s">
        <v>590</v>
      </c>
      <c r="B43" s="1198">
        <f>'预评函-3'!B4</f>
        <v>680.04</v>
      </c>
    </row>
    <row r="44" spans="1:2" s="1199" customFormat="1">
      <c r="A44" s="1197" t="s">
        <v>574</v>
      </c>
      <c r="B44" s="1198" t="str">
        <f>'预评函-3'!C2</f>
        <v>(分摊)土地面积</v>
      </c>
    </row>
    <row r="45" spans="1:2" s="1199" customFormat="1">
      <c r="A45" s="1197" t="s">
        <v>546</v>
      </c>
      <c r="B45" s="1198">
        <f>'预评函-3'!C4</f>
        <v>0</v>
      </c>
    </row>
    <row r="46" spans="1:2" s="1199" customFormat="1">
      <c r="A46" s="1197" t="s">
        <v>572</v>
      </c>
      <c r="B46" s="1198" t="str">
        <f>'预评函-3'!D2</f>
        <v>出让国有建设用地使用权价值</v>
      </c>
    </row>
    <row r="47" spans="1:2" s="1199" customFormat="1">
      <c r="A47" s="1197" t="s">
        <v>547</v>
      </c>
      <c r="B47" s="1198">
        <f>'预评函-3'!D4</f>
        <v>0</v>
      </c>
    </row>
    <row r="48" spans="1:2" s="1199" customFormat="1">
      <c r="A48" s="1197" t="s">
        <v>548</v>
      </c>
      <c r="B48" s="1198">
        <f>'预评函-3'!E4</f>
        <v>0</v>
      </c>
    </row>
    <row r="49" spans="1:2" s="1199" customFormat="1">
      <c r="A49" s="1197" t="s">
        <v>549</v>
      </c>
      <c r="B49" s="1198" t="str">
        <f>'预评函-3'!D5</f>
        <v>零元整</v>
      </c>
    </row>
    <row r="50" spans="1:2" s="1199" customFormat="1">
      <c r="A50" s="1197" t="s">
        <v>573</v>
      </c>
      <c r="B50" s="1198" t="str">
        <f>'预评函-3'!F2</f>
        <v>在建建筑物价值</v>
      </c>
    </row>
    <row r="51" spans="1:2" s="1199" customFormat="1">
      <c r="A51" s="1197" t="s">
        <v>550</v>
      </c>
      <c r="B51" s="1198">
        <f>'预评函-3'!F4</f>
        <v>0</v>
      </c>
    </row>
    <row r="52" spans="1:2" s="1199" customFormat="1">
      <c r="A52" s="1197" t="s">
        <v>551</v>
      </c>
      <c r="B52" s="1198">
        <f>'预评函-3'!G4</f>
        <v>0</v>
      </c>
    </row>
    <row r="53" spans="1:2" s="1199" customFormat="1">
      <c r="A53" s="1197" t="s">
        <v>579</v>
      </c>
      <c r="B53" s="1198" t="str">
        <f>'预评函-3'!F5</f>
        <v>零元整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v>
      </c>
    </row>
    <row r="67" spans="1:2" s="1199" customFormat="1">
      <c r="A67" s="1197" t="s">
        <v>570</v>
      </c>
      <c r="B67" s="1198" t="str">
        <f>'预评函-4'!A21</f>
        <v>——</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吴薇</v>
      </c>
    </row>
    <row r="71" spans="1:2">
      <c r="A71" s="1197" t="s">
        <v>562</v>
      </c>
      <c r="B71" s="1198">
        <f ca="1">'预评函-4'!B4</f>
        <v>1419970001</v>
      </c>
    </row>
    <row r="72" spans="1:2">
      <c r="A72" s="1197" t="s">
        <v>563</v>
      </c>
      <c r="B72" s="1206" t="str">
        <f>'预评函-4'!A5</f>
        <v>郑燚</v>
      </c>
    </row>
    <row r="73" spans="1:2" s="1193" customFormat="1" ht="15" thickBot="1">
      <c r="A73" s="1200" t="s">
        <v>564</v>
      </c>
      <c r="B73" s="1201">
        <f ca="1">'预评函-4'!B5</f>
        <v>1120070131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3353</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3339</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3340</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3341</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3342</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3431</v>
      </c>
      <c r="C6" s="1548" t="s">
        <v>24</v>
      </c>
      <c r="F6" s="1544" t="s">
        <v>1013</v>
      </c>
      <c r="H6" s="1544" t="s">
        <v>1017</v>
      </c>
      <c r="I6" s="1544" t="s">
        <v>3343</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449</v>
      </c>
      <c r="C7" s="1543" t="s">
        <v>25</v>
      </c>
      <c r="F7" s="1544" t="s">
        <v>1020</v>
      </c>
      <c r="H7" s="1544" t="s">
        <v>1021</v>
      </c>
      <c r="I7" s="1544" t="s">
        <v>3344</v>
      </c>
    </row>
    <row r="8" spans="1:23">
      <c r="A8" s="1542" t="s">
        <v>1022</v>
      </c>
      <c r="B8" s="1542" t="s">
        <v>1023</v>
      </c>
      <c r="C8" s="1543" t="s">
        <v>319</v>
      </c>
      <c r="F8" s="1544" t="s">
        <v>1024</v>
      </c>
      <c r="H8" s="1544" t="s">
        <v>2575</v>
      </c>
      <c r="I8" s="1544" t="s">
        <v>3345</v>
      </c>
    </row>
    <row r="9" spans="1:23">
      <c r="A9" s="1542" t="s">
        <v>1025</v>
      </c>
      <c r="B9" s="1542" t="s">
        <v>1026</v>
      </c>
      <c r="C9" s="1543" t="s">
        <v>320</v>
      </c>
      <c r="F9" s="1544" t="s">
        <v>1027</v>
      </c>
      <c r="H9" s="1544"/>
      <c r="I9" s="1547" t="s">
        <v>3346</v>
      </c>
    </row>
    <row r="10" spans="1:23">
      <c r="A10" s="1542" t="s">
        <v>1028</v>
      </c>
      <c r="B10" s="1545" t="s">
        <v>3437</v>
      </c>
      <c r="C10" s="1543" t="s">
        <v>321</v>
      </c>
      <c r="F10" s="1544" t="s">
        <v>2576</v>
      </c>
      <c r="I10" s="1547" t="s">
        <v>3347</v>
      </c>
    </row>
    <row r="11" spans="1:23">
      <c r="A11" s="1542" t="s">
        <v>1029</v>
      </c>
      <c r="B11" s="1542" t="s">
        <v>1030</v>
      </c>
      <c r="C11" s="1543" t="s">
        <v>322</v>
      </c>
      <c r="F11" s="1544" t="s">
        <v>13</v>
      </c>
      <c r="I11" s="1547" t="s">
        <v>3348</v>
      </c>
    </row>
    <row r="12" spans="1:23">
      <c r="A12" s="1542" t="s">
        <v>1031</v>
      </c>
      <c r="B12" s="1542" t="s">
        <v>1032</v>
      </c>
      <c r="C12" s="1543" t="s">
        <v>323</v>
      </c>
      <c r="I12" s="1547" t="s">
        <v>3349</v>
      </c>
    </row>
    <row r="13" spans="1:23">
      <c r="A13" s="1542" t="s">
        <v>1033</v>
      </c>
      <c r="B13" s="1542" t="s">
        <v>1034</v>
      </c>
      <c r="C13" s="1543" t="s">
        <v>324</v>
      </c>
      <c r="I13" s="1547" t="s">
        <v>3350</v>
      </c>
    </row>
    <row r="14" spans="1:23">
      <c r="A14" s="1542" t="s">
        <v>1035</v>
      </c>
      <c r="B14" s="1542" t="s">
        <v>1036</v>
      </c>
      <c r="C14" s="1544" t="s">
        <v>13</v>
      </c>
      <c r="I14" s="1547" t="s">
        <v>3351</v>
      </c>
    </row>
    <row r="15" spans="1:23">
      <c r="A15" s="1542" t="s">
        <v>1037</v>
      </c>
      <c r="B15" s="1542" t="s">
        <v>1038</v>
      </c>
      <c r="C15" s="1543"/>
      <c r="I15" s="1547" t="s">
        <v>3352</v>
      </c>
    </row>
    <row r="16" spans="1:23">
      <c r="A16" s="1542" t="s">
        <v>1039</v>
      </c>
      <c r="B16" s="1542" t="s">
        <v>312</v>
      </c>
      <c r="C16" s="1543"/>
    </row>
    <row r="17" spans="1:3">
      <c r="A17" s="1542" t="s">
        <v>1040</v>
      </c>
      <c r="B17" s="1542" t="s">
        <v>2288</v>
      </c>
      <c r="C17" s="1543"/>
    </row>
    <row r="18" spans="1:3">
      <c r="A18" s="1542" t="s">
        <v>1041</v>
      </c>
      <c r="B18" s="1542" t="s">
        <v>2431</v>
      </c>
      <c r="C18" s="1543"/>
    </row>
    <row r="19" spans="1:3">
      <c r="A19" s="1542" t="s">
        <v>1042</v>
      </c>
      <c r="B19" s="1545" t="s">
        <v>3382</v>
      </c>
      <c r="C19" s="1543"/>
    </row>
    <row r="20" spans="1:3">
      <c r="A20" s="1542" t="s">
        <v>1043</v>
      </c>
      <c r="B20" s="1545" t="s">
        <v>3433</v>
      </c>
      <c r="C20" s="1543"/>
    </row>
    <row r="21" spans="1:3">
      <c r="A21" s="1542" t="s">
        <v>1044</v>
      </c>
      <c r="B21" s="1545" t="s">
        <v>3435</v>
      </c>
      <c r="C21" s="1543"/>
    </row>
    <row r="22" spans="1:3">
      <c r="A22" s="1542" t="s">
        <v>1045</v>
      </c>
      <c r="B22" s="1545" t="s">
        <v>3439</v>
      </c>
      <c r="C22" s="1543"/>
    </row>
    <row r="23" spans="1:3">
      <c r="A23" s="1542" t="s">
        <v>1046</v>
      </c>
      <c r="B23" s="1545" t="s">
        <v>3441</v>
      </c>
      <c r="C23" s="1543"/>
    </row>
    <row r="24" spans="1:3">
      <c r="A24" s="1542" t="s">
        <v>1047</v>
      </c>
      <c r="B24" s="1542" t="s">
        <v>313</v>
      </c>
      <c r="C24" s="1543"/>
    </row>
    <row r="25" spans="1:3">
      <c r="A25" s="1542" t="s">
        <v>1048</v>
      </c>
      <c r="B25" s="1542" t="s">
        <v>313</v>
      </c>
      <c r="C25" s="1543"/>
    </row>
    <row r="26" spans="1:3">
      <c r="A26" s="1542" t="s">
        <v>1049</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拟使用北京市金星西路501房地产作为抵押担保物，向办理贷款手续。特委托北京康正宏基房地产评估有限公司对上述抵押物进行评估。本次评估为确定房地产抵押贷款额度提供参考依据而评估房地产抵押价值。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379</v>
      </c>
      <c r="B52" s="1549" t="s">
        <v>380</v>
      </c>
      <c r="C52" s="1547" t="s">
        <v>381</v>
      </c>
      <c r="D52" s="1547" t="s">
        <v>382</v>
      </c>
    </row>
    <row r="53" spans="1:4">
      <c r="A53" s="353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0" t="s">
        <v>385</v>
      </c>
      <c r="C54" s="1547" t="s">
        <v>582</v>
      </c>
    </row>
    <row r="55" spans="1:4">
      <c r="A55" s="3532"/>
      <c r="B55" s="1550" t="s">
        <v>386</v>
      </c>
      <c r="C55" s="1547" t="s">
        <v>583</v>
      </c>
    </row>
    <row r="56" spans="1:4">
      <c r="A56" s="3532"/>
      <c r="B56" s="1550" t="s">
        <v>387</v>
      </c>
      <c r="C56" s="1547" t="s">
        <v>587</v>
      </c>
    </row>
    <row r="57" spans="1:4">
      <c r="A57" s="3532"/>
      <c r="B57" s="1550" t="s">
        <v>388</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2498</v>
      </c>
      <c r="B1" s="3007"/>
      <c r="C1" s="3007"/>
      <c r="D1" s="3007"/>
      <c r="E1" s="3007"/>
      <c r="F1" s="3008"/>
      <c r="I1" s="3429" t="s">
        <v>2591</v>
      </c>
      <c r="J1" s="3219"/>
      <c r="K1" s="3219"/>
      <c r="L1" s="3219"/>
      <c r="M1" s="3219"/>
      <c r="N1" s="3430"/>
      <c r="O1" s="3430"/>
      <c r="P1" s="3430"/>
      <c r="Q1" s="3430"/>
      <c r="R1" s="3430"/>
    </row>
    <row r="2" spans="1:18">
      <c r="A2" s="3010"/>
      <c r="B2" s="3011"/>
      <c r="C2" s="3011"/>
      <c r="D2" s="3011"/>
      <c r="E2" s="3011"/>
      <c r="F2" s="3012"/>
      <c r="I2" s="3533" t="s">
        <v>2578</v>
      </c>
      <c r="J2" s="3533"/>
      <c r="K2" s="3533"/>
      <c r="L2" s="3533"/>
      <c r="M2" s="3533"/>
      <c r="N2" s="3533"/>
      <c r="O2" s="3533"/>
      <c r="P2" s="3533"/>
      <c r="Q2" s="3533"/>
      <c r="R2" s="3533"/>
    </row>
    <row r="3" spans="1:18">
      <c r="A3" s="3013" t="s">
        <v>2499</v>
      </c>
      <c r="B3" s="3014">
        <f>项目基本情况!D3</f>
        <v>45034</v>
      </c>
      <c r="C3" s="3016"/>
      <c r="D3" s="3016"/>
      <c r="E3" s="3016"/>
      <c r="F3" s="3012"/>
      <c r="I3" s="3431"/>
      <c r="J3" s="3431" t="s">
        <v>2582</v>
      </c>
      <c r="K3" s="3431" t="s">
        <v>2583</v>
      </c>
      <c r="L3" s="3431" t="s">
        <v>2584</v>
      </c>
      <c r="M3" s="3431" t="s">
        <v>2585</v>
      </c>
      <c r="N3" s="3432" t="s">
        <v>2586</v>
      </c>
      <c r="O3" s="3432" t="s">
        <v>2587</v>
      </c>
      <c r="P3" s="3432" t="s">
        <v>2588</v>
      </c>
      <c r="Q3" s="3432" t="s">
        <v>2589</v>
      </c>
      <c r="R3" s="3432" t="s">
        <v>2590</v>
      </c>
    </row>
    <row r="4" spans="1:18">
      <c r="A4" s="3013" t="s">
        <v>2500</v>
      </c>
      <c r="B4" s="3016" t="s">
        <v>2501</v>
      </c>
      <c r="C4" s="3016" t="s">
        <v>2502</v>
      </c>
      <c r="D4" s="3016" t="s">
        <v>2503</v>
      </c>
      <c r="E4" s="3016" t="s">
        <v>2504</v>
      </c>
      <c r="F4" s="3012"/>
      <c r="I4" s="3431" t="s">
        <v>2579</v>
      </c>
      <c r="J4" s="3431">
        <v>80</v>
      </c>
      <c r="K4" s="3431">
        <v>70</v>
      </c>
      <c r="L4" s="3431">
        <v>20</v>
      </c>
      <c r="M4" s="3431">
        <v>30</v>
      </c>
      <c r="N4" s="3016">
        <v>45</v>
      </c>
      <c r="O4" s="3016">
        <v>60</v>
      </c>
      <c r="P4" s="3016">
        <v>50</v>
      </c>
      <c r="Q4" s="3016">
        <v>20</v>
      </c>
      <c r="R4" s="3016">
        <v>375</v>
      </c>
    </row>
    <row r="5" spans="1:18">
      <c r="A5" s="3017">
        <v>40</v>
      </c>
      <c r="B5" s="3014">
        <v>46375</v>
      </c>
      <c r="C5" s="3016">
        <f>ROUNDDOWN(MIN((B5-B3)/365,A5),2)</f>
        <v>3.67</v>
      </c>
      <c r="D5" s="3018">
        <f>IF(ISERROR(ROUND(POWER(1+E5,A5-C5)*(POWER(1+E5,C5)-1)/(POWER(1+E5,A5)-1),3)),0,ROUND(POWER(1+E5,A5-C5)*(POWER(1+E5,C5)-1)/(POWER(1+E5,A5)-1),4))</f>
        <v>0.16930000000000001</v>
      </c>
      <c r="E5" s="3019">
        <v>0.04</v>
      </c>
      <c r="F5" s="3012"/>
      <c r="I5" s="3431" t="s">
        <v>2580</v>
      </c>
      <c r="J5" s="3431">
        <v>70</v>
      </c>
      <c r="K5" s="3431">
        <v>60</v>
      </c>
      <c r="L5" s="3431">
        <v>15</v>
      </c>
      <c r="M5" s="3431">
        <v>25</v>
      </c>
      <c r="N5" s="3016">
        <v>40</v>
      </c>
      <c r="O5" s="3016">
        <v>50</v>
      </c>
      <c r="P5" s="3016">
        <v>40</v>
      </c>
      <c r="Q5" s="3016">
        <v>15</v>
      </c>
      <c r="R5" s="3016">
        <v>315</v>
      </c>
    </row>
    <row r="6" spans="1:18">
      <c r="A6" s="3017">
        <v>50</v>
      </c>
      <c r="B6" s="3014">
        <v>50028</v>
      </c>
      <c r="C6" s="3016">
        <f>ROUNDDOWN(MIN((B6-B3)/365,A6),2)</f>
        <v>13.68</v>
      </c>
      <c r="D6" s="3018">
        <f>IF(ISERROR(ROUND(POWER(1+E6,A6-C6)*(POWER(1+E6,C6)-1)/(POWER(1+E6,A6)-1),3)),0,ROUND(POWER(1+E6,A6-C6)*(POWER(1+E6,C6)-1)/(POWER(1+E6,A6)-1),4))</f>
        <v>0.48320000000000002</v>
      </c>
      <c r="E6" s="3019">
        <v>0.04</v>
      </c>
      <c r="F6" s="3012"/>
      <c r="I6" s="3431" t="s">
        <v>2581</v>
      </c>
      <c r="J6" s="3431">
        <v>60</v>
      </c>
      <c r="K6" s="3431">
        <v>50</v>
      </c>
      <c r="L6" s="3431">
        <v>10</v>
      </c>
      <c r="M6" s="3431">
        <v>20</v>
      </c>
      <c r="N6" s="3016">
        <v>35</v>
      </c>
      <c r="O6" s="3016">
        <v>40</v>
      </c>
      <c r="P6" s="3016">
        <v>30</v>
      </c>
      <c r="Q6" s="3016">
        <v>10</v>
      </c>
      <c r="R6" s="3016">
        <v>255</v>
      </c>
    </row>
    <row r="7" spans="1:18">
      <c r="A7" s="3017">
        <v>70</v>
      </c>
      <c r="B7" s="3014">
        <v>57333</v>
      </c>
      <c r="C7" s="3016">
        <f>ROUNDDOWN(MIN((B7-B3)/365,A7),2)</f>
        <v>33.69</v>
      </c>
      <c r="D7" s="3018">
        <f>IF(ISERROR(ROUND(POWER(1+E7,A7-C7)*(POWER(1+E7,C7)-1)/(POWER(1+E7,A7)-1),3)),0,ROUND(POWER(1+E7,A7-C7)*(POWER(1+E7,C7)-1)/(POWER(1+E7,A7)-1),4))</f>
        <v>0.78349999999999997</v>
      </c>
      <c r="E7" s="3019">
        <v>0.04</v>
      </c>
      <c r="F7" s="3012"/>
    </row>
    <row r="8" spans="1:18">
      <c r="A8" s="3010"/>
      <c r="B8" s="3011"/>
      <c r="C8" s="3011"/>
      <c r="D8" s="3011"/>
      <c r="E8" s="3011"/>
      <c r="F8" s="3012"/>
    </row>
    <row r="9" spans="1:18">
      <c r="A9" s="3013" t="s">
        <v>2505</v>
      </c>
      <c r="B9" s="3016"/>
      <c r="C9" s="3016"/>
      <c r="D9" s="3016"/>
      <c r="E9" s="3016"/>
      <c r="F9" s="3020"/>
    </row>
    <row r="10" spans="1:18">
      <c r="A10" s="3013" t="s">
        <v>2506</v>
      </c>
      <c r="B10" s="3016"/>
      <c r="C10" s="3016"/>
      <c r="D10" s="3016" t="s">
        <v>2504</v>
      </c>
      <c r="E10" s="3016"/>
      <c r="F10" s="3020" t="s">
        <v>2503</v>
      </c>
    </row>
    <row r="11" spans="1:18">
      <c r="A11" s="3013" t="s">
        <v>2507</v>
      </c>
      <c r="B11" s="3021">
        <v>70</v>
      </c>
      <c r="C11" s="3016" t="s">
        <v>2508</v>
      </c>
      <c r="D11" s="3022">
        <v>4.4999999999999998E-2</v>
      </c>
      <c r="E11" s="3016" t="s">
        <v>2509</v>
      </c>
      <c r="F11" s="3023">
        <f>ROUND(1-(1/(POWER(1+D11,B11))),4)</f>
        <v>0.95409999999999995</v>
      </c>
    </row>
    <row r="12" spans="1:18">
      <c r="A12" s="3013" t="s">
        <v>2510</v>
      </c>
      <c r="B12" s="3021">
        <v>40</v>
      </c>
      <c r="C12" s="3016" t="s">
        <v>2511</v>
      </c>
      <c r="D12" s="3022">
        <v>4.4999999999999998E-2</v>
      </c>
      <c r="E12" s="3016" t="s">
        <v>2512</v>
      </c>
      <c r="F12" s="3023">
        <f>ROUND(1-(1/(POWER(1+D12,B12))),4)</f>
        <v>0.82809999999999995</v>
      </c>
    </row>
    <row r="13" spans="1:18">
      <c r="A13" s="3013" t="s">
        <v>2513</v>
      </c>
      <c r="B13" s="3016"/>
      <c r="C13" s="3016"/>
      <c r="D13" s="3011"/>
      <c r="E13" s="3011"/>
      <c r="F13" s="3012"/>
    </row>
    <row r="14" spans="1:18">
      <c r="A14" s="3013" t="s">
        <v>2514</v>
      </c>
      <c r="B14" s="3021">
        <v>5000</v>
      </c>
      <c r="C14" s="3015"/>
      <c r="D14" s="3011"/>
      <c r="E14" s="3011"/>
      <c r="F14" s="3012"/>
    </row>
    <row r="15" spans="1:18">
      <c r="A15" s="3013" t="s">
        <v>2515</v>
      </c>
      <c r="B15" s="3016">
        <f>ROUND(B14*F12/F11,2)</f>
        <v>4339.6899999999996</v>
      </c>
      <c r="C15" s="3016">
        <f>ROUND(F12/F11,4)</f>
        <v>0.8679</v>
      </c>
      <c r="D15" s="3011"/>
      <c r="E15" s="3011"/>
      <c r="F15" s="3012"/>
    </row>
    <row r="16" spans="1:18">
      <c r="A16" s="3013" t="s">
        <v>2516</v>
      </c>
      <c r="B16" s="3016"/>
      <c r="C16" s="3016"/>
      <c r="D16" s="3011"/>
      <c r="E16" s="3011"/>
      <c r="F16" s="3012"/>
    </row>
    <row r="17" spans="1:13">
      <c r="A17" s="3013" t="s">
        <v>2515</v>
      </c>
      <c r="B17" s="3022">
        <v>4810</v>
      </c>
      <c r="C17" s="3015"/>
      <c r="D17" s="3011"/>
      <c r="E17" s="3011"/>
      <c r="F17" s="3012"/>
    </row>
    <row r="18" spans="1:13" ht="14.25" thickBot="1">
      <c r="A18" s="3024" t="s">
        <v>2514</v>
      </c>
      <c r="B18" s="3025">
        <f>ROUND(B17*F11/F12,2)</f>
        <v>5541.87</v>
      </c>
      <c r="C18" s="3025">
        <f>ROUND(F11/F12,4)</f>
        <v>1.1521999999999999</v>
      </c>
      <c r="D18" s="3026"/>
      <c r="E18" s="3026"/>
      <c r="F18" s="3027"/>
    </row>
    <row r="19" spans="1:13" ht="14.25" thickBot="1"/>
    <row r="20" spans="1:13" s="3062" customFormat="1" ht="14.25" thickTop="1">
      <c r="A20" s="3059" t="s">
        <v>2517</v>
      </c>
      <c r="B20" s="3060"/>
      <c r="C20" s="3060"/>
      <c r="D20" s="3060"/>
      <c r="E20" s="3060"/>
      <c r="F20" s="3060"/>
      <c r="G20" s="3061"/>
      <c r="I20" s="3063" t="s">
        <v>2562</v>
      </c>
      <c r="J20" s="3063" t="s">
        <v>2567</v>
      </c>
      <c r="K20" s="3063"/>
      <c r="L20" s="3063"/>
      <c r="M20" s="3063"/>
    </row>
    <row r="21" spans="1:13">
      <c r="A21" s="3028"/>
      <c r="B21" s="3029" t="s">
        <v>2518</v>
      </c>
      <c r="C21" s="3029" t="s">
        <v>2519</v>
      </c>
      <c r="D21" s="3029" t="s">
        <v>2520</v>
      </c>
      <c r="E21" s="3029" t="s">
        <v>2521</v>
      </c>
      <c r="F21" s="3029" t="s">
        <v>2522</v>
      </c>
      <c r="G21" s="3030" t="s">
        <v>2523</v>
      </c>
      <c r="I21" s="3051">
        <v>5</v>
      </c>
      <c r="J21" s="3051">
        <v>54.2</v>
      </c>
    </row>
    <row r="22" spans="1:13">
      <c r="A22" s="3028" t="s">
        <v>2524</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2525</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2565</v>
      </c>
      <c r="M23" s="3051" t="s">
        <v>2566</v>
      </c>
    </row>
    <row r="24" spans="1:13">
      <c r="A24" s="3028" t="s">
        <v>2526</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2564</v>
      </c>
      <c r="M24" s="3051">
        <v>10</v>
      </c>
    </row>
    <row r="25" spans="1:13">
      <c r="A25" s="3028" t="s">
        <v>2527</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2568</v>
      </c>
      <c r="M25" s="3051">
        <v>8</v>
      </c>
    </row>
    <row r="26" spans="1:13">
      <c r="A26" s="3033"/>
      <c r="B26" s="3034"/>
      <c r="C26" s="3034"/>
      <c r="D26" s="3034"/>
      <c r="E26" s="3034"/>
      <c r="F26" s="3034"/>
      <c r="G26" s="3035"/>
      <c r="I26" s="3051">
        <v>30</v>
      </c>
      <c r="J26" s="3051">
        <v>90.5</v>
      </c>
      <c r="K26" s="3051">
        <f t="shared" si="2"/>
        <v>4.2000000000000028</v>
      </c>
      <c r="L26" s="3051" t="s">
        <v>2569</v>
      </c>
      <c r="M26" s="3051">
        <v>5</v>
      </c>
    </row>
    <row r="27" spans="1:13">
      <c r="A27" s="3033" t="s">
        <v>2528</v>
      </c>
      <c r="B27" s="3034"/>
      <c r="C27" s="3034"/>
      <c r="D27" s="3034"/>
      <c r="E27" s="3034"/>
      <c r="F27" s="3034"/>
      <c r="G27" s="3035"/>
      <c r="I27" s="3051">
        <v>35</v>
      </c>
      <c r="J27" s="3051">
        <v>93.8</v>
      </c>
      <c r="K27" s="3051">
        <f t="shared" si="2"/>
        <v>3.2999999999999972</v>
      </c>
      <c r="L27" s="3051" t="s">
        <v>2570</v>
      </c>
      <c r="M27" s="3051">
        <v>3</v>
      </c>
    </row>
    <row r="28" spans="1:13">
      <c r="A28" s="3033" t="s">
        <v>2529</v>
      </c>
      <c r="B28" s="3034"/>
      <c r="C28" s="3034"/>
      <c r="D28" s="3034"/>
      <c r="E28" s="3034"/>
      <c r="F28" s="3034"/>
      <c r="G28" s="3035"/>
      <c r="I28" s="3051">
        <v>40</v>
      </c>
      <c r="J28" s="3051">
        <v>96.4</v>
      </c>
      <c r="K28" s="3051">
        <f t="shared" si="2"/>
        <v>2.6000000000000085</v>
      </c>
      <c r="L28" s="3051" t="s">
        <v>2571</v>
      </c>
      <c r="M28" s="3051">
        <v>2</v>
      </c>
    </row>
    <row r="29" spans="1:13">
      <c r="A29" s="3033" t="s">
        <v>2530</v>
      </c>
      <c r="B29" s="3034"/>
      <c r="C29" s="3034"/>
      <c r="D29" s="3034"/>
      <c r="E29" s="3034"/>
      <c r="F29" s="3034"/>
      <c r="G29" s="3035"/>
      <c r="I29" s="3051">
        <v>45</v>
      </c>
      <c r="J29" s="3051">
        <v>98.4</v>
      </c>
      <c r="K29" s="3051">
        <f t="shared" si="2"/>
        <v>2</v>
      </c>
    </row>
    <row r="30" spans="1:13">
      <c r="A30" s="3033" t="s">
        <v>2531</v>
      </c>
      <c r="B30" s="3034"/>
      <c r="C30" s="3034"/>
      <c r="D30" s="3034"/>
      <c r="E30" s="3034"/>
      <c r="F30" s="3034"/>
      <c r="G30" s="3035"/>
      <c r="I30" s="3051">
        <v>50</v>
      </c>
      <c r="J30" s="3051">
        <v>100</v>
      </c>
      <c r="K30" s="3051">
        <f t="shared" si="2"/>
        <v>1.5999999999999943</v>
      </c>
    </row>
    <row r="31" spans="1:13">
      <c r="A31" s="3033" t="s">
        <v>2532</v>
      </c>
      <c r="B31" s="3034"/>
      <c r="C31" s="3034"/>
      <c r="D31" s="3034"/>
      <c r="E31" s="3034"/>
      <c r="F31" s="3034"/>
      <c r="G31" s="3035"/>
      <c r="I31" s="3051" t="s">
        <v>2563</v>
      </c>
    </row>
    <row r="32" spans="1:13">
      <c r="A32" s="3033" t="s">
        <v>2533</v>
      </c>
      <c r="B32" s="3034"/>
      <c r="C32" s="3034"/>
      <c r="D32" s="3034"/>
      <c r="E32" s="3034"/>
      <c r="F32" s="3034"/>
      <c r="G32" s="3035"/>
    </row>
    <row r="33" spans="1:13">
      <c r="A33" s="3033" t="s">
        <v>2534</v>
      </c>
      <c r="B33" s="3034"/>
      <c r="C33" s="3034"/>
      <c r="D33" s="3034"/>
      <c r="E33" s="3034"/>
      <c r="F33" s="3034"/>
      <c r="G33" s="3035"/>
      <c r="I33" s="3051" t="s">
        <v>2562</v>
      </c>
      <c r="J33" s="3051" t="s">
        <v>2572</v>
      </c>
    </row>
    <row r="34" spans="1:13">
      <c r="A34" s="3033" t="s">
        <v>2535</v>
      </c>
      <c r="B34" s="3034"/>
      <c r="C34" s="3034"/>
      <c r="D34" s="3034"/>
      <c r="E34" s="3034"/>
      <c r="F34" s="3034"/>
      <c r="G34" s="3035"/>
      <c r="I34" s="3051">
        <v>5</v>
      </c>
      <c r="J34" s="3051">
        <v>55.1</v>
      </c>
    </row>
    <row r="35" spans="1:13">
      <c r="A35" s="3033" t="s">
        <v>2536</v>
      </c>
      <c r="B35" s="3034"/>
      <c r="C35" s="3034"/>
      <c r="D35" s="3034"/>
      <c r="E35" s="3034"/>
      <c r="F35" s="3034"/>
      <c r="G35" s="3035"/>
      <c r="I35" s="3051">
        <v>10</v>
      </c>
      <c r="J35" s="3051">
        <v>67</v>
      </c>
      <c r="K35" s="3051">
        <f>J35-J34</f>
        <v>11.899999999999999</v>
      </c>
    </row>
    <row r="36" spans="1:13">
      <c r="A36" s="3033" t="s">
        <v>2537</v>
      </c>
      <c r="B36" s="3034"/>
      <c r="C36" s="3034"/>
      <c r="D36" s="3034"/>
      <c r="E36" s="3034"/>
      <c r="F36" s="3034"/>
      <c r="G36" s="3035"/>
      <c r="I36" s="3051">
        <v>15</v>
      </c>
      <c r="J36" s="3051">
        <v>76.3</v>
      </c>
      <c r="K36" s="3051">
        <f t="shared" ref="K36:K41" si="3">J36-J35</f>
        <v>9.2999999999999972</v>
      </c>
      <c r="L36" s="3051" t="s">
        <v>2565</v>
      </c>
      <c r="M36" s="3051" t="s">
        <v>2566</v>
      </c>
    </row>
    <row r="37" spans="1:13">
      <c r="A37" s="3033" t="s">
        <v>2538</v>
      </c>
      <c r="B37" s="3034"/>
      <c r="C37" s="3034"/>
      <c r="D37" s="3034"/>
      <c r="E37" s="3034"/>
      <c r="F37" s="3034"/>
      <c r="G37" s="3035"/>
      <c r="I37" s="3051">
        <v>20</v>
      </c>
      <c r="J37" s="3051">
        <v>83.6</v>
      </c>
      <c r="K37" s="3051">
        <f t="shared" si="3"/>
        <v>7.2999999999999972</v>
      </c>
      <c r="L37" s="3051" t="s">
        <v>2564</v>
      </c>
      <c r="M37" s="3051">
        <v>10</v>
      </c>
    </row>
    <row r="38" spans="1:13">
      <c r="A38" s="3033" t="s">
        <v>2539</v>
      </c>
      <c r="B38" s="3034"/>
      <c r="C38" s="3034"/>
      <c r="D38" s="3034"/>
      <c r="E38" s="3034"/>
      <c r="F38" s="3034"/>
      <c r="G38" s="3035"/>
      <c r="I38" s="3051">
        <v>25</v>
      </c>
      <c r="J38" s="3051">
        <v>89.3</v>
      </c>
      <c r="K38" s="3051">
        <f t="shared" si="3"/>
        <v>5.7000000000000028</v>
      </c>
      <c r="L38" s="3051" t="s">
        <v>2568</v>
      </c>
      <c r="M38" s="3051">
        <v>8</v>
      </c>
    </row>
    <row r="39" spans="1:13">
      <c r="A39" s="3033"/>
      <c r="B39" s="3034"/>
      <c r="C39" s="3034"/>
      <c r="D39" s="3034"/>
      <c r="E39" s="3034"/>
      <c r="F39" s="3034"/>
      <c r="G39" s="3035"/>
      <c r="I39" s="3051">
        <v>30</v>
      </c>
      <c r="J39" s="3051">
        <v>93.8</v>
      </c>
      <c r="K39" s="3051">
        <f t="shared" si="3"/>
        <v>4.5</v>
      </c>
      <c r="L39" s="3051" t="s">
        <v>2569</v>
      </c>
      <c r="M39" s="3051">
        <v>6</v>
      </c>
    </row>
    <row r="40" spans="1:13">
      <c r="A40" s="3036" t="s">
        <v>2540</v>
      </c>
      <c r="B40" s="3037"/>
      <c r="C40" s="3037"/>
      <c r="D40" s="3037"/>
      <c r="E40" s="3037"/>
      <c r="F40" s="3037"/>
      <c r="G40" s="3038"/>
      <c r="I40" s="3051">
        <v>35</v>
      </c>
      <c r="J40" s="3051">
        <v>97.2</v>
      </c>
      <c r="K40" s="3051">
        <f t="shared" si="3"/>
        <v>3.4000000000000057</v>
      </c>
      <c r="L40" s="3051" t="s">
        <v>2570</v>
      </c>
      <c r="M40" s="3051">
        <v>3</v>
      </c>
    </row>
    <row r="41" spans="1:13">
      <c r="A41" s="3039" t="s">
        <v>2541</v>
      </c>
      <c r="B41" s="3040" t="s">
        <v>2542</v>
      </c>
      <c r="C41" s="3041" t="s">
        <v>2543</v>
      </c>
      <c r="D41" s="3041" t="s">
        <v>2544</v>
      </c>
      <c r="E41" s="3042"/>
      <c r="F41" s="3043"/>
      <c r="G41" s="3044"/>
      <c r="I41" s="3051">
        <v>40</v>
      </c>
      <c r="J41" s="3051">
        <v>100</v>
      </c>
      <c r="K41" s="3051">
        <f t="shared" si="3"/>
        <v>2.7999999999999972</v>
      </c>
    </row>
    <row r="42" spans="1:13">
      <c r="A42" s="3039" t="s">
        <v>2545</v>
      </c>
      <c r="B42" s="3040" t="s">
        <v>2546</v>
      </c>
      <c r="C42" s="3041" t="s">
        <v>2547</v>
      </c>
      <c r="D42" s="3045" t="s">
        <v>2548</v>
      </c>
      <c r="E42" s="3037" t="s">
        <v>2549</v>
      </c>
      <c r="F42" s="3037"/>
      <c r="G42" s="3038"/>
    </row>
    <row r="43" spans="1:13">
      <c r="A43" s="3039" t="s">
        <v>2550</v>
      </c>
      <c r="B43" s="3040" t="s">
        <v>2551</v>
      </c>
      <c r="C43" s="3041" t="s">
        <v>2552</v>
      </c>
      <c r="D43" s="3041" t="s">
        <v>2553</v>
      </c>
      <c r="E43" s="3042" t="s">
        <v>2554</v>
      </c>
      <c r="F43" s="3043"/>
      <c r="G43" s="3044"/>
      <c r="I43" s="3051" t="s">
        <v>2562</v>
      </c>
      <c r="J43" s="3051" t="s">
        <v>2573</v>
      </c>
    </row>
    <row r="44" spans="1:13">
      <c r="A44" s="3039" t="s">
        <v>2555</v>
      </c>
      <c r="B44" s="3040" t="s">
        <v>2556</v>
      </c>
      <c r="C44" s="3041" t="s">
        <v>2557</v>
      </c>
      <c r="D44" s="3045">
        <v>0.5</v>
      </c>
      <c r="E44" s="3042" t="s">
        <v>2558</v>
      </c>
      <c r="F44" s="3043"/>
      <c r="G44" s="3044"/>
      <c r="I44" s="3051">
        <v>30</v>
      </c>
      <c r="J44" s="3051">
        <v>81.7</v>
      </c>
    </row>
    <row r="45" spans="1:13" ht="14.25" thickBot="1">
      <c r="A45" s="3046" t="s">
        <v>2559</v>
      </c>
      <c r="B45" s="3047" t="s">
        <v>2546</v>
      </c>
      <c r="C45" s="3048" t="s">
        <v>2546</v>
      </c>
      <c r="D45" s="3048" t="s">
        <v>2560</v>
      </c>
      <c r="E45" s="3049" t="s">
        <v>2561</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3" sqref="E5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2163</v>
      </c>
      <c r="B1" s="3534" t="str">
        <f>IF(B10="北京市","北京市",C10)&amp;F10&amp;IF(结果表501!G1="在建","出让国有建设用地使用权及在建建筑物",IF(结果表501!G1="土地","出让国有建设用地使用权",))&amp;B9&amp;"预评估"</f>
        <v>北京市金星西路501房地产抵押价值预评估</v>
      </c>
      <c r="C1" s="3535"/>
      <c r="D1" s="3535"/>
      <c r="E1" s="3535"/>
      <c r="F1" s="3535"/>
      <c r="G1" s="3535"/>
      <c r="H1" s="3535"/>
      <c r="I1" s="3536"/>
      <c r="J1" s="2465"/>
      <c r="K1" s="2363"/>
      <c r="L1" s="2364"/>
      <c r="M1" s="2364"/>
      <c r="N1" s="2365"/>
      <c r="O1" s="1572"/>
      <c r="P1" s="2365"/>
      <c r="Q1" s="2365"/>
      <c r="R1" s="2365"/>
      <c r="S1" s="1678" t="str">
        <f>IF(B10="北京市","北京市",C10)&amp;F10&amp;IF(结果表501!G1="在建","出让国有建设用地使用权及在建建筑物房地产抵押价值",IF(结果表501!G1="土地","出让国有建设用地使用权抵押价值",B9))</f>
        <v>北京市金星西路501房地产抵押价值</v>
      </c>
      <c r="T1" s="1741"/>
      <c r="U1" s="1741"/>
      <c r="V1" s="1741"/>
      <c r="W1" s="1741"/>
      <c r="X1" s="1741"/>
      <c r="Y1" s="1741"/>
      <c r="Z1" s="1741"/>
      <c r="AA1" s="1741"/>
      <c r="AB1" s="1741"/>
    </row>
    <row r="2" spans="1:30">
      <c r="A2" s="2362" t="s">
        <v>2164</v>
      </c>
      <c r="B2" s="2366"/>
      <c r="C2" s="2367"/>
      <c r="D2" s="2663"/>
      <c r="E2" s="2656"/>
      <c r="F2" s="2656"/>
      <c r="G2" s="2657"/>
      <c r="H2" s="2657"/>
      <c r="I2" s="2657"/>
      <c r="J2" s="2465"/>
      <c r="K2" s="2363"/>
      <c r="L2" s="2364"/>
      <c r="M2" s="2364"/>
      <c r="N2" s="2365"/>
      <c r="O2" s="1572"/>
      <c r="P2" s="2365"/>
      <c r="Q2" s="2365"/>
      <c r="R2" s="2365"/>
      <c r="S2" s="1678" t="str">
        <f>IF(B10="北京市","北京市",C10)&amp;F10&amp;IF(结果表501!G1="在建","出让国有建设用地使用权及在建建筑物房地产",IF(结果表501!G1="土地","出让国有建设用地使用权","房地产"))</f>
        <v>北京市金星西路501房地产</v>
      </c>
      <c r="T2" s="1741"/>
      <c r="U2" s="1741"/>
      <c r="V2" s="1741"/>
      <c r="W2" s="1741"/>
      <c r="X2" s="1741"/>
      <c r="Y2" s="1741"/>
      <c r="Z2" s="1741"/>
      <c r="AA2" s="1741"/>
      <c r="AB2" s="1741"/>
    </row>
    <row r="3" spans="1:30">
      <c r="A3" s="302" t="s">
        <v>2165</v>
      </c>
      <c r="B3" s="3455">
        <v>45034</v>
      </c>
      <c r="C3" s="2368" t="s">
        <v>2166</v>
      </c>
      <c r="D3" s="3455">
        <f>B3</f>
        <v>45034</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2167</v>
      </c>
      <c r="B4" s="2369" t="s">
        <v>3426</v>
      </c>
      <c r="C4" s="2370">
        <f ca="1">SUMIF(注册房地产估价师,B4,估价师及机构信息!B3:B24)</f>
        <v>1419970001</v>
      </c>
      <c r="D4" s="2369" t="s">
        <v>3445</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3"/>
      <c r="K4" s="2372" t="str">
        <f ca="1">CONCATENATE(B4,"（注册号：",C4,")、",D4,"（注册号：",E4,")")</f>
        <v>吴薇（注册号：1419970001)、郑燚（注册号：1120070131)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3" t="s">
        <v>2168</v>
      </c>
      <c r="B5" s="2374"/>
      <c r="C5" s="2375"/>
      <c r="D5" s="2376"/>
      <c r="E5" s="2658"/>
      <c r="F5" s="2658"/>
      <c r="G5" s="2658"/>
      <c r="H5" s="2658"/>
      <c r="I5" s="2658"/>
      <c r="J5" s="2433"/>
      <c r="K5" s="2372"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7" t="s">
        <v>2169</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2170</v>
      </c>
      <c r="B7" s="2381"/>
      <c r="C7" s="2379"/>
      <c r="D7" s="2380"/>
      <c r="E7" s="2656"/>
      <c r="F7" s="2658"/>
      <c r="G7" s="2658"/>
      <c r="H7" s="2658"/>
      <c r="I7" s="2658"/>
      <c r="J7" s="2433"/>
      <c r="K7" s="2610"/>
      <c r="L7" s="2607"/>
      <c r="M7" s="2607"/>
      <c r="N7" s="2433"/>
      <c r="O7" s="2444"/>
      <c r="P7" s="2433"/>
      <c r="Q7" s="2433"/>
      <c r="R7" s="2433"/>
    </row>
    <row r="8" spans="1:30">
      <c r="A8" s="2382" t="s">
        <v>2171</v>
      </c>
      <c r="B8" s="2383" t="s">
        <v>3374</v>
      </c>
      <c r="C8" s="2384"/>
      <c r="D8" s="3537" t="s">
        <v>2172</v>
      </c>
      <c r="E8" s="2385" t="s">
        <v>3375</v>
      </c>
      <c r="F8" s="2386"/>
      <c r="G8" s="2657"/>
      <c r="H8" s="2657"/>
      <c r="I8" s="2657"/>
      <c r="J8" s="2433"/>
      <c r="K8" s="2608"/>
      <c r="L8" s="2607"/>
      <c r="M8" s="2607"/>
      <c r="N8" s="2433"/>
      <c r="O8" s="2444"/>
      <c r="P8" s="2433"/>
      <c r="Q8" s="2433"/>
      <c r="R8" s="2433"/>
    </row>
    <row r="9" spans="1:30" ht="13.5" thickBot="1">
      <c r="A9" s="2387" t="s">
        <v>2173</v>
      </c>
      <c r="B9" s="2388" t="s">
        <v>3375</v>
      </c>
      <c r="C9" s="2389"/>
      <c r="D9" s="3538"/>
      <c r="E9" s="2388" t="s">
        <v>43</v>
      </c>
      <c r="F9" s="2390"/>
      <c r="G9" s="2659"/>
      <c r="H9" s="2659"/>
      <c r="I9" s="2659"/>
      <c r="J9" s="2433"/>
      <c r="K9" s="2610"/>
      <c r="L9" s="2607"/>
      <c r="M9" s="2607"/>
      <c r="N9" s="2433"/>
      <c r="O9" s="2444"/>
      <c r="P9" s="2433"/>
      <c r="Q9" s="2433"/>
      <c r="R9" s="2433"/>
    </row>
    <row r="10" spans="1:30" ht="13.5" thickTop="1">
      <c r="A10" s="2391" t="s">
        <v>2174</v>
      </c>
      <c r="B10" s="2392" t="s">
        <v>3376</v>
      </c>
      <c r="C10" s="2393"/>
      <c r="D10" s="2376"/>
      <c r="E10" s="2394" t="s">
        <v>2175</v>
      </c>
      <c r="F10" s="3488" t="s">
        <v>3427</v>
      </c>
      <c r="G10" s="2660"/>
      <c r="H10" s="2661"/>
      <c r="I10" s="2662"/>
      <c r="J10" s="2433"/>
      <c r="K10" s="2610"/>
      <c r="L10" s="2607"/>
      <c r="M10" s="2607"/>
      <c r="N10" s="2433"/>
      <c r="O10" s="2444"/>
      <c r="P10" s="2433"/>
      <c r="Q10" s="2433"/>
      <c r="R10" s="2433"/>
    </row>
    <row r="11" spans="1:30">
      <c r="A11" s="2395" t="s">
        <v>2176</v>
      </c>
      <c r="B11" s="2396" t="s">
        <v>3428</v>
      </c>
      <c r="C11" s="2397"/>
      <c r="D11" s="2398"/>
      <c r="E11" s="2365"/>
      <c r="F11" s="2365"/>
      <c r="G11" s="2365"/>
      <c r="H11" s="2365"/>
      <c r="I11" s="2365"/>
      <c r="J11" s="3054"/>
      <c r="K11" s="3053"/>
      <c r="L11" s="2607"/>
      <c r="M11" s="2607"/>
      <c r="N11" s="2433"/>
      <c r="O11" s="2444"/>
      <c r="P11" s="2433"/>
      <c r="Q11" s="2433"/>
      <c r="R11" s="2433"/>
    </row>
    <row r="12" spans="1:30">
      <c r="A12" s="2399" t="s">
        <v>2177</v>
      </c>
      <c r="B12" s="323" t="s">
        <v>2178</v>
      </c>
      <c r="C12" s="2400" t="s">
        <v>2179</v>
      </c>
      <c r="D12" s="2400" t="s">
        <v>2180</v>
      </c>
      <c r="E12" s="2400" t="s">
        <v>2181</v>
      </c>
      <c r="F12" s="2400" t="s">
        <v>2182</v>
      </c>
      <c r="G12" s="2400" t="s">
        <v>2183</v>
      </c>
      <c r="H12" s="2400" t="s">
        <v>2184</v>
      </c>
      <c r="I12" s="3052" t="s">
        <v>2574</v>
      </c>
      <c r="J12" s="3055"/>
      <c r="K12" s="2607"/>
      <c r="L12" s="2607"/>
      <c r="M12" s="2433"/>
      <c r="N12" s="2444"/>
      <c r="O12" s="2433"/>
      <c r="P12" s="2433"/>
      <c r="Q12" s="2433"/>
      <c r="AD12" s="1741"/>
    </row>
    <row r="13" spans="1:30">
      <c r="A13" s="3416" t="s">
        <v>3334</v>
      </c>
      <c r="B13" s="2401" t="s">
        <v>2185</v>
      </c>
      <c r="C13" s="852"/>
      <c r="D13" s="852"/>
      <c r="E13" s="852">
        <v>54680</v>
      </c>
      <c r="F13" s="852"/>
      <c r="G13" s="852"/>
      <c r="H13" s="852"/>
      <c r="I13" s="852"/>
      <c r="J13" s="3055"/>
      <c r="K13" s="2607"/>
      <c r="L13" s="2607"/>
      <c r="M13" s="2433"/>
      <c r="N13" s="2444"/>
      <c r="O13" s="2433"/>
      <c r="P13" s="2433"/>
      <c r="Q13" s="2433"/>
      <c r="AD13" s="1741"/>
    </row>
    <row r="14" spans="1:30">
      <c r="A14" s="1077"/>
      <c r="B14" s="2401" t="s">
        <v>2186</v>
      </c>
      <c r="C14" s="2402"/>
      <c r="D14" s="2402"/>
      <c r="E14" s="2402">
        <v>50</v>
      </c>
      <c r="F14" s="2402"/>
      <c r="G14" s="2402"/>
      <c r="H14" s="2402"/>
      <c r="I14" s="2402"/>
      <c r="J14" s="3056"/>
      <c r="K14" s="2607"/>
      <c r="L14" s="2607"/>
      <c r="M14" s="2433"/>
      <c r="N14" s="2444"/>
      <c r="O14" s="2433"/>
      <c r="P14" s="2433"/>
      <c r="Q14" s="2433"/>
      <c r="AD14" s="1741"/>
    </row>
    <row r="15" spans="1:30">
      <c r="A15" s="320"/>
      <c r="B15" s="2403" t="s">
        <v>2187</v>
      </c>
      <c r="C15" s="2404" t="str">
        <f>IF(A13="出让",IF(C13="","",ROUNDDOWN(MIN((C13-$D$3)/365,C14),2)),C14)</f>
        <v/>
      </c>
      <c r="D15" s="2404" t="str">
        <f>IF(A13="出让",IF(D13="","",ROUNDDOWN(MIN((D13-$D$3)/365,D14),2)),D14)</f>
        <v/>
      </c>
      <c r="E15" s="2404">
        <f>IF(A13="出让",IF(E13="","",ROUNDDOWN(MIN((E13-$D$3)/365,E14),2)),E14)</f>
        <v>26.42</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1"/>
    </row>
    <row r="16" spans="1:30">
      <c r="A16" s="2394" t="s">
        <v>2188</v>
      </c>
      <c r="B16" s="3544"/>
      <c r="C16" s="3545"/>
      <c r="D16" s="3546"/>
      <c r="E16" s="2407" t="s">
        <v>2189</v>
      </c>
      <c r="F16" s="3547"/>
      <c r="G16" s="3548"/>
      <c r="H16" s="3548"/>
      <c r="I16" s="3549"/>
      <c r="J16" s="2433"/>
      <c r="K16" s="2611"/>
      <c r="L16" s="2445"/>
      <c r="M16" s="2445"/>
      <c r="N16" s="2503"/>
      <c r="O16" s="2445"/>
      <c r="P16" s="2503"/>
      <c r="Q16" s="2433"/>
      <c r="R16" s="2433"/>
    </row>
    <row r="17" spans="1:28">
      <c r="A17" s="313" t="s">
        <v>2190</v>
      </c>
      <c r="B17" s="302" t="s">
        <v>2191</v>
      </c>
      <c r="C17" s="8">
        <f>'数据-汇总表'!E3</f>
        <v>680.04</v>
      </c>
      <c r="D17" s="2317" t="s">
        <v>2192</v>
      </c>
      <c r="E17" s="3550" t="s">
        <v>2193</v>
      </c>
      <c r="F17" s="3551"/>
      <c r="G17" s="3551"/>
      <c r="H17" s="3551"/>
      <c r="I17" s="3552"/>
      <c r="J17" s="2433"/>
      <c r="K17" s="2612"/>
      <c r="L17" s="2445"/>
      <c r="M17" s="2445"/>
      <c r="N17" s="2503"/>
      <c r="O17" s="2445"/>
      <c r="P17" s="2503"/>
      <c r="Q17" s="2433"/>
      <c r="R17" s="2433"/>
      <c r="S17" s="2433"/>
      <c r="T17" s="2433"/>
      <c r="U17" s="2433"/>
      <c r="V17" s="2433"/>
    </row>
    <row r="18" spans="1:28" ht="24.75" thickBot="1">
      <c r="A18" s="2408" t="s">
        <v>2194</v>
      </c>
      <c r="B18" s="1086" t="s">
        <v>2195</v>
      </c>
      <c r="C18" s="2409">
        <f>'数据-汇总表'!D3</f>
        <v>0</v>
      </c>
      <c r="D18" s="1088" t="s">
        <v>2196</v>
      </c>
      <c r="E18" s="3553" t="s">
        <v>2197</v>
      </c>
      <c r="F18" s="3554"/>
      <c r="G18" s="3554"/>
      <c r="H18" s="3554"/>
      <c r="I18" s="3555"/>
      <c r="J18" s="2433"/>
      <c r="K18" s="2612"/>
      <c r="L18" s="2445"/>
      <c r="M18" s="2445"/>
      <c r="N18" s="2503"/>
      <c r="O18" s="2445"/>
      <c r="P18" s="2503"/>
      <c r="Q18" s="2433"/>
      <c r="R18" s="2433"/>
      <c r="S18" s="2433"/>
      <c r="T18" s="2433"/>
      <c r="U18" s="2433"/>
      <c r="V18" s="2433"/>
    </row>
    <row r="19" spans="1:28" ht="37.5" thickTop="1" thickBot="1">
      <c r="A19" s="327" t="s">
        <v>1050</v>
      </c>
      <c r="B19" s="307" t="s">
        <v>2198</v>
      </c>
      <c r="C19" s="1559"/>
      <c r="D19" s="1560" t="s">
        <v>2199</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2200</v>
      </c>
      <c r="B20" s="3540" t="s">
        <v>2201</v>
      </c>
      <c r="C20" s="3541"/>
      <c r="D20" s="3542" t="s">
        <v>2202</v>
      </c>
      <c r="E20" s="3543"/>
      <c r="F20" s="2641" t="s">
        <v>1051</v>
      </c>
      <c r="G20" s="2658"/>
      <c r="H20" s="2658"/>
      <c r="I20" s="2658"/>
      <c r="J20" s="2433"/>
      <c r="K20" s="3539"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2204</v>
      </c>
      <c r="C21" s="2628" t="s">
        <v>1052</v>
      </c>
      <c r="D21" s="1564" t="s">
        <v>2205</v>
      </c>
      <c r="E21" s="2629" t="s">
        <v>1052</v>
      </c>
      <c r="F21" s="2642"/>
      <c r="G21" s="2658"/>
      <c r="H21" s="2658"/>
      <c r="I21" s="2658"/>
      <c r="J21" s="2433"/>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2206</v>
      </c>
      <c r="C22" s="2628" t="s">
        <v>1053</v>
      </c>
      <c r="D22" s="2657"/>
      <c r="E22" s="2657"/>
      <c r="F22" s="2657"/>
      <c r="G22" s="2658"/>
      <c r="H22" s="2658"/>
      <c r="I22" s="2658"/>
      <c r="J22" s="2433"/>
      <c r="K22" s="3539"/>
      <c r="L22" s="684" t="str">
        <f>IF(E19="否","",IF(结果表501!D36="同一抵押权人同一抵押物续贷","由于本次评估为同一抵押权人的续贷房地产抵押估价，故未将已抵押担保的债权数额（"&amp;C26&amp;"）作为法定优先受偿款予以扣减。",IF(结果表501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2207</v>
      </c>
      <c r="B23" s="2496" t="s">
        <v>2208</v>
      </c>
      <c r="C23" s="2632"/>
      <c r="D23" s="2633" t="s">
        <v>2208</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1054</v>
      </c>
      <c r="C24" s="2635"/>
      <c r="D24" s="2631" t="s">
        <v>1054</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1055</v>
      </c>
      <c r="C25" s="2635"/>
      <c r="D25" s="2631" t="s">
        <v>1055</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1056</v>
      </c>
      <c r="C26" s="2639"/>
      <c r="D26" s="2637" t="s">
        <v>1056</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57" t="s">
        <v>2209</v>
      </c>
      <c r="B27" s="320" t="s">
        <v>2210</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57"/>
      <c r="B28" s="302" t="s">
        <v>2211</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57"/>
      <c r="B29" s="302" t="s">
        <v>2212</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58"/>
      <c r="B30" s="302" t="s">
        <v>2213</v>
      </c>
      <c r="C30" s="3559"/>
      <c r="D30" s="3560"/>
      <c r="E30" s="2658"/>
      <c r="F30" s="2658"/>
      <c r="G30" s="2658"/>
      <c r="H30" s="2658"/>
      <c r="I30" s="2658"/>
      <c r="J30" s="2433"/>
      <c r="K30" s="2610"/>
      <c r="L30" s="2607"/>
      <c r="M30" s="2607"/>
      <c r="N30" s="2433"/>
      <c r="O30" s="2444"/>
      <c r="P30" s="2433"/>
      <c r="Q30" s="2433"/>
      <c r="R30" s="2433"/>
      <c r="S30" s="2433"/>
      <c r="T30" s="2433"/>
      <c r="U30" s="2433"/>
      <c r="V30" s="2433"/>
    </row>
    <row r="31" spans="1:28">
      <c r="A31" s="3561" t="s">
        <v>2214</v>
      </c>
      <c r="B31" s="2416"/>
      <c r="C31" s="2318" t="str">
        <f>IF(B31="现房","成新及维护状况正常否",IF(B31="在建","工程状态是否正常",IF(B31="土地","是否闲置","-")))</f>
        <v>-</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62"/>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62"/>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2215</v>
      </c>
      <c r="B34" s="2021"/>
      <c r="C34" s="2021"/>
      <c r="D34" s="2021"/>
      <c r="E34" s="2021"/>
      <c r="F34" s="2021"/>
      <c r="G34" s="2021"/>
      <c r="H34" s="2021"/>
      <c r="I34" s="2658"/>
      <c r="J34" s="2433"/>
      <c r="K34" s="2421">
        <f>COUNTIF(B34:H34,"——")</f>
        <v>0</v>
      </c>
      <c r="L34" s="323" t="s">
        <v>2216</v>
      </c>
      <c r="M34" s="323" t="s">
        <v>2217</v>
      </c>
      <c r="N34" s="323" t="s">
        <v>2218</v>
      </c>
      <c r="O34" s="323" t="s">
        <v>2219</v>
      </c>
      <c r="P34" s="323" t="s">
        <v>2220</v>
      </c>
      <c r="Q34" s="323" t="s">
        <v>2221</v>
      </c>
      <c r="R34" s="323" t="s">
        <v>2222</v>
      </c>
      <c r="S34" s="3556" t="s">
        <v>2223</v>
      </c>
      <c r="T34" s="2422" t="str">
        <f>NUMBERSTRING(7-K34,1)&amp;"通"</f>
        <v>七通</v>
      </c>
      <c r="U34" s="2433"/>
      <c r="V34" s="2433"/>
    </row>
    <row r="35" spans="1:30">
      <c r="A35" s="2423"/>
      <c r="B35" s="3563" t="s">
        <v>2224</v>
      </c>
      <c r="C35" s="3563"/>
      <c r="D35" s="3563"/>
      <c r="E35" s="3563"/>
      <c r="F35" s="664">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3"/>
      <c r="V35" s="2433"/>
    </row>
    <row r="36" spans="1:30">
      <c r="A36" s="2424"/>
      <c r="B36" s="664" t="s">
        <v>2180</v>
      </c>
      <c r="C36" s="664" t="s">
        <v>2181</v>
      </c>
      <c r="D36" s="664" t="s">
        <v>2179</v>
      </c>
      <c r="E36" s="664" t="s">
        <v>2184</v>
      </c>
      <c r="F36" s="3058" t="s">
        <v>2577</v>
      </c>
      <c r="G36" s="2658"/>
      <c r="H36" s="2658"/>
      <c r="I36" s="2658"/>
      <c r="J36" s="2433"/>
      <c r="K36" s="2610"/>
      <c r="L36" s="2607"/>
      <c r="M36" s="2607"/>
      <c r="N36" s="2433"/>
      <c r="O36" s="2444"/>
      <c r="P36" s="2433"/>
      <c r="Q36" s="2433"/>
      <c r="R36" s="2433"/>
      <c r="S36" s="2433"/>
      <c r="T36" s="2433"/>
      <c r="U36" s="2433"/>
      <c r="V36" s="2433"/>
    </row>
    <row r="37" spans="1:30">
      <c r="A37" s="2624" t="s">
        <v>2225</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2226</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2228</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1057</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1058</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1059</v>
      </c>
      <c r="B2" s="8" t="s">
        <v>1060</v>
      </c>
      <c r="C2" s="8" t="s">
        <v>1061</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1062</v>
      </c>
      <c r="AZ2" s="1045" t="s">
        <v>1063</v>
      </c>
      <c r="BA2" s="8" t="s">
        <v>1064</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680.04</v>
      </c>
      <c r="C3" s="1576" t="s">
        <v>1065</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1066</v>
      </c>
      <c r="B5" s="1343"/>
      <c r="C5" s="1343"/>
      <c r="D5" s="1345"/>
      <c r="E5" s="13" t="s">
        <v>0</v>
      </c>
      <c r="F5" s="13">
        <f>SUM(F13:F587)</f>
        <v>0</v>
      </c>
      <c r="G5" s="13">
        <f>SUM(G13:G587)</f>
        <v>680.04</v>
      </c>
      <c r="H5" s="13">
        <f t="shared" ref="H5:AT5" si="0">SUM(H13:H656)</f>
        <v>680.04</v>
      </c>
      <c r="I5" s="13">
        <f t="shared" si="0"/>
        <v>680.04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1066</v>
      </c>
      <c r="AW5" s="1343"/>
      <c r="AX5" s="1343"/>
      <c r="AY5" s="14" t="s">
        <v>2</v>
      </c>
      <c r="AZ5" s="15">
        <f t="shared" ref="AZ5:BT5" si="1">SUM(AZ13:AZ656)</f>
        <v>680.04</v>
      </c>
      <c r="BA5" s="15">
        <f t="shared" si="1"/>
        <v>680.04</v>
      </c>
      <c r="BB5" s="15">
        <f t="shared" si="1"/>
        <v>680.04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1067</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1067</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1068</v>
      </c>
      <c r="B7" s="1565" t="s">
        <v>1069</v>
      </c>
      <c r="C7" s="1565" t="s">
        <v>1070</v>
      </c>
      <c r="D7" s="1565" t="s">
        <v>1071</v>
      </c>
      <c r="E7" s="1565" t="s">
        <v>1072</v>
      </c>
      <c r="F7" s="1565" t="s">
        <v>1073</v>
      </c>
      <c r="G7" s="1586" t="s">
        <v>1074</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1075</v>
      </c>
      <c r="AV7" s="20" t="s">
        <v>1076</v>
      </c>
      <c r="AW7" s="1574" t="s">
        <v>1077</v>
      </c>
      <c r="AX7" s="20" t="s">
        <v>1070</v>
      </c>
      <c r="AY7" s="1343" t="s">
        <v>1078</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1079</v>
      </c>
      <c r="H8" s="1592" t="s">
        <v>1080</v>
      </c>
      <c r="I8" s="1593"/>
      <c r="J8" s="1356"/>
      <c r="K8" s="1356"/>
      <c r="L8" s="1356"/>
      <c r="M8" s="1356"/>
      <c r="N8" s="1356"/>
      <c r="O8" s="1356"/>
      <c r="P8" s="1356"/>
      <c r="Q8" s="1356"/>
      <c r="R8" s="1356"/>
      <c r="S8" s="1356"/>
      <c r="T8" s="1356"/>
      <c r="U8" s="1356"/>
      <c r="V8" s="1594"/>
      <c r="W8" s="1356"/>
      <c r="X8" s="1356"/>
      <c r="Y8" s="1356"/>
      <c r="Z8" s="1356"/>
      <c r="AA8" s="1594"/>
      <c r="AB8" s="1595"/>
      <c r="AC8" s="805" t="s">
        <v>1081</v>
      </c>
      <c r="AD8" s="1596"/>
      <c r="AE8" s="1588"/>
      <c r="AF8" s="1356"/>
      <c r="AG8" s="1356"/>
      <c r="AH8" s="1356"/>
      <c r="AI8" s="1356"/>
      <c r="AJ8" s="1356"/>
      <c r="AK8" s="1356"/>
      <c r="AL8" s="1356"/>
      <c r="AM8" s="1356"/>
      <c r="AN8" s="1356"/>
      <c r="AO8" s="1356"/>
      <c r="AP8" s="1356"/>
      <c r="AQ8" s="1356"/>
      <c r="AR8" s="1356"/>
      <c r="AS8" s="1356"/>
      <c r="AT8" s="1066" t="s">
        <v>1082</v>
      </c>
      <c r="AU8" s="1590" t="s">
        <v>1083</v>
      </c>
      <c r="AV8" s="1066"/>
      <c r="AW8" s="1573"/>
      <c r="AX8" s="1066"/>
      <c r="AY8" s="1574" t="s">
        <v>1084</v>
      </c>
      <c r="AZ8" s="1355" t="s">
        <v>1085</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1086</v>
      </c>
      <c r="I9" s="1599" t="s">
        <v>3378</v>
      </c>
      <c r="J9" s="805"/>
      <c r="K9" s="1599"/>
      <c r="L9" s="805"/>
      <c r="M9" s="1599"/>
      <c r="N9" s="805"/>
      <c r="O9" s="1599"/>
      <c r="P9" s="805"/>
      <c r="Q9" s="1599"/>
      <c r="R9" s="805"/>
      <c r="S9" s="1599"/>
      <c r="T9" s="805"/>
      <c r="U9" s="1599"/>
      <c r="V9" s="805"/>
      <c r="W9" s="1599"/>
      <c r="X9" s="1600"/>
      <c r="Y9" s="1599"/>
      <c r="Z9" s="805"/>
      <c r="AA9" s="1599"/>
      <c r="AB9" s="805"/>
      <c r="AC9" s="1591" t="s">
        <v>1086</v>
      </c>
      <c r="AD9" s="12" t="s">
        <v>1087</v>
      </c>
      <c r="AE9" s="1072"/>
      <c r="AF9" s="12" t="s">
        <v>1088</v>
      </c>
      <c r="AG9" s="1072"/>
      <c r="AH9" s="12" t="s">
        <v>1087</v>
      </c>
      <c r="AI9" s="1072"/>
      <c r="AJ9" s="12" t="s">
        <v>1088</v>
      </c>
      <c r="AK9" s="1072"/>
      <c r="AL9" s="12" t="s">
        <v>1087</v>
      </c>
      <c r="AM9" s="1072"/>
      <c r="AN9" s="12" t="s">
        <v>1088</v>
      </c>
      <c r="AO9" s="1072"/>
      <c r="AP9" s="12" t="s">
        <v>1087</v>
      </c>
      <c r="AQ9" s="1072"/>
      <c r="AR9" s="12" t="s">
        <v>1088</v>
      </c>
      <c r="AS9" s="1601"/>
      <c r="AT9" s="1590"/>
      <c r="AU9" s="1590" t="s">
        <v>1089</v>
      </c>
      <c r="AV9" s="1066"/>
      <c r="AW9" s="1573"/>
      <c r="AX9" s="1066"/>
      <c r="AY9" s="25"/>
      <c r="AZ9" s="25" t="s">
        <v>1079</v>
      </c>
      <c r="BA9" s="1602" t="s">
        <v>1090</v>
      </c>
      <c r="BB9" s="1603"/>
      <c r="BC9" s="1084"/>
      <c r="BD9" s="1084"/>
      <c r="BE9" s="1084"/>
      <c r="BF9" s="1084"/>
      <c r="BG9" s="1084"/>
      <c r="BH9" s="1084"/>
      <c r="BI9" s="1084"/>
      <c r="BJ9" s="1084"/>
      <c r="BK9" s="1604"/>
      <c r="BL9" s="12" t="s">
        <v>1091</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1092</v>
      </c>
      <c r="AE10" s="1606"/>
      <c r="AF10" s="12" t="s">
        <v>1092</v>
      </c>
      <c r="AG10" s="1606"/>
      <c r="AH10" s="12" t="s">
        <v>1093</v>
      </c>
      <c r="AI10" s="1606"/>
      <c r="AJ10" s="12" t="s">
        <v>1093</v>
      </c>
      <c r="AK10" s="1606"/>
      <c r="AL10" s="12" t="s">
        <v>1094</v>
      </c>
      <c r="AM10" s="1072"/>
      <c r="AN10" s="12" t="s">
        <v>1094</v>
      </c>
      <c r="AO10" s="1072"/>
      <c r="AP10" s="12" t="s">
        <v>1095</v>
      </c>
      <c r="AQ10" s="1072"/>
      <c r="AR10" s="12" t="s">
        <v>1095</v>
      </c>
      <c r="AS10" s="1072"/>
      <c r="AT10" s="1590"/>
      <c r="AU10" s="1590"/>
      <c r="AV10" s="1066"/>
      <c r="AW10" s="1573"/>
      <c r="AX10" s="1066"/>
      <c r="AY10" s="25"/>
      <c r="AZ10" s="25"/>
      <c r="BA10" s="1607" t="s">
        <v>1086</v>
      </c>
      <c r="BB10" s="1608" t="str">
        <f>I9</f>
        <v>地上</v>
      </c>
      <c r="BC10" s="26">
        <f>K9</f>
        <v>0</v>
      </c>
      <c r="BD10" s="26">
        <f>M9</f>
        <v>0</v>
      </c>
      <c r="BE10" s="26">
        <f>O9</f>
        <v>0</v>
      </c>
      <c r="BF10" s="26">
        <f>Q9</f>
        <v>0</v>
      </c>
      <c r="BG10" s="26">
        <f>S9</f>
        <v>0</v>
      </c>
      <c r="BH10" s="26">
        <f>U9</f>
        <v>0</v>
      </c>
      <c r="BI10" s="26">
        <f>W9</f>
        <v>0</v>
      </c>
      <c r="BJ10" s="26">
        <f>Y9</f>
        <v>0</v>
      </c>
      <c r="BK10" s="26">
        <f>AA9</f>
        <v>0</v>
      </c>
      <c r="BL10" s="22" t="s">
        <v>1086</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3379</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1096</v>
      </c>
      <c r="AE11" s="1357"/>
      <c r="AF11" s="1612" t="s">
        <v>1096</v>
      </c>
      <c r="AG11" s="1357"/>
      <c r="AH11" s="1612" t="s">
        <v>1097</v>
      </c>
      <c r="AI11" s="1613"/>
      <c r="AJ11" s="1612" t="s">
        <v>1097</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2" t="s">
        <v>1099</v>
      </c>
      <c r="W12" s="8" t="s">
        <v>1098</v>
      </c>
      <c r="X12" s="8" t="s">
        <v>1099</v>
      </c>
      <c r="Y12" s="8" t="s">
        <v>1098</v>
      </c>
      <c r="Z12" s="8" t="s">
        <v>1099</v>
      </c>
      <c r="AA12" s="8" t="s">
        <v>1098</v>
      </c>
      <c r="AB12" s="8" t="s">
        <v>1099</v>
      </c>
      <c r="AC12" s="1617"/>
      <c r="AD12" s="1345"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5" t="s">
        <v>1099</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3489">
        <v>501</v>
      </c>
      <c r="D13" s="1621" t="s">
        <v>3377</v>
      </c>
      <c r="E13" s="13">
        <f>IF($C$3="是",ROUND($A$3*G13/$B$3,2),ROUND($A$3*(G13-AT13)/$B$3,2))</f>
        <v>0</v>
      </c>
      <c r="F13" s="29"/>
      <c r="G13" s="30">
        <f>H13+AC13+AT13</f>
        <v>218.26</v>
      </c>
      <c r="H13" s="17">
        <f>SUMIF(I$12:AB$12,"总值",I13:AB13)</f>
        <v>218.26</v>
      </c>
      <c r="I13" s="3490">
        <v>218.26</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501</v>
      </c>
      <c r="AY13" s="1345">
        <f>ROUND($AY$6*AZ13/$AZ$5,2)</f>
        <v>0</v>
      </c>
      <c r="AZ13" s="13">
        <f>BA13+BL13</f>
        <v>218.26</v>
      </c>
      <c r="BA13" s="13">
        <f>SUM(BB13:BK13)</f>
        <v>218.26</v>
      </c>
      <c r="BB13" s="13">
        <f>IF($D13="是",I13-J13,0)</f>
        <v>218.26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3489">
        <v>502</v>
      </c>
      <c r="D14" s="1621" t="s">
        <v>3377</v>
      </c>
      <c r="E14" s="13">
        <f>IF($C$3="是",ROUND($A$3*G14/$B$3,2),ROUND($A$3*(G14-AT14)/$B$3,2))</f>
        <v>0</v>
      </c>
      <c r="F14" s="29"/>
      <c r="G14" s="30">
        <f>H14+AC14+AT14</f>
        <v>115.33</v>
      </c>
      <c r="H14" s="17">
        <f>SUMIF(I$12:AB$12,"总值",I14:AB14)</f>
        <v>115.33</v>
      </c>
      <c r="I14" s="3490">
        <v>115.33</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502</v>
      </c>
      <c r="AY14" s="1345">
        <f>ROUND($AY$6*AZ14/$AZ$5,2)</f>
        <v>0</v>
      </c>
      <c r="AZ14" s="13">
        <f>BA14+BL14</f>
        <v>115.33</v>
      </c>
      <c r="BA14" s="13">
        <f>SUM(BB14:BK14)</f>
        <v>115.33</v>
      </c>
      <c r="BB14" s="13">
        <f>IF($D14="是",I14-J14,0)</f>
        <v>115.33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3489">
        <v>503</v>
      </c>
      <c r="D15" s="1621" t="s">
        <v>3377</v>
      </c>
      <c r="E15" s="13">
        <f>IF($C$3="是",ROUND($A$3*G15/$B$3,2),ROUND($A$3*(G15-AT15)/$B$3,2))</f>
        <v>0</v>
      </c>
      <c r="F15" s="29"/>
      <c r="G15" s="30">
        <f>H15+AC15+AT15</f>
        <v>346.45</v>
      </c>
      <c r="H15" s="17">
        <f>SUMIF(I$12:AB$12,"总值",I15:AB15)</f>
        <v>346.45</v>
      </c>
      <c r="I15" s="3490">
        <v>346.45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503</v>
      </c>
      <c r="AY15" s="1345">
        <f>ROUND($AY$6*AZ15/$AZ$5,2)</f>
        <v>0</v>
      </c>
      <c r="AZ15" s="13">
        <f>BA15+BL15</f>
        <v>346.45</v>
      </c>
      <c r="BA15" s="13">
        <f>SUM(BB15:BK15)</f>
        <v>346.45</v>
      </c>
      <c r="BB15" s="13">
        <f>IF($D15="是",I15-J15,0)</f>
        <v>346.45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1" sqref="F5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1125</v>
      </c>
      <c r="B1" s="1135"/>
      <c r="C1" s="1135"/>
      <c r="D1" s="1135"/>
      <c r="E1" s="1135"/>
      <c r="F1" s="1135"/>
      <c r="G1" s="1135"/>
      <c r="H1" s="1135"/>
      <c r="I1" s="1135"/>
      <c r="J1" s="1135"/>
      <c r="K1" s="1135"/>
      <c r="L1" s="1135"/>
      <c r="M1" s="1135"/>
      <c r="N1" s="1135"/>
      <c r="O1" s="1135"/>
      <c r="P1" s="1135"/>
    </row>
    <row r="2" spans="1:16" ht="15">
      <c r="A2" s="3573" t="s">
        <v>1126</v>
      </c>
      <c r="B2" s="3573"/>
      <c r="C2" s="3573"/>
      <c r="D2" s="792" t="s">
        <v>1102</v>
      </c>
      <c r="E2" s="1635" t="s">
        <v>1103</v>
      </c>
      <c r="F2" s="2653"/>
      <c r="G2" s="2644"/>
      <c r="H2" s="2645"/>
      <c r="I2" s="2320" t="s">
        <v>1127</v>
      </c>
      <c r="J2" s="2653"/>
      <c r="K2" s="2653"/>
      <c r="L2" s="2653"/>
      <c r="M2" s="2653"/>
      <c r="N2" s="2655"/>
      <c r="O2" s="2653"/>
      <c r="P2" s="2653"/>
    </row>
    <row r="3" spans="1:16" ht="15.75" thickBot="1">
      <c r="A3" s="3574" t="s">
        <v>1100</v>
      </c>
      <c r="B3" s="3574"/>
      <c r="C3" s="3574"/>
      <c r="D3" s="43">
        <f>'数据-基础表'!AY6</f>
        <v>0</v>
      </c>
      <c r="E3" s="43">
        <f>'数据-基础表'!AZ5</f>
        <v>680.04</v>
      </c>
      <c r="F3" s="2653"/>
      <c r="G3" s="1141"/>
      <c r="H3" s="1022" t="s">
        <v>1101</v>
      </c>
      <c r="I3" s="851" t="e">
        <f>ROUND('数据-基础表'!B3/'数据-基础表'!A3,2)</f>
        <v>#DIV/0!</v>
      </c>
      <c r="J3" s="2653"/>
      <c r="K3" s="2653"/>
      <c r="L3" s="2653"/>
      <c r="M3" s="2653"/>
      <c r="N3" s="2655"/>
      <c r="O3" s="2653"/>
      <c r="P3" s="2653"/>
    </row>
    <row r="4" spans="1:16" ht="15">
      <c r="A4" s="3575"/>
      <c r="B4" s="3576"/>
      <c r="C4" s="3577"/>
      <c r="D4" s="1637" t="s">
        <v>1102</v>
      </c>
      <c r="E4" s="1638" t="s">
        <v>1103</v>
      </c>
      <c r="F4" s="2653"/>
      <c r="G4" s="2646" t="s">
        <v>1128</v>
      </c>
      <c r="H4" s="1022" t="s">
        <v>1108</v>
      </c>
      <c r="I4" s="851" t="e">
        <f>ROUND(SUMIF('数据-基础表'!I9:AS9,"地上",'数据-基础表'!I5:AS5)/'数据-基础表'!A3,2)</f>
        <v>#DIV/0!</v>
      </c>
      <c r="J4" s="2653"/>
      <c r="K4" s="2653"/>
      <c r="L4" s="2653"/>
      <c r="M4" s="2653"/>
      <c r="N4" s="2655"/>
      <c r="O4" s="2653"/>
      <c r="P4" s="2653"/>
    </row>
    <row r="5" spans="1:16">
      <c r="A5" s="44" t="s">
        <v>1104</v>
      </c>
      <c r="B5" s="3578" t="s">
        <v>1105</v>
      </c>
      <c r="C5" s="3578"/>
      <c r="D5" s="45">
        <f>ROUND($D$3*E5/$E$3,2)</f>
        <v>0</v>
      </c>
      <c r="E5" s="46">
        <f>SUMIF('数据-基础表'!$11:$11,"住宅",'数据-基础表'!$5:$5)</f>
        <v>0</v>
      </c>
      <c r="F5" s="2653"/>
      <c r="G5" s="1141"/>
      <c r="H5" s="1022" t="s">
        <v>1101</v>
      </c>
      <c r="I5" s="851" t="e">
        <f>ROUND(E31/D31,2)</f>
        <v>#DIV/0!</v>
      </c>
      <c r="J5" s="2653"/>
      <c r="K5" s="2653"/>
      <c r="L5" s="2653"/>
      <c r="M5" s="2653"/>
      <c r="N5" s="2653"/>
      <c r="O5" s="2653"/>
      <c r="P5" s="2653"/>
    </row>
    <row r="6" spans="1:16" ht="15" thickBot="1">
      <c r="A6" s="1640"/>
      <c r="B6" s="3578" t="s">
        <v>1106</v>
      </c>
      <c r="C6" s="3578"/>
      <c r="D6" s="45">
        <f>ROUND($D$3*E6/$E$3,2)</f>
        <v>0</v>
      </c>
      <c r="E6" s="46">
        <f>E3-E5</f>
        <v>680.04</v>
      </c>
      <c r="F6" s="2653"/>
      <c r="G6" s="2647" t="s">
        <v>1107</v>
      </c>
      <c r="H6" s="1142" t="s">
        <v>1108</v>
      </c>
      <c r="I6" s="2648" t="e">
        <f>ROUND(F31/D31,2)</f>
        <v>#DIV/0!</v>
      </c>
      <c r="J6" s="2653"/>
      <c r="K6" s="2653"/>
      <c r="L6" s="2653"/>
      <c r="M6" s="2653"/>
      <c r="N6" s="2653"/>
      <c r="O6" s="2653"/>
      <c r="P6" s="2653"/>
    </row>
    <row r="7" spans="1:16" ht="15.75" thickBot="1">
      <c r="A7" s="3570"/>
      <c r="B7" s="3571"/>
      <c r="C7" s="3572"/>
      <c r="D7" s="1637" t="s">
        <v>1102</v>
      </c>
      <c r="E7" s="1641" t="s">
        <v>1109</v>
      </c>
      <c r="F7" s="2653"/>
      <c r="G7" s="2649" t="s">
        <v>1110</v>
      </c>
      <c r="H7" s="2650"/>
      <c r="I7" s="2651"/>
      <c r="J7" s="2653"/>
      <c r="K7" s="2653"/>
      <c r="L7" s="2653"/>
      <c r="M7" s="2653"/>
      <c r="N7" s="2653"/>
      <c r="O7" s="2653"/>
      <c r="P7" s="2653"/>
    </row>
    <row r="8" spans="1:16">
      <c r="A8" s="44" t="s">
        <v>1111</v>
      </c>
      <c r="B8" s="47" t="s">
        <v>1112</v>
      </c>
      <c r="C8" s="45" t="s">
        <v>1113</v>
      </c>
      <c r="D8" s="45">
        <f t="shared" ref="D8:D15" si="0">ROUND($D$3*E8/$E$3,2)</f>
        <v>0</v>
      </c>
      <c r="E8" s="48">
        <f>SUMIF('数据-基础表'!BB10:BK10,"地上",'数据-基础表'!BB5:BK5)</f>
        <v>680.04</v>
      </c>
      <c r="F8" s="2653"/>
      <c r="G8" s="2654"/>
      <c r="H8" s="2654"/>
      <c r="I8" s="2653"/>
      <c r="J8" s="2653"/>
      <c r="K8" s="2653"/>
      <c r="L8" s="2653"/>
      <c r="M8" s="2653"/>
      <c r="N8" s="2653"/>
      <c r="O8" s="2653"/>
      <c r="P8" s="2653"/>
    </row>
    <row r="9" spans="1:16">
      <c r="A9" s="1642"/>
      <c r="B9" s="1643"/>
      <c r="C9" s="45" t="s">
        <v>1114</v>
      </c>
      <c r="D9" s="45">
        <f t="shared" si="0"/>
        <v>0</v>
      </c>
      <c r="E9" s="49">
        <v>0</v>
      </c>
      <c r="F9" s="2653"/>
      <c r="G9" s="2654"/>
      <c r="H9" s="2654"/>
      <c r="I9" s="2653"/>
      <c r="J9" s="2653"/>
      <c r="K9" s="2653"/>
      <c r="L9" s="2653"/>
      <c r="M9" s="2653"/>
      <c r="N9" s="2653"/>
      <c r="O9" s="2653"/>
      <c r="P9" s="2653"/>
    </row>
    <row r="10" spans="1:16">
      <c r="A10" s="1642"/>
      <c r="B10" s="1643"/>
      <c r="C10" s="45" t="s">
        <v>1123</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1115</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1116</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1117</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1129</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1124</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1118</v>
      </c>
      <c r="D16" s="47">
        <f>SUM(D8:D15)</f>
        <v>0</v>
      </c>
      <c r="E16" s="50">
        <f>SUM(E8:E15)</f>
        <v>680.04</v>
      </c>
      <c r="F16" s="2653"/>
      <c r="G16" s="2654"/>
      <c r="H16" s="1644" t="s">
        <v>1130</v>
      </c>
      <c r="I16" s="1645"/>
      <c r="J16" s="1135"/>
      <c r="K16" s="3567" t="s">
        <v>1130</v>
      </c>
      <c r="L16" s="3568"/>
      <c r="M16" s="3568"/>
      <c r="N16" s="3568"/>
      <c r="O16" s="3568"/>
      <c r="P16" s="3569"/>
    </row>
    <row r="17" spans="1:19" ht="15">
      <c r="A17" s="1646" t="s">
        <v>1131</v>
      </c>
      <c r="B17" s="1647" t="s">
        <v>1132</v>
      </c>
      <c r="C17" s="1648" t="s">
        <v>1133</v>
      </c>
      <c r="D17" s="1649" t="s">
        <v>1121</v>
      </c>
      <c r="E17" s="1650" t="s">
        <v>1122</v>
      </c>
      <c r="F17" s="1651"/>
      <c r="G17" s="1652"/>
      <c r="H17" s="1653" t="s">
        <v>1134</v>
      </c>
      <c r="I17" s="1654" t="s">
        <v>1119</v>
      </c>
      <c r="J17" s="1135"/>
      <c r="K17" s="3564" t="s">
        <v>1135</v>
      </c>
      <c r="L17" s="3565"/>
      <c r="M17" s="3566"/>
      <c r="N17" s="3564" t="s">
        <v>1136</v>
      </c>
      <c r="O17" s="3565"/>
      <c r="P17" s="3566"/>
      <c r="R17" s="1636" t="s">
        <v>1137</v>
      </c>
      <c r="S17" s="56"/>
    </row>
    <row r="18" spans="1:19" ht="15">
      <c r="A18" s="1642"/>
      <c r="B18" s="1655"/>
      <c r="C18" s="1656"/>
      <c r="D18" s="1657"/>
      <c r="E18" s="1658" t="s">
        <v>1138</v>
      </c>
      <c r="F18" s="1659" t="s">
        <v>1139</v>
      </c>
      <c r="G18" s="1660" t="s">
        <v>1140</v>
      </c>
      <c r="H18" s="1037" t="s">
        <v>1141</v>
      </c>
      <c r="I18" s="1661" t="s">
        <v>1142</v>
      </c>
      <c r="J18" s="1135"/>
      <c r="K18" s="1037" t="s">
        <v>1143</v>
      </c>
      <c r="L18" s="1662" t="s">
        <v>1144</v>
      </c>
      <c r="M18" s="851" t="s">
        <v>1145</v>
      </c>
      <c r="N18" s="1037" t="s">
        <v>1143</v>
      </c>
      <c r="O18" s="1662" t="s">
        <v>1144</v>
      </c>
      <c r="P18" s="851" t="s">
        <v>1145</v>
      </c>
      <c r="R18" s="1022" t="s">
        <v>1146</v>
      </c>
      <c r="S18" s="1022" t="s">
        <v>1147</v>
      </c>
    </row>
    <row r="19" spans="1:19">
      <c r="A19" s="1663"/>
      <c r="B19" s="47" t="s">
        <v>1120</v>
      </c>
      <c r="C19" s="3410">
        <v>501</v>
      </c>
      <c r="D19" s="45">
        <f>ROUND($D$3*E19/$E$3,2)</f>
        <v>0</v>
      </c>
      <c r="E19" s="53">
        <f t="shared" ref="E19:E26" si="1">SUM(F19:G19)</f>
        <v>218.26</v>
      </c>
      <c r="F19" s="2788">
        <f>'数据-基础表'!I13</f>
        <v>218.26</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218.26</v>
      </c>
    </row>
    <row r="20" spans="1:19">
      <c r="A20" s="1666"/>
      <c r="B20" s="47" t="s">
        <v>1148</v>
      </c>
      <c r="C20" s="3410">
        <v>502</v>
      </c>
      <c r="D20" s="45">
        <f t="shared" ref="D20:D26" si="6">ROUND($D$3*E20/$E$3,2)</f>
        <v>0</v>
      </c>
      <c r="E20" s="53">
        <f t="shared" si="1"/>
        <v>115.33</v>
      </c>
      <c r="F20" s="2788">
        <f>'数据-基础表'!I14</f>
        <v>115.33</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115.33</v>
      </c>
    </row>
    <row r="21" spans="1:19">
      <c r="A21" s="1666"/>
      <c r="B21" s="47" t="s">
        <v>1148</v>
      </c>
      <c r="C21" s="3410">
        <v>503</v>
      </c>
      <c r="D21" s="45">
        <f t="shared" si="6"/>
        <v>0</v>
      </c>
      <c r="E21" s="53">
        <f t="shared" si="1"/>
        <v>346.45</v>
      </c>
      <c r="F21" s="2788">
        <f>'数据-基础表'!I15</f>
        <v>346.45</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346.45</v>
      </c>
    </row>
    <row r="22" spans="1:19">
      <c r="A22" s="1666"/>
      <c r="B22" s="47" t="s">
        <v>1148</v>
      </c>
      <c r="C22" s="3411"/>
      <c r="D22" s="45">
        <f t="shared" si="6"/>
        <v>0</v>
      </c>
      <c r="E22" s="53">
        <f t="shared" si="1"/>
        <v>0</v>
      </c>
      <c r="F22" s="2790"/>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1148</v>
      </c>
      <c r="C23" s="3411"/>
      <c r="D23" s="45">
        <f>ROUND($D$3*E23/$E$3,2)</f>
        <v>0</v>
      </c>
      <c r="E23" s="53">
        <f>SUM(F23:G23)</f>
        <v>0</v>
      </c>
      <c r="F23" s="2790"/>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1148</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1148</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1148</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1149</v>
      </c>
      <c r="D27" s="1136">
        <f>SUM(D19:D26)</f>
        <v>0</v>
      </c>
      <c r="E27" s="1137">
        <f>IF(SUM(E19:E26)='数据-基础表'!BA5,SUM(E19:E26),IF(F27="地上面积有误","面积有误","地下面积有误"))</f>
        <v>680.04</v>
      </c>
      <c r="F27" s="1136">
        <f>IF(SUM(F19:F26)=E8,SUM(F19:F26),"地上面积有误")</f>
        <v>680.04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680.04</v>
      </c>
    </row>
    <row r="28" spans="1:19">
      <c r="A28" s="1666"/>
      <c r="B28" s="47" t="s">
        <v>1150</v>
      </c>
      <c r="C28" s="1034" t="s">
        <v>1151</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1150</v>
      </c>
      <c r="C29" s="1670" t="s">
        <v>1152</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1149</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1" t="s">
        <v>1153</v>
      </c>
      <c r="D31" s="676">
        <f>D27+D30</f>
        <v>0</v>
      </c>
      <c r="E31" s="676">
        <f>E27+E30</f>
        <v>680.04</v>
      </c>
      <c r="F31" s="677">
        <f>F27+F30</f>
        <v>680.04</v>
      </c>
      <c r="G31" s="678">
        <f>G27+G30</f>
        <v>0</v>
      </c>
      <c r="H31" s="2653"/>
      <c r="I31" s="2653"/>
      <c r="J31" s="2653"/>
      <c r="K31" s="2653"/>
      <c r="L31" s="2653"/>
      <c r="M31" s="2653"/>
      <c r="N31" s="2653"/>
      <c r="O31" s="2653"/>
      <c r="P31" s="2653"/>
    </row>
    <row r="32" spans="1:19">
      <c r="A32" s="1639"/>
      <c r="B32" s="1639" t="s">
        <v>1154</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A38" sqref="AA3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1155</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1156</v>
      </c>
      <c r="B2" s="1041">
        <f>项目基本情况!D3</f>
        <v>45034</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1157</v>
      </c>
      <c r="B4" s="1684"/>
      <c r="C4" s="1685"/>
      <c r="D4" s="1686"/>
      <c r="E4" s="1685" t="s">
        <v>1158</v>
      </c>
      <c r="F4" s="1685"/>
      <c r="G4" s="1685"/>
      <c r="H4" s="1685"/>
      <c r="I4" s="1685"/>
      <c r="J4" s="1687"/>
      <c r="K4" s="1688"/>
      <c r="L4" s="1689"/>
      <c r="M4" s="1685"/>
      <c r="N4" s="1685" t="s">
        <v>1159</v>
      </c>
      <c r="O4" s="1685"/>
      <c r="P4" s="1685"/>
      <c r="Q4" s="1685"/>
      <c r="R4" s="1685"/>
      <c r="S4" s="1687"/>
      <c r="T4" s="2652" t="str">
        <f>'数据-汇总表'!I17</f>
        <v>按面积比例</v>
      </c>
      <c r="U4" s="1684" t="s">
        <v>1160</v>
      </c>
      <c r="V4" s="1685"/>
      <c r="W4" s="1685"/>
      <c r="X4" s="1685"/>
      <c r="Y4" s="1687"/>
      <c r="Z4" s="1648" t="s">
        <v>1161</v>
      </c>
      <c r="AA4" s="1648"/>
      <c r="AB4" s="1648"/>
      <c r="AC4" s="1648"/>
      <c r="AD4" s="1648"/>
      <c r="AE4" s="1646" t="s">
        <v>1162</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1163</v>
      </c>
      <c r="B5" s="1692" t="s">
        <v>1164</v>
      </c>
      <c r="C5" s="1693" t="s">
        <v>1165</v>
      </c>
      <c r="D5" s="1694" t="s">
        <v>1166</v>
      </c>
      <c r="E5" s="1043" t="s">
        <v>1167</v>
      </c>
      <c r="F5" s="1695" t="s">
        <v>1168</v>
      </c>
      <c r="G5" s="1043" t="s">
        <v>1169</v>
      </c>
      <c r="H5" s="1043" t="s">
        <v>1170</v>
      </c>
      <c r="I5" s="1043" t="s">
        <v>1171</v>
      </c>
      <c r="J5" s="1696" t="s">
        <v>1172</v>
      </c>
      <c r="K5" s="1697" t="s">
        <v>1173</v>
      </c>
      <c r="L5" s="1698" t="s">
        <v>1174</v>
      </c>
      <c r="M5" s="1699" t="s">
        <v>1175</v>
      </c>
      <c r="N5" s="1700" t="s">
        <v>3381</v>
      </c>
      <c r="O5" s="1698" t="s">
        <v>1176</v>
      </c>
      <c r="P5" s="1701" t="s">
        <v>1177</v>
      </c>
      <c r="Q5" s="61" t="s">
        <v>1178</v>
      </c>
      <c r="R5" s="1702" t="s">
        <v>1179</v>
      </c>
      <c r="S5" s="1703" t="s">
        <v>1180</v>
      </c>
      <c r="T5" s="1704" t="s">
        <v>1181</v>
      </c>
      <c r="U5" s="1042" t="s">
        <v>1182</v>
      </c>
      <c r="V5" s="1043" t="s">
        <v>1183</v>
      </c>
      <c r="W5" s="1043" t="s">
        <v>1184</v>
      </c>
      <c r="X5" s="63"/>
      <c r="Y5" s="62" t="s">
        <v>1185</v>
      </c>
      <c r="Z5" s="1705" t="s">
        <v>1182</v>
      </c>
      <c r="AA5" s="1043" t="s">
        <v>1183</v>
      </c>
      <c r="AB5" s="1043" t="s">
        <v>1184</v>
      </c>
      <c r="AC5" s="63"/>
      <c r="AD5" s="63" t="s">
        <v>1185</v>
      </c>
      <c r="AE5" s="1042" t="s">
        <v>1186</v>
      </c>
      <c r="AF5" s="1043" t="s">
        <v>1187</v>
      </c>
      <c r="AG5" s="62" t="s">
        <v>1188</v>
      </c>
      <c r="AH5" s="1042" t="s">
        <v>1189</v>
      </c>
      <c r="AI5" s="1705" t="s">
        <v>1190</v>
      </c>
      <c r="AJ5" s="1705" t="s">
        <v>1191</v>
      </c>
      <c r="AK5" s="1043" t="s">
        <v>1192</v>
      </c>
      <c r="AL5" s="1043" t="s">
        <v>1193</v>
      </c>
      <c r="AM5" s="62" t="s">
        <v>1194</v>
      </c>
      <c r="AN5" s="1706" t="s">
        <v>1195</v>
      </c>
      <c r="AO5" s="1558" t="s">
        <v>1196</v>
      </c>
      <c r="AP5" s="1024" t="s">
        <v>1197</v>
      </c>
      <c r="AQ5" s="1707" t="s">
        <v>1198</v>
      </c>
      <c r="AR5" s="1707" t="s">
        <v>1199</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501</v>
      </c>
      <c r="B6" s="1709" t="str">
        <f>IF(A6=0,"","经营性")</f>
        <v>经营性</v>
      </c>
      <c r="C6" s="1710" t="s">
        <v>21</v>
      </c>
      <c r="D6" s="854">
        <f>SUMIF(项目基本情况!C$12:I$12,C6,项目基本情况!C$14:I$14)</f>
        <v>50</v>
      </c>
      <c r="E6" s="853">
        <f>IF(B6="","",SUMIF(项目基本情况!C$12:I$12,C6,项目基本情况!C$13:I$13))</f>
        <v>54680</v>
      </c>
      <c r="F6" s="64">
        <f>SUMIF(项目基本情况!C$12:I$12,C6,项目基本情况!C$15:I$15)</f>
        <v>26.42</v>
      </c>
      <c r="G6" s="65">
        <f>IF(ISERROR(ROUND(POWER(1+H6,D6-F6)*(POWER(1+H6,F6)-1)/(POWER(1+H6,D6)-1),3)),0,ROUND(POWER(1+H6,D6-F6)*(POWER(1+H6,F6)-1)/(POWER(1+H6,D6)-1),3))</f>
        <v>0.77300000000000002</v>
      </c>
      <c r="H6" s="732">
        <v>4.4999999999999998E-2</v>
      </c>
      <c r="I6" s="732">
        <v>0.05</v>
      </c>
      <c r="J6" s="66">
        <v>7.0000000000000007E-2</v>
      </c>
      <c r="K6" s="1026">
        <f>SUMIF('数据-汇总表'!C$19:C$33,A6,'数据-汇总表'!E$19:E$33)</f>
        <v>218.26</v>
      </c>
      <c r="L6" s="733">
        <v>3500</v>
      </c>
      <c r="M6" s="67">
        <f t="shared" ref="M6:M14" si="0">ROUND(K6*L6/10000,0)</f>
        <v>76</v>
      </c>
      <c r="N6" s="731">
        <f>N20</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3.5</v>
      </c>
      <c r="V6" s="70">
        <v>0.03</v>
      </c>
      <c r="W6" s="70">
        <v>0.1</v>
      </c>
      <c r="X6" s="1036"/>
      <c r="Y6" s="71">
        <f>N6</f>
        <v>0.87</v>
      </c>
      <c r="Z6" s="72"/>
      <c r="AA6" s="66"/>
      <c r="AB6" s="66"/>
      <c r="AC6" s="1036"/>
      <c r="AD6" s="73"/>
      <c r="AE6" s="1037">
        <f ca="1">IF(AN6="",0,SUMIF(INDIRECT("'"&amp;AN6&amp;"'"&amp;"!E:E"),$AE$5,INDIRECT("'"&amp;AN6&amp;"'"&amp;"!F:F")))</f>
        <v>26.42</v>
      </c>
      <c r="AF6" s="1344"/>
      <c r="AG6" s="138">
        <f>IF(AF6="",0,AE6-AF6)</f>
        <v>0</v>
      </c>
      <c r="AH6" s="74"/>
      <c r="AI6" s="76">
        <v>365</v>
      </c>
      <c r="AJ6" s="77"/>
      <c r="AK6" s="78">
        <v>0.01</v>
      </c>
      <c r="AL6" s="79">
        <v>1.5E-3</v>
      </c>
      <c r="AM6" s="80">
        <v>0.01</v>
      </c>
      <c r="AN6" s="1711" t="s">
        <v>3430</v>
      </c>
      <c r="AO6" s="52">
        <f ca="1">SUMIF(INDIRECT("'"&amp;AN6&amp;"'"&amp;"!A:A"),"总价",INDIRECT("'"&amp;AN6&amp;"'"&amp;"!B:B"))</f>
        <v>443.40690000000001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502</v>
      </c>
      <c r="B7" s="1709" t="str">
        <f t="shared" ref="B7:B13" si="1">IF(A7=0,"","经营性")</f>
        <v>经营性</v>
      </c>
      <c r="C7" s="1710" t="s">
        <v>21</v>
      </c>
      <c r="D7" s="854">
        <f>SUMIF(项目基本情况!C$12:I$12,C7,项目基本情况!C$14:I$14)</f>
        <v>50</v>
      </c>
      <c r="E7" s="853">
        <f>IF(B7="","",SUMIF(项目基本情况!C$12:I$12,C7,项目基本情况!C$13:I$13))</f>
        <v>54680</v>
      </c>
      <c r="F7" s="64">
        <f>SUMIF(项目基本情况!C$12:I$12,C7,项目基本情况!C$15:I$15)</f>
        <v>26.42</v>
      </c>
      <c r="G7" s="65">
        <f t="shared" ref="G7:G11" si="2">IF(ISERROR(ROUND(POWER(1+H7,D7-F7)*(POWER(1+H7,F7)-1)/(POWER(1+H7,D7)-1),3)),0,ROUND(POWER(1+H7,D7-F7)*(POWER(1+H7,F7)-1)/(POWER(1+H7,D7)-1),3))</f>
        <v>0.77300000000000002</v>
      </c>
      <c r="H7" s="732">
        <f>H6</f>
        <v>4.4999999999999998E-2</v>
      </c>
      <c r="I7" s="732">
        <f>I6</f>
        <v>0.05</v>
      </c>
      <c r="J7" s="66">
        <v>7.0000000000000007E-2</v>
      </c>
      <c r="K7" s="1026">
        <f>SUMIF('数据-汇总表'!C$19:C$33,A7,'数据-汇总表'!E$19:E$33)</f>
        <v>115.33</v>
      </c>
      <c r="L7" s="733">
        <f>L6</f>
        <v>3500</v>
      </c>
      <c r="M7" s="67">
        <f t="shared" si="0"/>
        <v>40</v>
      </c>
      <c r="N7" s="731">
        <f>N6</f>
        <v>0.87</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f>U6</f>
        <v>3.5</v>
      </c>
      <c r="V7" s="70">
        <f>V6</f>
        <v>0.03</v>
      </c>
      <c r="W7" s="70">
        <f>W6</f>
        <v>0.1</v>
      </c>
      <c r="X7" s="1036"/>
      <c r="Y7" s="71">
        <f>Y6</f>
        <v>0.87</v>
      </c>
      <c r="Z7" s="72"/>
      <c r="AA7" s="66"/>
      <c r="AB7" s="66"/>
      <c r="AC7" s="1036"/>
      <c r="AD7" s="73"/>
      <c r="AE7" s="1037">
        <f t="shared" ref="AE7:AE13" ca="1" si="6">IF(AN7="",0,SUMIF(INDIRECT("'"&amp;AN7&amp;"'"&amp;"!E:E"),$AE$5,INDIRECT("'"&amp;AN7&amp;"'"&amp;"!F:F")))</f>
        <v>26.42</v>
      </c>
      <c r="AF7" s="1344"/>
      <c r="AG7" s="138">
        <f t="shared" ref="AG7:AG13" si="7">IF(AF7="",0,AE7-AF7)</f>
        <v>0</v>
      </c>
      <c r="AH7" s="74"/>
      <c r="AI7" s="76">
        <v>365</v>
      </c>
      <c r="AJ7" s="77"/>
      <c r="AK7" s="78">
        <f>AK6</f>
        <v>0.01</v>
      </c>
      <c r="AL7" s="79">
        <v>1.5E-3</v>
      </c>
      <c r="AM7" s="80">
        <v>0.01</v>
      </c>
      <c r="AN7" s="1711" t="s">
        <v>3432</v>
      </c>
      <c r="AO7" s="52">
        <f t="shared" ref="AO7:AO13" ca="1" si="8">SUMIF(INDIRECT("'"&amp;AN7&amp;"'"&amp;"!A:A"),"总价",INDIRECT("'"&amp;AN7&amp;"'"&amp;"!B:B"))</f>
        <v>234.2998</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503</v>
      </c>
      <c r="B8" s="1709" t="str">
        <f t="shared" si="1"/>
        <v>经营性</v>
      </c>
      <c r="C8" s="1710" t="s">
        <v>21</v>
      </c>
      <c r="D8" s="854">
        <f>SUMIF(项目基本情况!C$12:I$12,C8,项目基本情况!C$14:I$14)</f>
        <v>50</v>
      </c>
      <c r="E8" s="853">
        <f>IF(B8="","",SUMIF(项目基本情况!C$12:I$12,C8,项目基本情况!C$13:I$13))</f>
        <v>54680</v>
      </c>
      <c r="F8" s="64">
        <f>SUMIF(项目基本情况!C$12:I$12,C8,项目基本情况!C$15:I$15)</f>
        <v>26.42</v>
      </c>
      <c r="G8" s="65">
        <f t="shared" si="2"/>
        <v>0.77300000000000002</v>
      </c>
      <c r="H8" s="732">
        <f>H6</f>
        <v>4.4999999999999998E-2</v>
      </c>
      <c r="I8" s="732">
        <f>I6</f>
        <v>0.05</v>
      </c>
      <c r="J8" s="66">
        <v>7.0000000000000007E-2</v>
      </c>
      <c r="K8" s="1026">
        <f>SUMIF('数据-汇总表'!C$19:C$33,A8,'数据-汇总表'!E$19:E$33)</f>
        <v>346.45</v>
      </c>
      <c r="L8" s="733">
        <f>L6</f>
        <v>3500</v>
      </c>
      <c r="M8" s="67">
        <f>ROUND(K8*L8/10000,0)</f>
        <v>121</v>
      </c>
      <c r="N8" s="731">
        <f>N6</f>
        <v>0.87</v>
      </c>
      <c r="O8" s="67" t="str">
        <f t="shared" si="3"/>
        <v>——</v>
      </c>
      <c r="P8" s="68" t="str">
        <f t="shared" si="4"/>
        <v>——</v>
      </c>
      <c r="Q8" s="734">
        <f>Q6</f>
        <v>0.15</v>
      </c>
      <c r="R8" s="69">
        <f ca="1">SUMIF('数据-汇总表'!C$19:C$33,A8,'数据-汇总表'!R$19:R$27)</f>
        <v>0</v>
      </c>
      <c r="S8" s="51">
        <f>IF('数据-汇总表'!$I$17="按面积比例",SUMIF('数据-汇总表'!C$19:C$33,A8,'数据-汇总表'!K$19:K$33),SUMIF('数据-汇总表'!C$19:C$33,A8,'数据-汇总表'!N$19:N$33))</f>
        <v>0</v>
      </c>
      <c r="T8" s="1168">
        <f t="shared" si="5"/>
        <v>0</v>
      </c>
      <c r="U8" s="3421">
        <f>U6</f>
        <v>3.5</v>
      </c>
      <c r="V8" s="70">
        <f>V6</f>
        <v>0.03</v>
      </c>
      <c r="W8" s="70">
        <f>W6</f>
        <v>0.1</v>
      </c>
      <c r="X8" s="1036"/>
      <c r="Y8" s="71">
        <f>Y6</f>
        <v>0.87</v>
      </c>
      <c r="Z8" s="72"/>
      <c r="AA8" s="66"/>
      <c r="AB8" s="66"/>
      <c r="AC8" s="1036"/>
      <c r="AD8" s="73"/>
      <c r="AE8" s="1037">
        <f t="shared" ca="1" si="6"/>
        <v>26.42</v>
      </c>
      <c r="AF8" s="1344"/>
      <c r="AG8" s="138">
        <f t="shared" si="7"/>
        <v>0</v>
      </c>
      <c r="AH8" s="735"/>
      <c r="AI8" s="76">
        <v>365</v>
      </c>
      <c r="AJ8" s="77"/>
      <c r="AK8" s="78">
        <f>AK6</f>
        <v>0.01</v>
      </c>
      <c r="AL8" s="79">
        <v>1.5E-3</v>
      </c>
      <c r="AM8" s="80">
        <v>0.01</v>
      </c>
      <c r="AN8" s="1711" t="s">
        <v>3434</v>
      </c>
      <c r="AO8" s="52">
        <f t="shared" ca="1" si="8"/>
        <v>703.83590000000004</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1"/>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1"/>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1200</v>
      </c>
      <c r="B14" s="1709" t="s">
        <v>1201</v>
      </c>
      <c r="C14" s="1714" t="s">
        <v>1200</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1202</v>
      </c>
      <c r="B15" s="1709" t="s">
        <v>1201</v>
      </c>
      <c r="C15" s="1714" t="s">
        <v>1203</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1204</v>
      </c>
      <c r="B16" s="88"/>
      <c r="C16" s="829"/>
      <c r="D16" s="1716"/>
      <c r="E16" s="88"/>
      <c r="F16" s="88"/>
      <c r="G16" s="89">
        <f>ROUND(SUMPRODUCT(G6:G13,K6:K13)/SUMPRODUCT((G6:G13&gt;0)*(K6:K13)),3)</f>
        <v>0.77300000000000002</v>
      </c>
      <c r="H16" s="90">
        <f>ROUND(SUMPRODUCT(H6:H13,K6:K13)/SUMPRODUCT((H6:H13&gt;0)*(K6:K13)),3)</f>
        <v>4.4999999999999998E-2</v>
      </c>
      <c r="I16" s="91"/>
      <c r="J16" s="91"/>
      <c r="K16" s="92">
        <f>SUM(K6:K15)</f>
        <v>680.04</v>
      </c>
      <c r="L16" s="93">
        <f>ROUND(M16*10000/SUM(K6:K14),0)</f>
        <v>3485</v>
      </c>
      <c r="M16" s="93">
        <f>SUM(M6:M14)</f>
        <v>237</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v>2013</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1205</v>
      </c>
      <c r="B18" s="2678"/>
      <c r="C18" s="2666"/>
      <c r="D18" s="2669"/>
      <c r="E18" s="2666"/>
      <c r="F18" s="2666"/>
      <c r="G18" s="2666"/>
      <c r="H18" s="2666"/>
      <c r="I18" s="2666"/>
      <c r="J18" s="2666"/>
      <c r="K18" s="2665"/>
      <c r="L18" s="2665"/>
      <c r="M18" s="3491" t="s">
        <v>3429</v>
      </c>
      <c r="N18" s="2664">
        <f>ROUND(1-(2023-N17)/60,2)</f>
        <v>0.83</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1206</v>
      </c>
      <c r="B19" s="103">
        <v>0</v>
      </c>
      <c r="C19" s="2792" t="s">
        <v>2300</v>
      </c>
      <c r="D19" s="2669"/>
      <c r="E19" s="2666"/>
      <c r="F19" s="2666"/>
      <c r="G19" s="2666"/>
      <c r="H19" s="2666"/>
      <c r="I19" s="2666"/>
      <c r="J19" s="2666"/>
      <c r="K19" s="2665"/>
      <c r="L19" s="2665"/>
      <c r="M19" s="3491" t="s">
        <v>3446</v>
      </c>
      <c r="N19" s="2664">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1207</v>
      </c>
      <c r="B20" s="104">
        <v>2</v>
      </c>
      <c r="C20" s="2793" t="s">
        <v>2298</v>
      </c>
      <c r="D20" s="2669"/>
      <c r="E20" s="2666"/>
      <c r="F20" s="2666"/>
      <c r="G20" s="2666"/>
      <c r="H20" s="2666"/>
      <c r="I20" s="2666"/>
      <c r="J20" s="2666"/>
      <c r="K20" s="2665"/>
      <c r="L20" s="2665"/>
      <c r="M20" s="3491" t="s">
        <v>3447</v>
      </c>
      <c r="N20" s="2664">
        <f>ROUND((N19+N18)/2,2)</f>
        <v>0.87</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1208</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1209</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1210</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1211</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1212</v>
      </c>
      <c r="B26" s="1722" t="s">
        <v>1213</v>
      </c>
      <c r="C26" s="2670" t="s">
        <v>1214</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1215</v>
      </c>
      <c r="B27" s="107">
        <v>160</v>
      </c>
      <c r="C27" s="2794" t="s">
        <v>2302</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1216</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1217</v>
      </c>
      <c r="B29" s="112">
        <v>0</v>
      </c>
      <c r="C29" s="2795" t="s">
        <v>2289</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1218</v>
      </c>
      <c r="B30" s="671">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1219</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1220</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1221</v>
      </c>
      <c r="B33" s="673">
        <v>0.05</v>
      </c>
      <c r="C33" s="2796" t="s">
        <v>2290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1222</v>
      </c>
      <c r="B34" s="113">
        <v>0</v>
      </c>
      <c r="C34" s="2796" t="s">
        <v>2291</v>
      </c>
      <c r="D34" s="2677" t="s">
        <v>2299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1223</v>
      </c>
      <c r="B35" s="110">
        <v>200</v>
      </c>
      <c r="C35" s="2796" t="s">
        <v>2292</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1224</v>
      </c>
      <c r="B36" s="114">
        <v>1.4999999999999999E-2</v>
      </c>
      <c r="C36" s="2796" t="s">
        <v>2293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1225</v>
      </c>
      <c r="B37" s="115">
        <v>0.02</v>
      </c>
      <c r="C37" s="2796" t="s">
        <v>2294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1226</v>
      </c>
      <c r="B38" s="113">
        <v>0.02</v>
      </c>
      <c r="C38" s="2796" t="s">
        <v>2294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1227</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3380</v>
      </c>
      <c r="B40" s="1074">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1228</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1229</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1230</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1231</v>
      </c>
      <c r="B44" s="119">
        <v>0.05</v>
      </c>
      <c r="C44" s="2796" t="s">
        <v>2303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1232</v>
      </c>
      <c r="B45" s="117">
        <v>0.03</v>
      </c>
      <c r="C45" s="2795" t="s">
        <v>2295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1233</v>
      </c>
      <c r="B46" s="117">
        <v>0.02</v>
      </c>
      <c r="C46" s="2795" t="s">
        <v>2296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1234</v>
      </c>
      <c r="B47" s="120"/>
      <c r="C47" s="2798" t="s">
        <v>2304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1235</v>
      </c>
      <c r="B48" s="121">
        <v>0.03</v>
      </c>
      <c r="C48" s="2795" t="s">
        <v>2295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1236</v>
      </c>
      <c r="B49" s="117">
        <v>5.0000000000000001E-4</v>
      </c>
      <c r="C49" s="2795" t="s">
        <v>2297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1237</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1238</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1239</v>
      </c>
      <c r="B52" s="124">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1240</v>
      </c>
      <c r="B53" s="1734" t="s">
        <v>29</v>
      </c>
      <c r="C53" s="2655" t="s">
        <v>1241</v>
      </c>
      <c r="D53" s="2797" t="s">
        <v>2301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1242</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1243</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1244</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1245</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1246</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1247</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1248</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1249</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1250</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1251</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5"/>
    <col min="30" max="16384" width="9" style="1682"/>
  </cols>
  <sheetData>
    <row r="1" spans="1:29" s="2451" customFormat="1" ht="18.75" thickBot="1">
      <c r="A1" s="3579" t="s">
        <v>2281</v>
      </c>
      <c r="B1" s="3580"/>
      <c r="C1" s="3580"/>
      <c r="D1" s="3580"/>
      <c r="E1" s="3580"/>
      <c r="F1" s="3580"/>
      <c r="G1" s="3580"/>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2276</v>
      </c>
      <c r="D2" s="2455"/>
      <c r="E2" s="2452"/>
      <c r="F2" s="2456"/>
      <c r="G2" s="2454" t="s">
        <v>2277</v>
      </c>
      <c r="H2" s="795"/>
      <c r="I2" s="795"/>
      <c r="J2" s="795"/>
      <c r="K2" s="795"/>
      <c r="L2" s="795"/>
      <c r="M2" s="795"/>
      <c r="N2" s="795"/>
      <c r="O2" s="795"/>
      <c r="P2" s="795"/>
      <c r="Q2" s="795"/>
      <c r="R2" s="795"/>
    </row>
    <row r="3" spans="1:29" ht="48">
      <c r="A3" s="2435" t="s">
        <v>2278</v>
      </c>
      <c r="B3" s="2457" t="s">
        <v>2247</v>
      </c>
      <c r="C3" s="2458" t="s">
        <v>2279</v>
      </c>
      <c r="D3" s="2459"/>
      <c r="E3" s="2436" t="s">
        <v>2278</v>
      </c>
      <c r="F3" s="2460" t="s">
        <v>2248</v>
      </c>
      <c r="G3" s="2461" t="s">
        <v>2280</v>
      </c>
      <c r="H3" s="795"/>
      <c r="I3" s="795"/>
      <c r="J3" s="795"/>
      <c r="K3" s="795"/>
      <c r="L3" s="795"/>
      <c r="M3" s="795"/>
      <c r="N3" s="795"/>
      <c r="O3" s="795"/>
      <c r="P3" s="795"/>
      <c r="Q3" s="795"/>
      <c r="R3" s="795"/>
    </row>
    <row r="4" spans="1:29" ht="36.75">
      <c r="A4" s="2436"/>
      <c r="B4" s="323" t="s">
        <v>2249</v>
      </c>
      <c r="C4" s="2462" t="s">
        <v>2250</v>
      </c>
      <c r="D4" s="2459"/>
      <c r="E4" s="2463"/>
      <c r="F4" s="1369" t="s">
        <v>2251</v>
      </c>
      <c r="G4" s="2464" t="s">
        <v>2252</v>
      </c>
      <c r="H4" s="795"/>
      <c r="I4" s="795"/>
      <c r="J4" s="795"/>
      <c r="K4" s="795"/>
      <c r="L4" s="795"/>
      <c r="M4" s="795"/>
      <c r="N4" s="795"/>
      <c r="O4" s="795"/>
      <c r="P4" s="795"/>
      <c r="Q4" s="795"/>
      <c r="R4" s="795"/>
    </row>
    <row r="5" spans="1:29" ht="36.75">
      <c r="A5" s="2436"/>
      <c r="B5" s="323" t="s">
        <v>2253</v>
      </c>
      <c r="C5" s="2462" t="s">
        <v>2254</v>
      </c>
      <c r="D5" s="2459"/>
      <c r="E5" s="2463"/>
      <c r="F5" s="323" t="s">
        <v>2255</v>
      </c>
      <c r="G5" s="2464" t="s">
        <v>2256</v>
      </c>
      <c r="H5" s="795"/>
      <c r="I5" s="795"/>
      <c r="J5" s="795"/>
      <c r="K5" s="795"/>
      <c r="L5" s="795"/>
      <c r="M5" s="795"/>
      <c r="N5" s="795"/>
      <c r="O5" s="795"/>
      <c r="P5" s="795"/>
      <c r="Q5" s="795"/>
      <c r="R5" s="795"/>
    </row>
    <row r="6" spans="1:29" ht="36">
      <c r="A6" s="2436"/>
      <c r="B6" s="323" t="s">
        <v>2257</v>
      </c>
      <c r="C6" s="2464" t="s">
        <v>2252</v>
      </c>
      <c r="D6" s="2459"/>
      <c r="E6" s="2463"/>
      <c r="F6" s="323" t="s">
        <v>2258</v>
      </c>
      <c r="G6" s="2464" t="s">
        <v>2259</v>
      </c>
      <c r="H6" s="795"/>
      <c r="I6" s="795"/>
      <c r="J6" s="795"/>
      <c r="K6" s="795"/>
      <c r="L6" s="795"/>
      <c r="M6" s="795"/>
      <c r="N6" s="795"/>
      <c r="O6" s="795"/>
      <c r="P6" s="795"/>
      <c r="Q6" s="795"/>
      <c r="R6" s="795"/>
    </row>
    <row r="7" spans="1:29" ht="24.75" thickBot="1">
      <c r="A7" s="2436"/>
      <c r="B7" s="323" t="s">
        <v>2255</v>
      </c>
      <c r="C7" s="2464" t="s">
        <v>2256</v>
      </c>
      <c r="D7" s="2465"/>
      <c r="E7" s="2466"/>
      <c r="F7" s="2467" t="s">
        <v>2260</v>
      </c>
      <c r="G7" s="2468" t="s">
        <v>2261</v>
      </c>
      <c r="H7" s="795"/>
      <c r="I7" s="795"/>
      <c r="J7" s="795"/>
      <c r="K7" s="795"/>
      <c r="L7" s="795"/>
      <c r="M7" s="795"/>
      <c r="N7" s="795"/>
      <c r="O7" s="795"/>
      <c r="P7" s="795"/>
      <c r="Q7" s="795"/>
      <c r="R7" s="795"/>
    </row>
    <row r="8" spans="1:29">
      <c r="A8" s="2436"/>
      <c r="B8" s="323" t="s">
        <v>2258</v>
      </c>
      <c r="C8" s="2464" t="s">
        <v>2259</v>
      </c>
      <c r="D8" s="2465"/>
      <c r="E8" s="2465"/>
      <c r="F8" s="2469"/>
      <c r="G8" s="2469"/>
      <c r="H8" s="795"/>
      <c r="I8" s="795"/>
      <c r="J8" s="795"/>
      <c r="K8" s="795"/>
      <c r="L8" s="795"/>
      <c r="M8" s="795"/>
      <c r="N8" s="795"/>
      <c r="O8" s="795"/>
      <c r="P8" s="795"/>
      <c r="Q8" s="795"/>
      <c r="R8" s="795"/>
    </row>
    <row r="9" spans="1:29" ht="24">
      <c r="A9" s="2436"/>
      <c r="B9" s="323" t="s">
        <v>2262</v>
      </c>
      <c r="C9" s="2462" t="s">
        <v>2263</v>
      </c>
      <c r="D9" s="2459"/>
      <c r="E9" s="2465"/>
      <c r="F9" s="2469"/>
      <c r="G9" s="2469"/>
      <c r="H9" s="795"/>
      <c r="I9" s="795"/>
      <c r="J9" s="795"/>
      <c r="K9" s="795"/>
      <c r="L9" s="795"/>
      <c r="M9" s="795"/>
      <c r="N9" s="795"/>
      <c r="O9" s="795"/>
      <c r="P9" s="795"/>
      <c r="Q9" s="795"/>
      <c r="R9" s="795"/>
    </row>
    <row r="10" spans="1:29" s="2475" customFormat="1" ht="15" thickBot="1">
      <c r="A10" s="2437"/>
      <c r="B10" s="2470" t="s">
        <v>2264</v>
      </c>
      <c r="C10" s="2471"/>
      <c r="D10" s="2459"/>
      <c r="E10" s="2459"/>
      <c r="F10" s="2469"/>
      <c r="G10" s="2469"/>
      <c r="H10" s="2472"/>
      <c r="I10" s="2473"/>
      <c r="J10" s="2474"/>
      <c r="K10" s="2472"/>
      <c r="L10" s="2473"/>
      <c r="M10" s="2474"/>
      <c r="N10" s="2472"/>
      <c r="O10" s="2473"/>
      <c r="P10" s="2474"/>
      <c r="Q10" s="2472"/>
      <c r="R10" s="2473"/>
      <c r="S10" s="795"/>
      <c r="T10" s="795"/>
      <c r="U10" s="795"/>
      <c r="V10" s="795"/>
      <c r="W10" s="795"/>
      <c r="X10" s="795"/>
      <c r="Y10" s="795"/>
      <c r="Z10" s="795"/>
      <c r="AA10" s="795"/>
      <c r="AB10" s="795"/>
      <c r="AC10" s="795"/>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5"/>
      <c r="T11" s="795"/>
      <c r="U11" s="795"/>
      <c r="V11" s="795"/>
      <c r="W11" s="795"/>
      <c r="X11" s="795"/>
      <c r="Y11" s="795"/>
      <c r="Z11" s="795"/>
      <c r="AA11" s="795"/>
      <c r="AB11" s="795"/>
      <c r="AC11" s="795"/>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2282</v>
      </c>
      <c r="B13" s="2478"/>
      <c r="C13" s="2478"/>
      <c r="D13" s="2476"/>
      <c r="E13" s="2478"/>
      <c r="F13" s="2478"/>
      <c r="G13" s="2478"/>
    </row>
    <row r="14" spans="1:29" ht="15" thickBot="1">
      <c r="A14" s="2488"/>
      <c r="B14" s="2488"/>
      <c r="C14" s="2489" t="s">
        <v>2265</v>
      </c>
      <c r="D14" s="2459"/>
      <c r="E14" s="2490"/>
      <c r="F14" s="2490"/>
      <c r="G14" s="2454" t="s">
        <v>2266</v>
      </c>
    </row>
    <row r="15" spans="1:29" ht="51">
      <c r="A15" s="2438" t="s">
        <v>2267</v>
      </c>
      <c r="B15" s="2491" t="s">
        <v>2247</v>
      </c>
      <c r="C15" s="2492" t="str">
        <f>C3</f>
        <v>估价对象周边居住用地比例、居住小区规模和社区发展完善程度，综合评价居住社区成熟度一般</v>
      </c>
      <c r="D15" s="2459"/>
      <c r="E15" s="2439" t="s">
        <v>2268</v>
      </c>
      <c r="F15" s="2491" t="s">
        <v>2269</v>
      </c>
      <c r="G15" s="2493" t="str">
        <f>G3</f>
        <v>估价对象位于XX开发区，园区建设成熟度XX，产业集聚程度XX</v>
      </c>
    </row>
    <row r="16" spans="1:29" ht="38.25">
      <c r="A16" s="2440"/>
      <c r="B16" s="2494" t="s">
        <v>2249</v>
      </c>
      <c r="C16" s="2495" t="str">
        <f>C4</f>
        <v>估价对象位于XX商圈，周边商业氛围成熟，人流量大，商业繁华度好</v>
      </c>
      <c r="D16" s="2459"/>
      <c r="E16" s="2441"/>
      <c r="F16" s="2496" t="s">
        <v>2251</v>
      </c>
      <c r="G16" s="2497" t="str">
        <f>G4</f>
        <v>估价对象周边道路状况、公共交通通达情况、停车便捷程度，综合评价交通便捷度较好</v>
      </c>
    </row>
    <row r="17" spans="1:18" ht="38.25">
      <c r="A17" s="2440"/>
      <c r="B17" s="2494" t="s">
        <v>2253</v>
      </c>
      <c r="C17" s="2495" t="str">
        <f>C5</f>
        <v>估价对象位于XX商圈，周边办公楼项目较多，入驻率高，办公集聚程度较好</v>
      </c>
      <c r="D17" s="2465"/>
      <c r="E17" s="2441"/>
      <c r="F17" s="2496" t="s">
        <v>2270</v>
      </c>
      <c r="G17" s="2498"/>
    </row>
    <row r="18" spans="1:18" ht="38.25">
      <c r="A18" s="2440"/>
      <c r="B18" s="2496" t="s">
        <v>2257</v>
      </c>
      <c r="C18" s="2497" t="str">
        <f>C6</f>
        <v>估价对象周边道路状况、公共交通通达情况、停车便捷程度，综合评价交通便捷度较好</v>
      </c>
      <c r="D18" s="2465"/>
      <c r="E18" s="2441"/>
      <c r="F18" s="2496" t="s">
        <v>2260</v>
      </c>
      <c r="G18" s="2497" t="str">
        <f>G7</f>
        <v>该园区内是否有污染型企业，绿化情况，卫生条件，整体环境状况判断</v>
      </c>
    </row>
    <row r="19" spans="1:18" ht="25.5">
      <c r="A19" s="2440"/>
      <c r="B19" s="2496" t="s">
        <v>2271</v>
      </c>
      <c r="C19" s="2498"/>
      <c r="D19" s="2459"/>
      <c r="E19" s="2441"/>
      <c r="F19" s="323" t="s">
        <v>2255</v>
      </c>
      <c r="G19" s="2497" t="str">
        <f>G5</f>
        <v>估价对象所在区域公共配套设施齐备情况</v>
      </c>
    </row>
    <row r="20" spans="1:18" ht="25.5">
      <c r="A20" s="2440"/>
      <c r="B20" s="2496" t="s">
        <v>2272</v>
      </c>
      <c r="C20" s="2495" t="str">
        <f>C9</f>
        <v>区域自然环境：；人文环境；综合评价环境状况一般</v>
      </c>
      <c r="D20" s="2465"/>
      <c r="E20" s="2441"/>
      <c r="F20" s="323" t="s">
        <v>2258</v>
      </c>
      <c r="G20" s="2497" t="str">
        <f>G6</f>
        <v>估价对象所在区域基础设施水平</v>
      </c>
    </row>
    <row r="21" spans="1:18" ht="25.5">
      <c r="A21" s="2440"/>
      <c r="B21" s="323" t="s">
        <v>2255</v>
      </c>
      <c r="C21" s="2497" t="str">
        <f>C7</f>
        <v>估价对象所在区域公共配套设施齐备情况</v>
      </c>
      <c r="D21" s="2459"/>
      <c r="E21" s="2441"/>
      <c r="F21" s="2496" t="s">
        <v>2273</v>
      </c>
      <c r="G21" s="2499"/>
    </row>
    <row r="22" spans="1:18" ht="13.5" customHeight="1">
      <c r="A22" s="2440"/>
      <c r="B22" s="323" t="s">
        <v>2258</v>
      </c>
      <c r="C22" s="2497" t="str">
        <f>C8</f>
        <v>估价对象所在区域基础设施水平</v>
      </c>
      <c r="D22" s="2459"/>
      <c r="E22" s="2441"/>
      <c r="F22" s="2496" t="s">
        <v>2264</v>
      </c>
      <c r="G22" s="2498"/>
    </row>
    <row r="23" spans="1:18" s="795" customFormat="1" ht="15" thickBot="1">
      <c r="A23" s="2440"/>
      <c r="B23" s="2496" t="s">
        <v>2273</v>
      </c>
      <c r="C23" s="2499"/>
      <c r="D23" s="1737"/>
      <c r="E23" s="2442"/>
      <c r="F23" s="2500" t="s">
        <v>2274</v>
      </c>
      <c r="G23" s="2501"/>
      <c r="H23" s="2485"/>
      <c r="I23" s="2486"/>
      <c r="J23" s="2485"/>
      <c r="K23" s="2485"/>
      <c r="L23" s="2486"/>
      <c r="M23" s="2485"/>
      <c r="N23" s="2485"/>
      <c r="O23" s="2486"/>
      <c r="P23" s="2485"/>
      <c r="Q23" s="2485"/>
      <c r="R23" s="2487"/>
    </row>
    <row r="24" spans="1:18" s="795" customFormat="1" ht="15" thickBot="1">
      <c r="A24" s="2443"/>
      <c r="B24" s="2500" t="s">
        <v>2275</v>
      </c>
      <c r="C24" s="2502">
        <f>C10</f>
        <v>0</v>
      </c>
      <c r="D24" s="1737"/>
      <c r="E24" s="2433"/>
      <c r="F24" s="2433"/>
      <c r="G24" s="2503"/>
      <c r="H24" s="2485"/>
      <c r="I24" s="2486"/>
      <c r="J24" s="2485"/>
      <c r="K24" s="2485"/>
      <c r="L24" s="2486"/>
      <c r="M24" s="2485"/>
      <c r="N24" s="2485"/>
      <c r="O24" s="2486"/>
      <c r="P24" s="2485"/>
      <c r="Q24" s="2485"/>
      <c r="R24" s="2487"/>
    </row>
    <row r="25" spans="1:18" s="795" customFormat="1">
      <c r="B25" s="2485"/>
      <c r="C25" s="2485"/>
      <c r="D25" s="2485"/>
      <c r="H25" s="2485"/>
      <c r="I25" s="2486"/>
      <c r="J25" s="2485"/>
      <c r="K25" s="2485"/>
      <c r="L25" s="2486"/>
      <c r="M25" s="2485"/>
      <c r="N25" s="2485"/>
      <c r="O25" s="2486"/>
      <c r="P25" s="2485"/>
      <c r="Q25" s="2485"/>
      <c r="R25" s="2487"/>
    </row>
    <row r="26" spans="1:18" s="795" customFormat="1">
      <c r="B26" s="2485"/>
      <c r="C26" s="2485"/>
      <c r="D26" s="2485"/>
      <c r="H26" s="2485"/>
      <c r="I26" s="2486"/>
      <c r="J26" s="2485"/>
      <c r="K26" s="2485"/>
      <c r="L26" s="2486"/>
      <c r="M26" s="2485"/>
      <c r="N26" s="2485"/>
      <c r="O26" s="2486"/>
      <c r="P26" s="2485"/>
      <c r="Q26" s="2485"/>
      <c r="R26" s="2487"/>
    </row>
    <row r="27" spans="1:18" s="795" customFormat="1">
      <c r="B27" s="2485"/>
      <c r="C27" s="2485"/>
      <c r="D27" s="2485"/>
      <c r="H27" s="2485"/>
      <c r="I27" s="2486"/>
      <c r="J27" s="2485"/>
      <c r="K27" s="2485"/>
      <c r="L27" s="2486"/>
      <c r="M27" s="2485"/>
      <c r="N27" s="2485"/>
      <c r="O27" s="2486"/>
      <c r="P27" s="2485"/>
      <c r="Q27" s="2485"/>
      <c r="R27" s="2487"/>
    </row>
    <row r="28" spans="1:18" s="795" customFormat="1">
      <c r="B28" s="2485"/>
      <c r="C28" s="2485"/>
      <c r="D28" s="2485"/>
      <c r="H28" s="2485"/>
      <c r="I28" s="2486"/>
      <c r="J28" s="2485"/>
      <c r="K28" s="2485"/>
      <c r="L28" s="2486"/>
      <c r="M28" s="2485"/>
      <c r="N28" s="2485"/>
      <c r="O28" s="2486"/>
      <c r="P28" s="2485"/>
      <c r="Q28" s="2485"/>
      <c r="R28" s="2487"/>
    </row>
    <row r="29" spans="1:18" s="795" customFormat="1">
      <c r="B29" s="2485"/>
      <c r="C29" s="2485"/>
      <c r="D29" s="2485"/>
      <c r="H29" s="2485"/>
      <c r="I29" s="2486"/>
      <c r="J29" s="2485"/>
      <c r="K29" s="2485"/>
      <c r="L29" s="2486"/>
      <c r="M29" s="2485"/>
      <c r="N29" s="2485"/>
      <c r="O29" s="2486"/>
      <c r="P29" s="2485"/>
      <c r="Q29" s="2485"/>
      <c r="R29" s="2487"/>
    </row>
    <row r="30" spans="1:18" s="795" customFormat="1">
      <c r="B30" s="2485"/>
      <c r="C30" s="2485"/>
      <c r="D30" s="2485"/>
      <c r="H30" s="2485"/>
      <c r="I30" s="2486"/>
      <c r="J30" s="2485"/>
      <c r="K30" s="2485"/>
      <c r="L30" s="2486"/>
      <c r="M30" s="2485"/>
      <c r="N30" s="2485"/>
      <c r="O30" s="2486"/>
      <c r="P30" s="2485"/>
      <c r="Q30" s="2485"/>
      <c r="R30" s="2487"/>
    </row>
    <row r="31" spans="1:18" s="795" customFormat="1">
      <c r="B31" s="2485"/>
      <c r="C31" s="2485"/>
      <c r="D31" s="2485"/>
      <c r="H31" s="2485"/>
      <c r="I31" s="2486"/>
      <c r="J31" s="2485"/>
      <c r="K31" s="2485"/>
      <c r="L31" s="2486"/>
      <c r="M31" s="2485"/>
      <c r="N31" s="2485"/>
      <c r="O31" s="2486"/>
      <c r="P31" s="2485"/>
      <c r="Q31" s="2485"/>
      <c r="R31" s="2487"/>
    </row>
    <row r="32" spans="1:18" s="795" customFormat="1">
      <c r="B32" s="2485"/>
      <c r="C32" s="2485"/>
      <c r="D32" s="2485"/>
      <c r="H32" s="2485"/>
      <c r="I32" s="2486"/>
      <c r="J32" s="2485"/>
      <c r="K32" s="2485"/>
      <c r="L32" s="2486"/>
      <c r="M32" s="2485"/>
      <c r="N32" s="2485"/>
      <c r="O32" s="2486"/>
      <c r="P32" s="2485"/>
      <c r="Q32" s="2485"/>
      <c r="R32" s="2487"/>
    </row>
    <row r="33" spans="2:18" s="795" customFormat="1">
      <c r="B33" s="2485"/>
      <c r="C33" s="2485"/>
      <c r="D33" s="2485"/>
      <c r="H33" s="2485"/>
      <c r="I33" s="2486"/>
      <c r="J33" s="2485"/>
      <c r="K33" s="2485"/>
      <c r="L33" s="2486"/>
      <c r="M33" s="2485"/>
      <c r="N33" s="2485"/>
      <c r="O33" s="2486"/>
      <c r="P33" s="2485"/>
      <c r="Q33" s="2485"/>
      <c r="R33" s="2487"/>
    </row>
    <row r="34" spans="2:18" s="795" customFormat="1">
      <c r="B34" s="2485"/>
      <c r="C34" s="2485"/>
      <c r="D34" s="2485"/>
      <c r="H34" s="2485"/>
      <c r="I34" s="2486"/>
      <c r="J34" s="2485"/>
      <c r="K34" s="2485"/>
      <c r="L34" s="2486"/>
      <c r="M34" s="2485"/>
      <c r="N34" s="2485"/>
      <c r="O34" s="2486"/>
      <c r="P34" s="2485"/>
      <c r="Q34" s="2485"/>
      <c r="R34" s="2487"/>
    </row>
    <row r="35" spans="2:18" s="795" customFormat="1">
      <c r="B35" s="2485"/>
      <c r="C35" s="2485"/>
      <c r="D35" s="2485"/>
      <c r="H35" s="2485"/>
      <c r="I35" s="2486"/>
      <c r="J35" s="2485"/>
      <c r="K35" s="2485"/>
      <c r="L35" s="2486"/>
      <c r="M35" s="2485"/>
      <c r="N35" s="2485"/>
      <c r="O35" s="2486"/>
      <c r="P35" s="2485"/>
      <c r="Q35" s="2485"/>
      <c r="R35" s="2487"/>
    </row>
    <row r="36" spans="2:18" s="795" customFormat="1">
      <c r="B36" s="2485"/>
      <c r="C36" s="2485"/>
      <c r="D36" s="2485"/>
      <c r="H36" s="2485"/>
      <c r="I36" s="2486"/>
      <c r="J36" s="2485"/>
      <c r="K36" s="2485"/>
      <c r="L36" s="2486"/>
      <c r="M36" s="2485"/>
      <c r="N36" s="2485"/>
      <c r="O36" s="2486"/>
      <c r="P36" s="2485"/>
      <c r="Q36" s="2485"/>
      <c r="R36" s="2487"/>
    </row>
    <row r="37" spans="2:18" s="795" customFormat="1">
      <c r="B37" s="2485"/>
      <c r="C37" s="2485"/>
      <c r="D37" s="2485"/>
      <c r="H37" s="2485"/>
      <c r="I37" s="2486"/>
      <c r="J37" s="2485"/>
      <c r="K37" s="2485"/>
      <c r="L37" s="2486"/>
      <c r="M37" s="2485"/>
      <c r="N37" s="2485"/>
      <c r="O37" s="2486"/>
      <c r="P37" s="2485"/>
      <c r="Q37" s="2485"/>
      <c r="R37" s="2487"/>
    </row>
    <row r="38" spans="2:18" s="795" customFormat="1">
      <c r="B38" s="2485"/>
      <c r="C38" s="2485"/>
      <c r="D38" s="2485"/>
      <c r="E38" s="2485"/>
      <c r="F38" s="2485"/>
      <c r="G38" s="2486"/>
      <c r="H38" s="2485"/>
      <c r="I38" s="2486"/>
      <c r="J38" s="2485"/>
      <c r="K38" s="2485"/>
      <c r="L38" s="2486"/>
      <c r="M38" s="2485"/>
      <c r="N38" s="2485"/>
      <c r="O38" s="2486"/>
      <c r="P38" s="2485"/>
      <c r="Q38" s="2485"/>
      <c r="R38" s="2487"/>
    </row>
    <row r="39" spans="2:18" s="795" customFormat="1">
      <c r="B39" s="2485"/>
      <c r="C39" s="2485"/>
      <c r="D39" s="2485"/>
      <c r="E39" s="2485"/>
      <c r="F39" s="2485"/>
      <c r="G39" s="2486"/>
      <c r="H39" s="2485"/>
      <c r="I39" s="2486"/>
      <c r="J39" s="2485"/>
      <c r="K39" s="2485"/>
      <c r="L39" s="2486"/>
      <c r="M39" s="2485"/>
      <c r="N39" s="2485"/>
      <c r="O39" s="2486"/>
      <c r="P39" s="2485"/>
      <c r="Q39" s="2485"/>
      <c r="R39" s="2487"/>
    </row>
    <row r="40" spans="2:18" s="795" customFormat="1">
      <c r="B40" s="2485"/>
      <c r="C40" s="2485"/>
      <c r="D40" s="2485"/>
      <c r="E40" s="2485"/>
      <c r="F40" s="2485"/>
      <c r="G40" s="2486"/>
      <c r="H40" s="2485"/>
      <c r="I40" s="2486"/>
      <c r="J40" s="2485"/>
      <c r="K40" s="2485"/>
      <c r="L40" s="2486"/>
      <c r="M40" s="2485"/>
      <c r="N40" s="2485"/>
      <c r="O40" s="2486"/>
      <c r="P40" s="2485"/>
      <c r="Q40" s="2485"/>
      <c r="R40" s="2487"/>
    </row>
    <row r="41" spans="2:18" s="795" customFormat="1">
      <c r="B41" s="2485"/>
      <c r="C41" s="2485"/>
      <c r="D41" s="2485"/>
      <c r="E41" s="2485"/>
      <c r="F41" s="2485"/>
      <c r="G41" s="2486"/>
      <c r="H41" s="2485"/>
      <c r="I41" s="2486"/>
      <c r="J41" s="2485"/>
      <c r="K41" s="2485"/>
      <c r="L41" s="2486"/>
      <c r="M41" s="2485"/>
      <c r="N41" s="2485"/>
      <c r="O41" s="2486"/>
      <c r="P41" s="2485"/>
      <c r="Q41" s="2485"/>
      <c r="R41" s="2487"/>
    </row>
    <row r="42" spans="2:18" s="795" customFormat="1">
      <c r="B42" s="2485"/>
      <c r="C42" s="2485"/>
      <c r="D42" s="2485"/>
      <c r="E42" s="2485"/>
      <c r="F42" s="2485"/>
      <c r="G42" s="2486"/>
      <c r="H42" s="2485"/>
      <c r="I42" s="2486"/>
      <c r="J42" s="2485"/>
      <c r="K42" s="2485"/>
      <c r="L42" s="2486"/>
      <c r="M42" s="2485"/>
      <c r="N42" s="2485"/>
      <c r="O42" s="2486"/>
      <c r="P42" s="2485"/>
      <c r="Q42" s="2485"/>
      <c r="R42" s="2487"/>
    </row>
    <row r="43" spans="2:18" s="795" customFormat="1">
      <c r="B43" s="2485"/>
      <c r="C43" s="2485"/>
      <c r="D43" s="2485"/>
      <c r="E43" s="2485"/>
      <c r="F43" s="2485"/>
      <c r="G43" s="2486"/>
      <c r="H43" s="2485"/>
      <c r="I43" s="2486"/>
      <c r="J43" s="2485"/>
      <c r="K43" s="2485"/>
      <c r="L43" s="2486"/>
      <c r="M43" s="2485"/>
      <c r="N43" s="2485"/>
      <c r="O43" s="2486"/>
      <c r="P43" s="2485"/>
      <c r="Q43" s="2485"/>
      <c r="R43" s="2487"/>
    </row>
    <row r="44" spans="2:18" s="795" customFormat="1">
      <c r="B44" s="2485"/>
      <c r="C44" s="2485"/>
      <c r="D44" s="2485"/>
      <c r="E44" s="2485"/>
      <c r="F44" s="2485"/>
      <c r="G44" s="2486"/>
      <c r="H44" s="2485"/>
      <c r="I44" s="2486"/>
      <c r="J44" s="2485"/>
      <c r="K44" s="2485"/>
      <c r="L44" s="2486"/>
      <c r="M44" s="2485"/>
      <c r="N44" s="2485"/>
      <c r="O44" s="2486"/>
      <c r="P44" s="2485"/>
      <c r="Q44" s="2485"/>
      <c r="R44" s="2487"/>
    </row>
    <row r="45" spans="2:18" s="795" customFormat="1">
      <c r="B45" s="2485"/>
      <c r="C45" s="2485"/>
      <c r="D45" s="2485"/>
      <c r="E45" s="2485"/>
      <c r="F45" s="2485"/>
      <c r="G45" s="2486"/>
      <c r="H45" s="2485"/>
      <c r="I45" s="2486"/>
      <c r="J45" s="2485"/>
      <c r="K45" s="2485"/>
      <c r="L45" s="2486"/>
      <c r="M45" s="2485"/>
      <c r="N45" s="2485"/>
      <c r="O45" s="2486"/>
      <c r="P45" s="2485"/>
      <c r="Q45" s="2485"/>
      <c r="R45" s="2487"/>
    </row>
    <row r="46" spans="2:18" s="795" customFormat="1">
      <c r="B46" s="2485"/>
      <c r="C46" s="2485"/>
      <c r="D46" s="2485"/>
      <c r="E46" s="2485"/>
      <c r="F46" s="2485"/>
      <c r="G46" s="2486"/>
      <c r="H46" s="2485"/>
      <c r="I46" s="2486"/>
      <c r="J46" s="2485"/>
      <c r="K46" s="2485"/>
      <c r="L46" s="2486"/>
      <c r="M46" s="2485"/>
      <c r="N46" s="2485"/>
      <c r="O46" s="2486"/>
      <c r="P46" s="2485"/>
      <c r="Q46" s="2485"/>
      <c r="R46" s="2487"/>
    </row>
    <row r="47" spans="2:18" s="795" customFormat="1">
      <c r="B47" s="2485"/>
      <c r="C47" s="2485"/>
      <c r="D47" s="2485"/>
      <c r="E47" s="2485"/>
      <c r="F47" s="2485"/>
      <c r="G47" s="2486"/>
      <c r="H47" s="2485"/>
      <c r="I47" s="2486"/>
      <c r="J47" s="2485"/>
      <c r="K47" s="2485"/>
      <c r="L47" s="2486"/>
      <c r="M47" s="2485"/>
      <c r="N47" s="2485"/>
      <c r="O47" s="2486"/>
      <c r="P47" s="2485"/>
      <c r="Q47" s="2485"/>
      <c r="R47" s="2487"/>
    </row>
    <row r="48" spans="2:18" s="795" customFormat="1">
      <c r="B48" s="2485"/>
      <c r="C48" s="2485"/>
      <c r="D48" s="2485"/>
      <c r="E48" s="2485"/>
      <c r="F48" s="2485"/>
      <c r="G48" s="2486"/>
      <c r="H48" s="2485"/>
      <c r="I48" s="2486"/>
      <c r="J48" s="2485"/>
      <c r="K48" s="2485"/>
      <c r="L48" s="2486"/>
      <c r="M48" s="2485"/>
      <c r="N48" s="2485"/>
      <c r="O48" s="2486"/>
      <c r="P48" s="2485"/>
      <c r="Q48" s="2485"/>
      <c r="R48" s="2487"/>
    </row>
    <row r="49" spans="2:18" s="795" customFormat="1">
      <c r="B49" s="2485"/>
      <c r="C49" s="2485"/>
      <c r="D49" s="2485"/>
      <c r="E49" s="2485"/>
      <c r="F49" s="2485"/>
      <c r="G49" s="2486"/>
      <c r="H49" s="2485"/>
      <c r="I49" s="2486"/>
      <c r="J49" s="2485"/>
      <c r="K49" s="2485"/>
      <c r="L49" s="2486"/>
      <c r="M49" s="2485"/>
      <c r="N49" s="2485"/>
      <c r="O49" s="2486"/>
      <c r="P49" s="2485"/>
      <c r="Q49" s="2485"/>
      <c r="R49" s="2487"/>
    </row>
    <row r="50" spans="2:18" s="795" customFormat="1">
      <c r="B50" s="2485"/>
      <c r="C50" s="2485"/>
      <c r="D50" s="2485"/>
      <c r="E50" s="2485"/>
      <c r="F50" s="2485"/>
      <c r="G50" s="2486"/>
      <c r="H50" s="2485"/>
      <c r="I50" s="2486"/>
      <c r="J50" s="2485"/>
      <c r="K50" s="2485"/>
      <c r="L50" s="2486"/>
      <c r="M50" s="2485"/>
      <c r="N50" s="2485"/>
      <c r="O50" s="2486"/>
      <c r="P50" s="2485"/>
      <c r="Q50" s="2485"/>
      <c r="R50" s="2487"/>
    </row>
    <row r="51" spans="2:18" s="795" customFormat="1">
      <c r="B51" s="2485"/>
      <c r="C51" s="2485"/>
      <c r="D51" s="2485"/>
      <c r="E51" s="2485"/>
      <c r="F51" s="2485"/>
      <c r="G51" s="2486"/>
      <c r="H51" s="2485"/>
      <c r="I51" s="2486"/>
      <c r="J51" s="2485"/>
      <c r="K51" s="2485"/>
      <c r="L51" s="2486"/>
      <c r="M51" s="2485"/>
      <c r="N51" s="2485"/>
      <c r="O51" s="2486"/>
      <c r="P51" s="2485"/>
      <c r="Q51" s="2485"/>
      <c r="R51" s="2487"/>
    </row>
    <row r="52" spans="2:18" s="795" customFormat="1">
      <c r="B52" s="2485"/>
      <c r="C52" s="2485"/>
      <c r="D52" s="2485"/>
      <c r="E52" s="2485"/>
      <c r="F52" s="2485"/>
      <c r="G52" s="2486"/>
      <c r="H52" s="2485"/>
      <c r="I52" s="2486"/>
      <c r="J52" s="2485"/>
      <c r="K52" s="2485"/>
      <c r="L52" s="2486"/>
      <c r="M52" s="2485"/>
      <c r="N52" s="2485"/>
      <c r="O52" s="2486"/>
      <c r="P52" s="2485"/>
      <c r="Q52" s="2485"/>
      <c r="R52" s="2487"/>
    </row>
    <row r="53" spans="2:18" s="795" customFormat="1">
      <c r="B53" s="2485"/>
      <c r="C53" s="2485"/>
      <c r="D53" s="2485"/>
      <c r="E53" s="2485"/>
      <c r="F53" s="2485"/>
      <c r="G53" s="2486"/>
      <c r="H53" s="2485"/>
      <c r="I53" s="2486"/>
      <c r="J53" s="2485"/>
      <c r="K53" s="2485"/>
      <c r="L53" s="2486"/>
      <c r="M53" s="2485"/>
      <c r="N53" s="2485"/>
      <c r="O53" s="2486"/>
      <c r="P53" s="2485"/>
      <c r="Q53" s="2485"/>
      <c r="R53" s="2487"/>
    </row>
    <row r="54" spans="2:18" s="795" customFormat="1">
      <c r="B54" s="2485"/>
      <c r="C54" s="2485"/>
      <c r="D54" s="2485"/>
      <c r="E54" s="2485"/>
      <c r="F54" s="2485"/>
      <c r="G54" s="2486"/>
      <c r="H54" s="2485"/>
      <c r="I54" s="2486"/>
      <c r="J54" s="2485"/>
      <c r="K54" s="2485"/>
      <c r="L54" s="2486"/>
      <c r="M54" s="2485"/>
      <c r="N54" s="2485"/>
      <c r="O54" s="2486"/>
      <c r="P54" s="2485"/>
      <c r="Q54" s="2485"/>
      <c r="R54" s="2487"/>
    </row>
    <row r="55" spans="2:18" s="795" customFormat="1">
      <c r="B55" s="2485"/>
      <c r="C55" s="2485"/>
      <c r="D55" s="2485"/>
      <c r="E55" s="2485"/>
      <c r="F55" s="2485"/>
      <c r="G55" s="2486"/>
      <c r="H55" s="2485"/>
      <c r="I55" s="2486"/>
      <c r="J55" s="2485"/>
      <c r="K55" s="2485"/>
      <c r="L55" s="2486"/>
      <c r="M55" s="2485"/>
      <c r="N55" s="2485"/>
      <c r="O55" s="2486"/>
      <c r="P55" s="2485"/>
      <c r="Q55" s="2485"/>
      <c r="R55" s="2487"/>
    </row>
    <row r="56" spans="2:18" s="795" customFormat="1">
      <c r="B56" s="2485"/>
      <c r="C56" s="2485"/>
      <c r="D56" s="2485"/>
      <c r="E56" s="2485"/>
      <c r="F56" s="2485"/>
      <c r="G56" s="2486"/>
      <c r="H56" s="2485"/>
      <c r="I56" s="2486"/>
      <c r="J56" s="2485"/>
      <c r="K56" s="2485"/>
      <c r="L56" s="2486"/>
      <c r="M56" s="2485"/>
      <c r="N56" s="2485"/>
      <c r="O56" s="2486"/>
      <c r="P56" s="2485"/>
      <c r="Q56" s="2485"/>
      <c r="R56" s="2487"/>
    </row>
    <row r="57" spans="2:18" s="795" customFormat="1">
      <c r="B57" s="2485"/>
      <c r="C57" s="2485"/>
      <c r="D57" s="2485"/>
      <c r="E57" s="2485"/>
      <c r="F57" s="2485"/>
      <c r="G57" s="2486"/>
      <c r="H57" s="2485"/>
      <c r="I57" s="2486"/>
      <c r="J57" s="2485"/>
      <c r="K57" s="2485"/>
      <c r="L57" s="2486"/>
      <c r="M57" s="2485"/>
      <c r="N57" s="2485"/>
      <c r="O57" s="2486"/>
      <c r="P57" s="2485"/>
      <c r="Q57" s="2485"/>
      <c r="R57" s="2487"/>
    </row>
    <row r="58" spans="2:18" s="795" customFormat="1">
      <c r="B58" s="2485"/>
      <c r="C58" s="2485"/>
      <c r="D58" s="2485"/>
      <c r="E58" s="2485"/>
      <c r="F58" s="2485"/>
      <c r="G58" s="2486"/>
      <c r="H58" s="2485"/>
      <c r="I58" s="2486"/>
      <c r="J58" s="2485"/>
      <c r="K58" s="2485"/>
      <c r="L58" s="2486"/>
      <c r="M58" s="2485"/>
      <c r="N58" s="2485"/>
      <c r="O58" s="2486"/>
      <c r="P58" s="2485"/>
      <c r="Q58" s="2485"/>
      <c r="R58" s="2487"/>
    </row>
    <row r="59" spans="2:18" s="795" customFormat="1">
      <c r="B59" s="2485"/>
      <c r="C59" s="2485"/>
      <c r="D59" s="2485"/>
      <c r="E59" s="2485"/>
      <c r="F59" s="2485"/>
      <c r="G59" s="2486"/>
      <c r="H59" s="2485"/>
      <c r="I59" s="2486"/>
      <c r="J59" s="2485"/>
      <c r="K59" s="2485"/>
      <c r="L59" s="2486"/>
      <c r="M59" s="2485"/>
      <c r="N59" s="2485"/>
      <c r="O59" s="2486"/>
      <c r="P59" s="2485"/>
      <c r="Q59" s="2485"/>
      <c r="R59" s="2487"/>
    </row>
    <row r="60" spans="2:18" s="795" customFormat="1">
      <c r="B60" s="2485"/>
      <c r="C60" s="2485"/>
      <c r="D60" s="2485"/>
      <c r="E60" s="2485"/>
      <c r="F60" s="2485"/>
      <c r="G60" s="2486"/>
      <c r="H60" s="2485"/>
      <c r="I60" s="2486"/>
      <c r="J60" s="2485"/>
      <c r="K60" s="2485"/>
      <c r="L60" s="2486"/>
      <c r="M60" s="2485"/>
      <c r="N60" s="2485"/>
      <c r="O60" s="2486"/>
      <c r="P60" s="2485"/>
      <c r="Q60" s="2485"/>
      <c r="R60" s="2487"/>
    </row>
    <row r="61" spans="2:18" s="795" customFormat="1">
      <c r="B61" s="2485"/>
      <c r="C61" s="2485"/>
      <c r="D61" s="2485"/>
      <c r="E61" s="2485"/>
      <c r="F61" s="2485"/>
      <c r="G61" s="2486"/>
      <c r="H61" s="2485"/>
      <c r="I61" s="2486"/>
      <c r="J61" s="2485"/>
      <c r="K61" s="2485"/>
      <c r="L61" s="2486"/>
      <c r="M61" s="2485"/>
      <c r="N61" s="2485"/>
      <c r="O61" s="2486"/>
      <c r="P61" s="2485"/>
      <c r="Q61" s="2485"/>
      <c r="R61" s="2487"/>
    </row>
    <row r="62" spans="2:18" s="795" customFormat="1">
      <c r="B62" s="2485"/>
      <c r="C62" s="2485"/>
      <c r="D62" s="2485"/>
      <c r="E62" s="2485"/>
      <c r="F62" s="2485"/>
      <c r="G62" s="2486"/>
      <c r="H62" s="2485"/>
      <c r="I62" s="2486"/>
      <c r="J62" s="2485"/>
      <c r="K62" s="2485"/>
      <c r="L62" s="2486"/>
      <c r="M62" s="2485"/>
      <c r="N62" s="2485"/>
      <c r="O62" s="2486"/>
      <c r="P62" s="2485"/>
      <c r="Q62" s="2485"/>
      <c r="R62" s="2487"/>
    </row>
    <row r="63" spans="2:18" s="795" customFormat="1">
      <c r="B63" s="2485"/>
      <c r="C63" s="2485"/>
      <c r="D63" s="2485"/>
      <c r="E63" s="2485"/>
      <c r="F63" s="2485"/>
      <c r="G63" s="2486"/>
      <c r="H63" s="2485"/>
      <c r="I63" s="2486"/>
      <c r="J63" s="2485"/>
      <c r="K63" s="2485"/>
      <c r="L63" s="2486"/>
      <c r="M63" s="2485"/>
      <c r="N63" s="2485"/>
      <c r="O63" s="2486"/>
      <c r="P63" s="2485"/>
      <c r="Q63" s="2485"/>
      <c r="R63" s="2487"/>
    </row>
    <row r="64" spans="2:18" s="795" customFormat="1">
      <c r="B64" s="2485"/>
      <c r="C64" s="2485"/>
      <c r="D64" s="2485"/>
      <c r="E64" s="2485"/>
      <c r="F64" s="2485"/>
      <c r="G64" s="2486"/>
      <c r="H64" s="2485"/>
      <c r="I64" s="2486"/>
      <c r="J64" s="2485"/>
      <c r="K64" s="2485"/>
      <c r="L64" s="2486"/>
      <c r="M64" s="2485"/>
      <c r="N64" s="2485"/>
      <c r="O64" s="2486"/>
      <c r="P64" s="2485"/>
      <c r="Q64" s="2485"/>
      <c r="R64" s="2487"/>
    </row>
    <row r="65" spans="2:18" s="795" customFormat="1">
      <c r="B65" s="2485"/>
      <c r="C65" s="2485"/>
      <c r="D65" s="2485"/>
      <c r="E65" s="2485"/>
      <c r="F65" s="2485"/>
      <c r="G65" s="2486"/>
      <c r="H65" s="2485"/>
      <c r="I65" s="2486"/>
      <c r="J65" s="2485"/>
      <c r="K65" s="2485"/>
      <c r="L65" s="2486"/>
      <c r="M65" s="2485"/>
      <c r="N65" s="2485"/>
      <c r="O65" s="2486"/>
      <c r="P65" s="2485"/>
      <c r="Q65" s="2485"/>
      <c r="R65" s="2487"/>
    </row>
    <row r="66" spans="2:18" s="795" customFormat="1">
      <c r="B66" s="2485"/>
      <c r="C66" s="2485"/>
      <c r="D66" s="2485"/>
      <c r="E66" s="2485"/>
      <c r="F66" s="2485"/>
      <c r="G66" s="2486"/>
      <c r="H66" s="2485"/>
      <c r="I66" s="2486"/>
      <c r="J66" s="2485"/>
      <c r="K66" s="2485"/>
      <c r="L66" s="2486"/>
      <c r="M66" s="2485"/>
      <c r="N66" s="2485"/>
      <c r="O66" s="2486"/>
      <c r="P66" s="2485"/>
      <c r="Q66" s="2485"/>
      <c r="R66" s="2487"/>
    </row>
    <row r="67" spans="2:18" s="795" customFormat="1">
      <c r="B67" s="2485"/>
      <c r="C67" s="2485"/>
      <c r="D67" s="2485"/>
      <c r="E67" s="2485"/>
      <c r="F67" s="2485"/>
      <c r="G67" s="2486"/>
      <c r="H67" s="2485"/>
      <c r="I67" s="2486"/>
      <c r="J67" s="2485"/>
      <c r="K67" s="2485"/>
      <c r="L67" s="2486"/>
      <c r="M67" s="2485"/>
      <c r="N67" s="2485"/>
      <c r="O67" s="2486"/>
      <c r="P67" s="2485"/>
      <c r="Q67" s="2485"/>
      <c r="R67" s="2487"/>
    </row>
    <row r="68" spans="2:18" s="795" customFormat="1">
      <c r="B68" s="2485"/>
      <c r="C68" s="2485"/>
      <c r="D68" s="2485"/>
      <c r="E68" s="2485"/>
      <c r="F68" s="2485"/>
      <c r="G68" s="2486"/>
      <c r="H68" s="2485"/>
      <c r="I68" s="2486"/>
      <c r="J68" s="2485"/>
      <c r="K68" s="2485"/>
      <c r="L68" s="2486"/>
      <c r="M68" s="2485"/>
      <c r="N68" s="2485"/>
      <c r="O68" s="2486"/>
      <c r="P68" s="2485"/>
      <c r="Q68" s="2485"/>
      <c r="R68" s="2487"/>
    </row>
    <row r="69" spans="2:18" s="795" customFormat="1">
      <c r="B69" s="2485"/>
      <c r="C69" s="2485"/>
      <c r="D69" s="2485"/>
      <c r="E69" s="2485"/>
      <c r="F69" s="2485"/>
      <c r="G69" s="2486"/>
      <c r="H69" s="2485"/>
      <c r="I69" s="2486"/>
      <c r="J69" s="2485"/>
      <c r="K69" s="2485"/>
      <c r="L69" s="2486"/>
      <c r="M69" s="2485"/>
      <c r="N69" s="2485"/>
      <c r="O69" s="2486"/>
      <c r="P69" s="2485"/>
      <c r="Q69" s="2485"/>
      <c r="R69" s="2487"/>
    </row>
    <row r="70" spans="2:18" s="795" customFormat="1">
      <c r="B70" s="2485"/>
      <c r="C70" s="2485"/>
      <c r="D70" s="2485"/>
      <c r="E70" s="2485"/>
      <c r="F70" s="2485"/>
      <c r="G70" s="2486"/>
      <c r="H70" s="2485"/>
      <c r="I70" s="2486"/>
      <c r="J70" s="2485"/>
      <c r="K70" s="2485"/>
      <c r="L70" s="2486"/>
      <c r="M70" s="2485"/>
      <c r="N70" s="2485"/>
      <c r="O70" s="2486"/>
      <c r="P70" s="2485"/>
      <c r="Q70" s="2485"/>
      <c r="R70" s="2487"/>
    </row>
    <row r="71" spans="2:18" s="795" customFormat="1">
      <c r="B71" s="2485"/>
      <c r="C71" s="2485"/>
      <c r="D71" s="2485"/>
      <c r="E71" s="2485"/>
      <c r="F71" s="2485"/>
      <c r="G71" s="2486"/>
      <c r="H71" s="2485"/>
      <c r="I71" s="2486"/>
      <c r="J71" s="2485"/>
      <c r="K71" s="2485"/>
      <c r="L71" s="2486"/>
      <c r="M71" s="2485"/>
      <c r="N71" s="2485"/>
      <c r="O71" s="2486"/>
      <c r="P71" s="2485"/>
      <c r="Q71" s="2485"/>
      <c r="R71" s="2487"/>
    </row>
    <row r="72" spans="2:18" s="795" customFormat="1">
      <c r="B72" s="2485"/>
      <c r="C72" s="2485"/>
      <c r="D72" s="2485"/>
      <c r="E72" s="2485"/>
      <c r="F72" s="2485"/>
      <c r="G72" s="2486"/>
      <c r="H72" s="2485"/>
      <c r="I72" s="2486"/>
      <c r="J72" s="2485"/>
      <c r="K72" s="2485"/>
      <c r="L72" s="2486"/>
      <c r="M72" s="2485"/>
      <c r="N72" s="2485"/>
      <c r="O72" s="2486"/>
      <c r="P72" s="2485"/>
      <c r="Q72" s="2485"/>
      <c r="R72" s="2487"/>
    </row>
    <row r="73" spans="2:18" s="795" customFormat="1">
      <c r="B73" s="2485"/>
      <c r="C73" s="2485"/>
      <c r="D73" s="2485"/>
      <c r="E73" s="2485"/>
      <c r="F73" s="2485"/>
      <c r="G73" s="2486"/>
      <c r="H73" s="2485"/>
      <c r="I73" s="2486"/>
      <c r="J73" s="2485"/>
      <c r="K73" s="2485"/>
      <c r="L73" s="2486"/>
      <c r="M73" s="2485"/>
      <c r="N73" s="2485"/>
      <c r="O73" s="2486"/>
      <c r="P73" s="2485"/>
      <c r="Q73" s="2485"/>
      <c r="R73" s="2487"/>
    </row>
    <row r="74" spans="2:18" s="795" customFormat="1">
      <c r="B74" s="2485"/>
      <c r="C74" s="2485"/>
      <c r="D74" s="2485"/>
      <c r="E74" s="2485"/>
      <c r="F74" s="2485"/>
      <c r="G74" s="2486"/>
      <c r="H74" s="2485"/>
      <c r="I74" s="2486"/>
      <c r="J74" s="2485"/>
      <c r="K74" s="2485"/>
      <c r="L74" s="2486"/>
      <c r="M74" s="2485"/>
      <c r="N74" s="2485"/>
      <c r="O74" s="2486"/>
      <c r="P74" s="2485"/>
      <c r="Q74" s="2485"/>
      <c r="R74" s="2487"/>
    </row>
    <row r="75" spans="2:18" s="795" customFormat="1">
      <c r="B75" s="2485"/>
      <c r="C75" s="2485"/>
      <c r="D75" s="2485"/>
      <c r="E75" s="2485"/>
      <c r="F75" s="2485"/>
      <c r="G75" s="2486"/>
      <c r="H75" s="2485"/>
      <c r="I75" s="2486"/>
      <c r="J75" s="2485"/>
      <c r="K75" s="2485"/>
      <c r="L75" s="2486"/>
      <c r="M75" s="2485"/>
      <c r="N75" s="2485"/>
      <c r="O75" s="2486"/>
      <c r="P75" s="2485"/>
      <c r="Q75" s="2485"/>
      <c r="R75" s="2487"/>
    </row>
    <row r="76" spans="2:18" s="795" customFormat="1">
      <c r="B76" s="2485"/>
      <c r="C76" s="2485"/>
      <c r="D76" s="2485"/>
      <c r="E76" s="2485"/>
      <c r="F76" s="2485"/>
      <c r="G76" s="2486"/>
      <c r="H76" s="2485"/>
      <c r="I76" s="2486"/>
      <c r="J76" s="2485"/>
      <c r="K76" s="2485"/>
      <c r="L76" s="2486"/>
      <c r="M76" s="2485"/>
      <c r="N76" s="2485"/>
      <c r="O76" s="2486"/>
      <c r="P76" s="2485"/>
      <c r="Q76" s="2485"/>
      <c r="R76" s="2487"/>
    </row>
    <row r="77" spans="2:18" s="795" customFormat="1">
      <c r="B77" s="2485"/>
      <c r="C77" s="2485"/>
      <c r="D77" s="2485"/>
      <c r="E77" s="2485"/>
      <c r="F77" s="2485"/>
      <c r="G77" s="2486"/>
      <c r="H77" s="2485"/>
      <c r="I77" s="2486"/>
      <c r="J77" s="2485"/>
      <c r="K77" s="2485"/>
      <c r="L77" s="2486"/>
      <c r="M77" s="2485"/>
      <c r="N77" s="2485"/>
      <c r="O77" s="2486"/>
      <c r="P77" s="2485"/>
      <c r="Q77" s="2485"/>
      <c r="R77" s="2487"/>
    </row>
    <row r="78" spans="2:18" s="795" customFormat="1">
      <c r="B78" s="2485"/>
      <c r="C78" s="2485"/>
      <c r="D78" s="2485"/>
      <c r="E78" s="2485"/>
      <c r="F78" s="2485"/>
      <c r="G78" s="2486"/>
      <c r="H78" s="2485"/>
      <c r="I78" s="2486"/>
      <c r="J78" s="2485"/>
      <c r="K78" s="2485"/>
      <c r="L78" s="2486"/>
      <c r="M78" s="2485"/>
      <c r="N78" s="2485"/>
      <c r="O78" s="2486"/>
      <c r="P78" s="2485"/>
      <c r="Q78" s="2485"/>
      <c r="R78" s="2487"/>
    </row>
    <row r="79" spans="2:18" s="795" customFormat="1">
      <c r="B79" s="2485"/>
      <c r="C79" s="2485"/>
      <c r="D79" s="2485"/>
      <c r="E79" s="2485"/>
      <c r="F79" s="2485"/>
      <c r="G79" s="2486"/>
      <c r="H79" s="2485"/>
      <c r="I79" s="2486"/>
      <c r="J79" s="2485"/>
      <c r="K79" s="2485"/>
      <c r="L79" s="2486"/>
      <c r="M79" s="2485"/>
      <c r="N79" s="2485"/>
      <c r="O79" s="2486"/>
      <c r="P79" s="2485"/>
      <c r="Q79" s="2485"/>
      <c r="R79" s="2487"/>
    </row>
    <row r="80" spans="2:18" s="795" customFormat="1">
      <c r="B80" s="2485"/>
      <c r="C80" s="2485"/>
      <c r="D80" s="2485"/>
      <c r="E80" s="2485"/>
      <c r="F80" s="2485"/>
      <c r="G80" s="2486"/>
      <c r="H80" s="2485"/>
      <c r="I80" s="2486"/>
      <c r="J80" s="2485"/>
      <c r="K80" s="2485"/>
      <c r="L80" s="2486"/>
      <c r="M80" s="2485"/>
      <c r="N80" s="2485"/>
      <c r="O80" s="2486"/>
      <c r="P80" s="2485"/>
      <c r="Q80" s="2485"/>
      <c r="R80" s="2487"/>
    </row>
    <row r="81" spans="2:18" s="795" customFormat="1">
      <c r="B81" s="2485"/>
      <c r="C81" s="2485"/>
      <c r="D81" s="2485"/>
      <c r="E81" s="2485"/>
      <c r="F81" s="2485"/>
      <c r="G81" s="2486"/>
      <c r="H81" s="2485"/>
      <c r="I81" s="2486"/>
      <c r="J81" s="2485"/>
      <c r="K81" s="2485"/>
      <c r="L81" s="2486"/>
      <c r="M81" s="2485"/>
      <c r="N81" s="2485"/>
      <c r="O81" s="2486"/>
      <c r="P81" s="2485"/>
      <c r="Q81" s="2485"/>
      <c r="R81" s="2487"/>
    </row>
    <row r="82" spans="2:18" s="795" customFormat="1">
      <c r="B82" s="2485"/>
      <c r="C82" s="2485"/>
      <c r="D82" s="2485"/>
      <c r="E82" s="2485"/>
      <c r="F82" s="2485"/>
      <c r="G82" s="2486"/>
      <c r="H82" s="2485"/>
      <c r="I82" s="2486"/>
      <c r="J82" s="2485"/>
      <c r="K82" s="2485"/>
      <c r="L82" s="2486"/>
      <c r="M82" s="2485"/>
      <c r="N82" s="2485"/>
      <c r="O82" s="2486"/>
      <c r="P82" s="2485"/>
      <c r="Q82" s="2485"/>
      <c r="R82" s="2487"/>
    </row>
    <row r="83" spans="2:18" s="795" customFormat="1">
      <c r="B83" s="2485"/>
      <c r="C83" s="2485"/>
      <c r="D83" s="2485"/>
      <c r="E83" s="2485"/>
      <c r="F83" s="2485"/>
      <c r="G83" s="2486"/>
      <c r="H83" s="2485"/>
      <c r="I83" s="2486"/>
      <c r="J83" s="2485"/>
      <c r="K83" s="2485"/>
      <c r="L83" s="2486"/>
      <c r="M83" s="2485"/>
      <c r="N83" s="2485"/>
      <c r="O83" s="2486"/>
      <c r="P83" s="2485"/>
      <c r="Q83" s="2485"/>
      <c r="R83" s="2487"/>
    </row>
    <row r="84" spans="2:18" s="795" customFormat="1">
      <c r="B84" s="2485"/>
      <c r="C84" s="2485"/>
      <c r="D84" s="2485"/>
      <c r="E84" s="2485"/>
      <c r="F84" s="2485"/>
      <c r="G84" s="2486"/>
      <c r="H84" s="2485"/>
      <c r="I84" s="2486"/>
      <c r="J84" s="2485"/>
      <c r="K84" s="2485"/>
      <c r="L84" s="2486"/>
      <c r="M84" s="2485"/>
      <c r="N84" s="2485"/>
      <c r="O84" s="2486"/>
      <c r="P84" s="2485"/>
      <c r="Q84" s="2485"/>
      <c r="R84" s="2487"/>
    </row>
    <row r="85" spans="2:18" s="795" customFormat="1">
      <c r="B85" s="2485"/>
      <c r="C85" s="2485"/>
      <c r="D85" s="2485"/>
      <c r="E85" s="2485"/>
      <c r="F85" s="2485"/>
      <c r="G85" s="2486"/>
      <c r="H85" s="2485"/>
      <c r="I85" s="2486"/>
      <c r="J85" s="2485"/>
      <c r="K85" s="2485"/>
      <c r="L85" s="2486"/>
      <c r="M85" s="2485"/>
      <c r="N85" s="2485"/>
      <c r="O85" s="2486"/>
      <c r="P85" s="2485"/>
      <c r="Q85" s="2485"/>
      <c r="R85" s="2487"/>
    </row>
    <row r="86" spans="2:18" s="795" customFormat="1">
      <c r="B86" s="2485"/>
      <c r="C86" s="2485"/>
      <c r="D86" s="2485"/>
      <c r="E86" s="2485"/>
      <c r="F86" s="2485"/>
      <c r="G86" s="2486"/>
      <c r="H86" s="2485"/>
      <c r="I86" s="2486"/>
      <c r="J86" s="2485"/>
      <c r="K86" s="2485"/>
      <c r="L86" s="2486"/>
      <c r="M86" s="2485"/>
      <c r="N86" s="2485"/>
      <c r="O86" s="2486"/>
      <c r="P86" s="2485"/>
      <c r="Q86" s="2485"/>
      <c r="R86" s="2487"/>
    </row>
    <row r="87" spans="2:18" s="795" customFormat="1">
      <c r="B87" s="2485"/>
      <c r="C87" s="2485"/>
      <c r="D87" s="2485"/>
      <c r="E87" s="2485"/>
      <c r="F87" s="2485"/>
      <c r="G87" s="2486"/>
      <c r="H87" s="2485"/>
      <c r="I87" s="2486"/>
      <c r="J87" s="2485"/>
      <c r="K87" s="2485"/>
      <c r="L87" s="2486"/>
      <c r="M87" s="2485"/>
      <c r="N87" s="2485"/>
      <c r="O87" s="2486"/>
      <c r="P87" s="2485"/>
      <c r="Q87" s="2485"/>
      <c r="R87" s="2487"/>
    </row>
    <row r="88" spans="2:18" s="795" customFormat="1">
      <c r="B88" s="2485"/>
      <c r="C88" s="2485"/>
      <c r="D88" s="2485"/>
      <c r="E88" s="2485"/>
      <c r="F88" s="2485"/>
      <c r="G88" s="2486"/>
      <c r="H88" s="2485"/>
      <c r="I88" s="2486"/>
      <c r="J88" s="2485"/>
      <c r="K88" s="2485"/>
      <c r="L88" s="2486"/>
      <c r="M88" s="2485"/>
      <c r="N88" s="2485"/>
      <c r="O88" s="2486"/>
      <c r="P88" s="2485"/>
      <c r="Q88" s="2485"/>
      <c r="R88" s="2487"/>
    </row>
    <row r="89" spans="2:18" s="795" customFormat="1">
      <c r="B89" s="2485"/>
      <c r="C89" s="2485"/>
      <c r="D89" s="2485"/>
      <c r="E89" s="2485"/>
      <c r="F89" s="2485"/>
      <c r="G89" s="2486"/>
      <c r="H89" s="2485"/>
      <c r="I89" s="2486"/>
      <c r="J89" s="2485"/>
      <c r="K89" s="2485"/>
      <c r="L89" s="2486"/>
      <c r="M89" s="2485"/>
      <c r="N89" s="2485"/>
      <c r="O89" s="2486"/>
      <c r="P89" s="2485"/>
      <c r="Q89" s="2485"/>
      <c r="R89" s="2487"/>
    </row>
    <row r="90" spans="2:18" s="795" customFormat="1">
      <c r="B90" s="2485"/>
      <c r="C90" s="2485"/>
      <c r="D90" s="2485"/>
      <c r="E90" s="2485"/>
      <c r="F90" s="2485"/>
      <c r="G90" s="2486"/>
      <c r="H90" s="2485"/>
      <c r="I90" s="2486"/>
      <c r="J90" s="2485"/>
      <c r="K90" s="2485"/>
      <c r="L90" s="2486"/>
      <c r="M90" s="2485"/>
      <c r="N90" s="2485"/>
      <c r="O90" s="2486"/>
      <c r="P90" s="2485"/>
      <c r="Q90" s="2485"/>
      <c r="R90" s="2487"/>
    </row>
    <row r="91" spans="2:18" s="795" customFormat="1">
      <c r="B91" s="2485"/>
      <c r="C91" s="2485"/>
      <c r="D91" s="2485"/>
      <c r="E91" s="2485"/>
      <c r="F91" s="2485"/>
      <c r="G91" s="2486"/>
      <c r="H91" s="2485"/>
      <c r="I91" s="2486"/>
      <c r="J91" s="2485"/>
      <c r="K91" s="2485"/>
      <c r="L91" s="2486"/>
      <c r="M91" s="2485"/>
      <c r="N91" s="2485"/>
      <c r="O91" s="2486"/>
      <c r="P91" s="2485"/>
      <c r="Q91" s="2485"/>
      <c r="R91" s="2487"/>
    </row>
    <row r="92" spans="2:18" s="795" customFormat="1">
      <c r="B92" s="2485"/>
      <c r="C92" s="2485"/>
      <c r="D92" s="2485"/>
      <c r="E92" s="2485"/>
      <c r="F92" s="2485"/>
      <c r="G92" s="2486"/>
      <c r="H92" s="2485"/>
      <c r="I92" s="2486"/>
      <c r="J92" s="2485"/>
      <c r="K92" s="2485"/>
      <c r="L92" s="2486"/>
      <c r="M92" s="2485"/>
      <c r="N92" s="2485"/>
      <c r="O92" s="2486"/>
      <c r="P92" s="2485"/>
      <c r="Q92" s="2485"/>
      <c r="R92" s="2487"/>
    </row>
    <row r="93" spans="2:18" s="795" customFormat="1">
      <c r="B93" s="2485"/>
      <c r="C93" s="2485"/>
      <c r="D93" s="2485"/>
      <c r="E93" s="2485"/>
      <c r="F93" s="2485"/>
      <c r="G93" s="2486"/>
      <c r="H93" s="2485"/>
      <c r="I93" s="2486"/>
      <c r="J93" s="2485"/>
      <c r="K93" s="2485"/>
      <c r="L93" s="2486"/>
      <c r="M93" s="2485"/>
      <c r="N93" s="2485"/>
      <c r="O93" s="2486"/>
      <c r="P93" s="2485"/>
      <c r="Q93" s="2485"/>
      <c r="R93" s="2487"/>
    </row>
    <row r="94" spans="2:18" s="795" customFormat="1">
      <c r="B94" s="2485"/>
      <c r="C94" s="2485"/>
      <c r="D94" s="2485"/>
      <c r="E94" s="2485"/>
      <c r="F94" s="2485"/>
      <c r="G94" s="2486"/>
      <c r="H94" s="2485"/>
      <c r="I94" s="2486"/>
      <c r="J94" s="2485"/>
      <c r="K94" s="2485"/>
      <c r="L94" s="2486"/>
      <c r="M94" s="2485"/>
      <c r="N94" s="2485"/>
      <c r="O94" s="2486"/>
      <c r="P94" s="2485"/>
      <c r="Q94" s="2485"/>
      <c r="R94" s="2487"/>
    </row>
    <row r="95" spans="2:18" s="795" customFormat="1">
      <c r="B95" s="2485"/>
      <c r="C95" s="2485"/>
      <c r="D95" s="2485"/>
      <c r="E95" s="2485"/>
      <c r="F95" s="2485"/>
      <c r="G95" s="2486"/>
      <c r="H95" s="2485"/>
      <c r="I95" s="2486"/>
      <c r="J95" s="2485"/>
      <c r="K95" s="2485"/>
      <c r="L95" s="2486"/>
      <c r="M95" s="2485"/>
      <c r="N95" s="2485"/>
      <c r="O95" s="2486"/>
      <c r="P95" s="2485"/>
      <c r="Q95" s="2485"/>
      <c r="R95" s="2487"/>
    </row>
    <row r="96" spans="2:18" s="795" customFormat="1">
      <c r="B96" s="2485"/>
      <c r="C96" s="2485"/>
      <c r="D96" s="2485"/>
      <c r="E96" s="2485"/>
      <c r="F96" s="2485"/>
      <c r="G96" s="2486"/>
      <c r="H96" s="2485"/>
      <c r="I96" s="2486"/>
      <c r="J96" s="2485"/>
      <c r="K96" s="2485"/>
      <c r="L96" s="2486"/>
      <c r="M96" s="2485"/>
      <c r="N96" s="2485"/>
      <c r="O96" s="2486"/>
      <c r="P96" s="2485"/>
      <c r="Q96" s="2485"/>
      <c r="R96" s="2487"/>
    </row>
    <row r="97" spans="2:18" s="795" customFormat="1">
      <c r="B97" s="2485"/>
      <c r="C97" s="2485"/>
      <c r="D97" s="2485"/>
      <c r="E97" s="2485"/>
      <c r="F97" s="2485"/>
      <c r="G97" s="2486"/>
      <c r="H97" s="2485"/>
      <c r="I97" s="2486"/>
      <c r="J97" s="2485"/>
      <c r="K97" s="2485"/>
      <c r="L97" s="2486"/>
      <c r="M97" s="2485"/>
      <c r="N97" s="2485"/>
      <c r="O97" s="2486"/>
      <c r="P97" s="2485"/>
      <c r="Q97" s="2485"/>
      <c r="R97" s="2487"/>
    </row>
    <row r="98" spans="2:18" s="795" customFormat="1">
      <c r="B98" s="2485"/>
      <c r="C98" s="2485"/>
      <c r="D98" s="2485"/>
      <c r="E98" s="2485"/>
      <c r="F98" s="2485"/>
      <c r="G98" s="2486"/>
      <c r="H98" s="2485"/>
      <c r="I98" s="2486"/>
      <c r="J98" s="2485"/>
      <c r="K98" s="2485"/>
      <c r="L98" s="2486"/>
      <c r="M98" s="2485"/>
      <c r="N98" s="2485"/>
      <c r="O98" s="2486"/>
      <c r="P98" s="2485"/>
      <c r="Q98" s="2485"/>
      <c r="R98" s="2487"/>
    </row>
    <row r="99" spans="2:18" s="795" customFormat="1">
      <c r="B99" s="2485"/>
      <c r="C99" s="2485"/>
      <c r="D99" s="2485"/>
      <c r="E99" s="2485"/>
      <c r="F99" s="2485"/>
      <c r="G99" s="2486"/>
      <c r="H99" s="2485"/>
      <c r="I99" s="2486"/>
      <c r="J99" s="2485"/>
      <c r="K99" s="2485"/>
      <c r="L99" s="2486"/>
      <c r="M99" s="2485"/>
      <c r="N99" s="2485"/>
      <c r="O99" s="2486"/>
      <c r="P99" s="2485"/>
      <c r="Q99" s="2485"/>
      <c r="R99" s="2487"/>
    </row>
    <row r="100" spans="2:18" s="795" customFormat="1">
      <c r="B100" s="2485"/>
      <c r="C100" s="2485"/>
      <c r="D100" s="2485"/>
      <c r="E100" s="2485"/>
      <c r="F100" s="2485"/>
      <c r="G100" s="2486"/>
      <c r="H100" s="2485"/>
      <c r="I100" s="2486"/>
      <c r="J100" s="2485"/>
      <c r="K100" s="2485"/>
      <c r="L100" s="2486"/>
      <c r="M100" s="2485"/>
      <c r="N100" s="2485"/>
      <c r="O100" s="2486"/>
      <c r="P100" s="2485"/>
      <c r="Q100" s="2485"/>
      <c r="R100" s="2487"/>
    </row>
    <row r="101" spans="2:18" s="795" customFormat="1">
      <c r="B101" s="2485"/>
      <c r="C101" s="2485"/>
      <c r="D101" s="2485"/>
      <c r="E101" s="2485"/>
      <c r="F101" s="2485"/>
      <c r="G101" s="2486"/>
      <c r="H101" s="2485"/>
      <c r="I101" s="2486"/>
      <c r="J101" s="2485"/>
      <c r="K101" s="2485"/>
      <c r="L101" s="2486"/>
      <c r="M101" s="2485"/>
      <c r="N101" s="2485"/>
      <c r="O101" s="2486"/>
      <c r="P101" s="2485"/>
      <c r="Q101" s="2485"/>
      <c r="R101" s="2487"/>
    </row>
    <row r="102" spans="2:18" s="795" customFormat="1">
      <c r="B102" s="2485"/>
      <c r="C102" s="2485"/>
      <c r="D102" s="2485"/>
      <c r="E102" s="2485"/>
      <c r="F102" s="2485"/>
      <c r="G102" s="2486"/>
      <c r="H102" s="2485"/>
      <c r="I102" s="2486"/>
      <c r="J102" s="2485"/>
      <c r="K102" s="2485"/>
      <c r="L102" s="2486"/>
      <c r="M102" s="2485"/>
      <c r="N102" s="2485"/>
      <c r="O102" s="2486"/>
      <c r="P102" s="2485"/>
      <c r="Q102" s="2485"/>
      <c r="R102" s="2487"/>
    </row>
    <row r="103" spans="2:18" s="795" customFormat="1">
      <c r="B103" s="2485"/>
      <c r="C103" s="2485"/>
      <c r="D103" s="2485"/>
      <c r="E103" s="2485"/>
      <c r="F103" s="2485"/>
      <c r="G103" s="2486"/>
      <c r="H103" s="2485"/>
      <c r="I103" s="2486"/>
      <c r="J103" s="2485"/>
      <c r="K103" s="2485"/>
      <c r="L103" s="2486"/>
      <c r="M103" s="2485"/>
      <c r="N103" s="2485"/>
      <c r="O103" s="2486"/>
      <c r="P103" s="2485"/>
      <c r="Q103" s="2485"/>
      <c r="R103" s="2487"/>
    </row>
    <row r="104" spans="2:18" s="795" customFormat="1">
      <c r="B104" s="2485"/>
      <c r="C104" s="2485"/>
      <c r="D104" s="2485"/>
      <c r="E104" s="2485"/>
      <c r="F104" s="2485"/>
      <c r="G104" s="2486"/>
      <c r="H104" s="2485"/>
      <c r="I104" s="2486"/>
      <c r="J104" s="2485"/>
      <c r="K104" s="2485"/>
      <c r="L104" s="2486"/>
      <c r="M104" s="2485"/>
      <c r="N104" s="2485"/>
      <c r="O104" s="2486"/>
      <c r="P104" s="2485"/>
      <c r="Q104" s="2485"/>
      <c r="R104" s="2487"/>
    </row>
    <row r="105" spans="2:18" s="795" customFormat="1">
      <c r="B105" s="2485"/>
      <c r="C105" s="2485"/>
      <c r="D105" s="2485"/>
      <c r="E105" s="2485"/>
      <c r="F105" s="2485"/>
      <c r="G105" s="2486"/>
      <c r="H105" s="2485"/>
      <c r="I105" s="2486"/>
      <c r="J105" s="2485"/>
      <c r="K105" s="2485"/>
      <c r="L105" s="2486"/>
      <c r="M105" s="2485"/>
      <c r="N105" s="2485"/>
      <c r="O105" s="2486"/>
      <c r="P105" s="2485"/>
      <c r="Q105" s="2485"/>
      <c r="R105" s="2487"/>
    </row>
    <row r="106" spans="2:18" s="795" customFormat="1">
      <c r="B106" s="2485"/>
      <c r="C106" s="2485"/>
      <c r="D106" s="2485"/>
      <c r="E106" s="2485"/>
      <c r="F106" s="2485"/>
      <c r="G106" s="2486"/>
      <c r="H106" s="2485"/>
      <c r="I106" s="2486"/>
      <c r="J106" s="2485"/>
      <c r="K106" s="2485"/>
      <c r="L106" s="2486"/>
      <c r="M106" s="2485"/>
      <c r="N106" s="2485"/>
      <c r="O106" s="2486"/>
      <c r="P106" s="2485"/>
      <c r="Q106" s="2485"/>
      <c r="R106" s="2487"/>
    </row>
    <row r="107" spans="2:18" s="795" customFormat="1">
      <c r="B107" s="2485"/>
      <c r="C107" s="2485"/>
      <c r="D107" s="2485"/>
      <c r="E107" s="2485"/>
      <c r="F107" s="2485"/>
      <c r="G107" s="2486"/>
      <c r="H107" s="2485"/>
      <c r="I107" s="2486"/>
      <c r="J107" s="2485"/>
      <c r="K107" s="2485"/>
      <c r="L107" s="2486"/>
      <c r="M107" s="2485"/>
      <c r="N107" s="2485"/>
      <c r="O107" s="2486"/>
      <c r="P107" s="2485"/>
      <c r="Q107" s="2485"/>
      <c r="R107" s="2487"/>
    </row>
    <row r="108" spans="2:18" s="795" customFormat="1">
      <c r="B108" s="2485"/>
      <c r="C108" s="2485"/>
      <c r="D108" s="2485"/>
      <c r="E108" s="2485"/>
      <c r="F108" s="2485"/>
      <c r="G108" s="2486"/>
      <c r="H108" s="2485"/>
      <c r="I108" s="2486"/>
      <c r="J108" s="2485"/>
      <c r="K108" s="2485"/>
      <c r="L108" s="2486"/>
      <c r="M108" s="2485"/>
      <c r="N108" s="2485"/>
      <c r="O108" s="2486"/>
      <c r="P108" s="2485"/>
      <c r="Q108" s="2485"/>
      <c r="R108" s="2487"/>
    </row>
    <row r="109" spans="2:18" s="795" customFormat="1">
      <c r="B109" s="2485"/>
      <c r="C109" s="2485"/>
      <c r="D109" s="2485"/>
      <c r="E109" s="2485"/>
      <c r="F109" s="2485"/>
      <c r="G109" s="2486"/>
      <c r="H109" s="2485"/>
      <c r="I109" s="2486"/>
      <c r="J109" s="2485"/>
      <c r="K109" s="2485"/>
      <c r="L109" s="2486"/>
      <c r="M109" s="2485"/>
      <c r="N109" s="2485"/>
      <c r="O109" s="2486"/>
      <c r="P109" s="2485"/>
      <c r="Q109" s="2485"/>
      <c r="R109" s="2487"/>
    </row>
    <row r="110" spans="2:18" s="795" customFormat="1">
      <c r="B110" s="2485"/>
      <c r="C110" s="2485"/>
      <c r="D110" s="2485"/>
      <c r="E110" s="2485"/>
      <c r="F110" s="2485"/>
      <c r="G110" s="2486"/>
      <c r="H110" s="2485"/>
      <c r="I110" s="2486"/>
      <c r="J110" s="2485"/>
      <c r="K110" s="2485"/>
      <c r="L110" s="2486"/>
      <c r="M110" s="2485"/>
      <c r="N110" s="2485"/>
      <c r="O110" s="2486"/>
      <c r="P110" s="2485"/>
      <c r="Q110" s="2485"/>
      <c r="R110" s="2487"/>
    </row>
    <row r="111" spans="2:18" s="795" customFormat="1">
      <c r="B111" s="2485"/>
      <c r="C111" s="2485"/>
      <c r="D111" s="2485"/>
      <c r="E111" s="2485"/>
      <c r="F111" s="2485"/>
      <c r="G111" s="2486"/>
      <c r="H111" s="2485"/>
      <c r="I111" s="2486"/>
      <c r="J111" s="2485"/>
      <c r="K111" s="2485"/>
      <c r="L111" s="2486"/>
      <c r="M111" s="2485"/>
      <c r="N111" s="2485"/>
      <c r="O111" s="2486"/>
      <c r="P111" s="2485"/>
      <c r="Q111" s="2485"/>
      <c r="R111" s="2487"/>
    </row>
    <row r="112" spans="2:18" s="795" customFormat="1">
      <c r="B112" s="2485"/>
      <c r="C112" s="2485"/>
      <c r="D112" s="2485"/>
      <c r="E112" s="2485"/>
      <c r="F112" s="2485"/>
      <c r="G112" s="2486"/>
      <c r="H112" s="2485"/>
      <c r="I112" s="2486"/>
      <c r="J112" s="2485"/>
      <c r="K112" s="2485"/>
      <c r="L112" s="2486"/>
      <c r="M112" s="2485"/>
      <c r="N112" s="2485"/>
      <c r="O112" s="2486"/>
      <c r="P112" s="2485"/>
      <c r="Q112" s="2485"/>
      <c r="R112" s="2487"/>
    </row>
    <row r="113" spans="2:18" s="795" customFormat="1">
      <c r="B113" s="2485"/>
      <c r="C113" s="2485"/>
      <c r="D113" s="2485"/>
      <c r="E113" s="2485"/>
      <c r="F113" s="2485"/>
      <c r="G113" s="2486"/>
      <c r="H113" s="2485"/>
      <c r="I113" s="2486"/>
      <c r="J113" s="2485"/>
      <c r="K113" s="2485"/>
      <c r="L113" s="2486"/>
      <c r="M113" s="2485"/>
      <c r="N113" s="2485"/>
      <c r="O113" s="2486"/>
      <c r="P113" s="2485"/>
      <c r="Q113" s="2485"/>
      <c r="R113" s="2487"/>
    </row>
    <row r="114" spans="2:18" s="795" customFormat="1">
      <c r="B114" s="2485"/>
      <c r="C114" s="2485"/>
      <c r="D114" s="2485"/>
      <c r="E114" s="2485"/>
      <c r="F114" s="2485"/>
      <c r="G114" s="2486"/>
      <c r="H114" s="2485"/>
      <c r="I114" s="2486"/>
      <c r="J114" s="2485"/>
      <c r="K114" s="2485"/>
      <c r="L114" s="2486"/>
      <c r="M114" s="2485"/>
      <c r="N114" s="2485"/>
      <c r="O114" s="2486"/>
      <c r="P114" s="2485"/>
      <c r="Q114" s="2485"/>
      <c r="R114" s="2487"/>
    </row>
    <row r="115" spans="2:18" s="795" customFormat="1">
      <c r="B115" s="2485"/>
      <c r="C115" s="2485"/>
      <c r="D115" s="2485"/>
      <c r="E115" s="2485"/>
      <c r="F115" s="2485"/>
      <c r="G115" s="2486"/>
      <c r="H115" s="2485"/>
      <c r="I115" s="2486"/>
      <c r="J115" s="2485"/>
      <c r="K115" s="2485"/>
      <c r="L115" s="2486"/>
      <c r="M115" s="2485"/>
      <c r="N115" s="2485"/>
      <c r="O115" s="2486"/>
      <c r="P115" s="2485"/>
      <c r="Q115" s="2485"/>
      <c r="R115" s="2487"/>
    </row>
    <row r="116" spans="2:18" s="795" customFormat="1">
      <c r="B116" s="2485"/>
      <c r="C116" s="2485"/>
      <c r="D116" s="2485"/>
      <c r="E116" s="2485"/>
      <c r="F116" s="2485"/>
      <c r="G116" s="2486"/>
      <c r="H116" s="2485"/>
      <c r="I116" s="2486"/>
      <c r="J116" s="2485"/>
      <c r="K116" s="2485"/>
      <c r="L116" s="2486"/>
      <c r="M116" s="2485"/>
      <c r="N116" s="2485"/>
      <c r="O116" s="2486"/>
      <c r="P116" s="2485"/>
      <c r="Q116" s="2485"/>
      <c r="R116" s="2487"/>
    </row>
    <row r="117" spans="2:18" s="795" customFormat="1">
      <c r="B117" s="2485"/>
      <c r="C117" s="2485"/>
      <c r="D117" s="2485"/>
      <c r="E117" s="2485"/>
      <c r="F117" s="2485"/>
      <c r="G117" s="2486"/>
      <c r="H117" s="2485"/>
      <c r="I117" s="2486"/>
      <c r="J117" s="2485"/>
      <c r="K117" s="2485"/>
      <c r="L117" s="2486"/>
      <c r="M117" s="2485"/>
      <c r="N117" s="2485"/>
      <c r="O117" s="2486"/>
      <c r="P117" s="2485"/>
      <c r="Q117" s="2485"/>
      <c r="R117" s="2487"/>
    </row>
    <row r="118" spans="2:18" s="795" customFormat="1">
      <c r="B118" s="2485"/>
      <c r="C118" s="2485"/>
      <c r="D118" s="2485"/>
      <c r="E118" s="2485"/>
      <c r="F118" s="2485"/>
      <c r="G118" s="2486"/>
      <c r="H118" s="2485"/>
      <c r="I118" s="2486"/>
      <c r="J118" s="2485"/>
      <c r="K118" s="2485"/>
      <c r="L118" s="2486"/>
      <c r="M118" s="2485"/>
      <c r="N118" s="2485"/>
      <c r="O118" s="2486"/>
      <c r="P118" s="2485"/>
      <c r="Q118" s="2485"/>
      <c r="R118" s="2487"/>
    </row>
    <row r="119" spans="2:18" s="795" customFormat="1">
      <c r="B119" s="2485"/>
      <c r="C119" s="2485"/>
      <c r="D119" s="2485"/>
      <c r="E119" s="2485"/>
      <c r="F119" s="2485"/>
      <c r="G119" s="2486"/>
      <c r="H119" s="2485"/>
      <c r="I119" s="2486"/>
      <c r="J119" s="2485"/>
      <c r="K119" s="2485"/>
      <c r="L119" s="2486"/>
      <c r="M119" s="2485"/>
      <c r="N119" s="2485"/>
      <c r="O119" s="2486"/>
      <c r="P119" s="2485"/>
      <c r="Q119" s="2485"/>
      <c r="R119" s="2487"/>
    </row>
    <row r="120" spans="2:18" s="795" customFormat="1">
      <c r="B120" s="2485"/>
      <c r="C120" s="2485"/>
      <c r="D120" s="2485"/>
      <c r="E120" s="2485"/>
      <c r="F120" s="2485"/>
      <c r="G120" s="2486"/>
      <c r="H120" s="2485"/>
      <c r="I120" s="2486"/>
      <c r="J120" s="2485"/>
      <c r="K120" s="2485"/>
      <c r="L120" s="2486"/>
      <c r="M120" s="2485"/>
      <c r="N120" s="2485"/>
      <c r="O120" s="2486"/>
      <c r="P120" s="2485"/>
      <c r="Q120" s="2485"/>
      <c r="R120" s="2487"/>
    </row>
    <row r="121" spans="2:18" s="795" customFormat="1">
      <c r="B121" s="2485"/>
      <c r="C121" s="2485"/>
      <c r="D121" s="2485"/>
      <c r="E121" s="2485"/>
      <c r="F121" s="2485"/>
      <c r="G121" s="2486"/>
      <c r="H121" s="2485"/>
      <c r="I121" s="2486"/>
      <c r="J121" s="2485"/>
      <c r="K121" s="2485"/>
      <c r="L121" s="2486"/>
      <c r="M121" s="2485"/>
      <c r="N121" s="2485"/>
      <c r="O121" s="2486"/>
      <c r="P121" s="2485"/>
      <c r="Q121" s="2485"/>
      <c r="R121" s="2487"/>
    </row>
    <row r="122" spans="2:18" s="795" customFormat="1">
      <c r="B122" s="2485"/>
      <c r="C122" s="2485"/>
      <c r="D122" s="2485"/>
      <c r="E122" s="2485"/>
      <c r="F122" s="2485"/>
      <c r="G122" s="2486"/>
      <c r="H122" s="2485"/>
      <c r="I122" s="2486"/>
      <c r="J122" s="2485"/>
      <c r="K122" s="2485"/>
      <c r="L122" s="2486"/>
      <c r="M122" s="2485"/>
      <c r="N122" s="2485"/>
      <c r="O122" s="2486"/>
      <c r="P122" s="2485"/>
      <c r="Q122" s="2485"/>
      <c r="R122" s="2487"/>
    </row>
    <row r="123" spans="2:18" s="795" customFormat="1">
      <c r="B123" s="2485"/>
      <c r="C123" s="2485"/>
      <c r="D123" s="2485"/>
      <c r="E123" s="2485"/>
      <c r="F123" s="2485"/>
      <c r="G123" s="2486"/>
      <c r="H123" s="2485"/>
      <c r="I123" s="2486"/>
      <c r="J123" s="2485"/>
      <c r="K123" s="2485"/>
      <c r="L123" s="2486"/>
      <c r="M123" s="2485"/>
      <c r="N123" s="2485"/>
      <c r="O123" s="2486"/>
      <c r="P123" s="2485"/>
      <c r="Q123" s="2485"/>
      <c r="R123" s="2487"/>
    </row>
    <row r="124" spans="2:18" s="795" customFormat="1">
      <c r="B124" s="2485"/>
      <c r="C124" s="2485"/>
      <c r="D124" s="2485"/>
      <c r="E124" s="2485"/>
      <c r="F124" s="2485"/>
      <c r="G124" s="2486"/>
      <c r="H124" s="2485"/>
      <c r="I124" s="2486"/>
      <c r="J124" s="2485"/>
      <c r="K124" s="2485"/>
      <c r="L124" s="2486"/>
      <c r="M124" s="2485"/>
      <c r="N124" s="2485"/>
      <c r="O124" s="2486"/>
      <c r="P124" s="2485"/>
      <c r="Q124" s="2485"/>
      <c r="R124" s="2487"/>
    </row>
    <row r="125" spans="2:18" s="795" customFormat="1">
      <c r="B125" s="2485"/>
      <c r="C125" s="2485"/>
      <c r="D125" s="2485"/>
      <c r="E125" s="2485"/>
      <c r="F125" s="2485"/>
      <c r="G125" s="2486"/>
      <c r="H125" s="2485"/>
      <c r="I125" s="2486"/>
      <c r="J125" s="2485"/>
      <c r="K125" s="2485"/>
      <c r="L125" s="2486"/>
      <c r="M125" s="2485"/>
      <c r="N125" s="2485"/>
      <c r="O125" s="2486"/>
      <c r="P125" s="2485"/>
      <c r="Q125" s="2485"/>
      <c r="R125" s="2487"/>
    </row>
    <row r="126" spans="2:18" s="795" customFormat="1">
      <c r="B126" s="2485"/>
      <c r="C126" s="2485"/>
      <c r="D126" s="2485"/>
      <c r="E126" s="2485"/>
      <c r="F126" s="2485"/>
      <c r="G126" s="2486"/>
      <c r="H126" s="2485"/>
      <c r="I126" s="2486"/>
      <c r="J126" s="2485"/>
      <c r="K126" s="2485"/>
      <c r="L126" s="2486"/>
      <c r="M126" s="2485"/>
      <c r="N126" s="2485"/>
      <c r="O126" s="2486"/>
      <c r="P126" s="2485"/>
      <c r="Q126" s="2485"/>
      <c r="R126" s="2487"/>
    </row>
    <row r="127" spans="2:18" s="795" customFormat="1">
      <c r="B127" s="2485"/>
      <c r="C127" s="2485"/>
      <c r="D127" s="2485"/>
      <c r="E127" s="2485"/>
      <c r="F127" s="2485"/>
      <c r="G127" s="2486"/>
      <c r="H127" s="2485"/>
      <c r="I127" s="2486"/>
      <c r="J127" s="2485"/>
      <c r="K127" s="2485"/>
      <c r="L127" s="2486"/>
      <c r="M127" s="2485"/>
      <c r="N127" s="2485"/>
      <c r="O127" s="2486"/>
      <c r="P127" s="2485"/>
      <c r="Q127" s="2485"/>
      <c r="R127" s="2487"/>
    </row>
    <row r="128" spans="2:18" s="795" customFormat="1">
      <c r="B128" s="2485"/>
      <c r="C128" s="2485"/>
      <c r="D128" s="2485"/>
      <c r="E128" s="2485"/>
      <c r="F128" s="2485"/>
      <c r="G128" s="2486"/>
      <c r="H128" s="2485"/>
      <c r="I128" s="2486"/>
      <c r="J128" s="2485"/>
      <c r="K128" s="2485"/>
      <c r="L128" s="2486"/>
      <c r="M128" s="2485"/>
      <c r="N128" s="2485"/>
      <c r="O128" s="2486"/>
      <c r="P128" s="2485"/>
      <c r="Q128" s="2485"/>
      <c r="R128" s="2487"/>
    </row>
    <row r="129" spans="2:18" s="795" customFormat="1">
      <c r="B129" s="2485"/>
      <c r="C129" s="2485"/>
      <c r="D129" s="2485"/>
      <c r="E129" s="2485"/>
      <c r="F129" s="2485"/>
      <c r="G129" s="2486"/>
      <c r="H129" s="2485"/>
      <c r="I129" s="2486"/>
      <c r="J129" s="2485"/>
      <c r="K129" s="2485"/>
      <c r="L129" s="2486"/>
      <c r="M129" s="2485"/>
      <c r="N129" s="2485"/>
      <c r="O129" s="2486"/>
      <c r="P129" s="2485"/>
      <c r="Q129" s="2485"/>
      <c r="R129" s="2487"/>
    </row>
    <row r="130" spans="2:18" s="795" customFormat="1">
      <c r="B130" s="2485"/>
      <c r="C130" s="2485"/>
      <c r="D130" s="2485"/>
      <c r="E130" s="2485"/>
      <c r="F130" s="2485"/>
      <c r="G130" s="2486"/>
      <c r="H130" s="2485"/>
      <c r="I130" s="2486"/>
      <c r="J130" s="2485"/>
      <c r="K130" s="2485"/>
      <c r="L130" s="2486"/>
      <c r="M130" s="2485"/>
      <c r="N130" s="2485"/>
      <c r="O130" s="2486"/>
      <c r="P130" s="2485"/>
      <c r="Q130" s="2485"/>
      <c r="R130" s="2487"/>
    </row>
    <row r="131" spans="2:18" s="795" customFormat="1">
      <c r="B131" s="2485"/>
      <c r="C131" s="2485"/>
      <c r="D131" s="2485"/>
      <c r="E131" s="2485"/>
      <c r="F131" s="2485"/>
      <c r="G131" s="2486"/>
      <c r="H131" s="2485"/>
      <c r="I131" s="2486"/>
      <c r="J131" s="2485"/>
      <c r="K131" s="2485"/>
      <c r="L131" s="2486"/>
      <c r="M131" s="2485"/>
      <c r="N131" s="2485"/>
      <c r="O131" s="2486"/>
      <c r="P131" s="2485"/>
      <c r="Q131" s="2485"/>
      <c r="R131" s="2487"/>
    </row>
    <row r="132" spans="2:18" s="795" customFormat="1">
      <c r="B132" s="2485"/>
      <c r="C132" s="2485"/>
      <c r="D132" s="2485"/>
      <c r="E132" s="2485"/>
      <c r="F132" s="2485"/>
      <c r="G132" s="2486"/>
      <c r="H132" s="2485"/>
      <c r="I132" s="2486"/>
      <c r="J132" s="2485"/>
      <c r="K132" s="2485"/>
      <c r="L132" s="2486"/>
      <c r="M132" s="2485"/>
      <c r="N132" s="2485"/>
      <c r="O132" s="2486"/>
      <c r="P132" s="2485"/>
      <c r="Q132" s="2485"/>
      <c r="R132" s="2487"/>
    </row>
    <row r="133" spans="2:18" s="795" customFormat="1">
      <c r="B133" s="2485"/>
      <c r="C133" s="2485"/>
      <c r="D133" s="2485"/>
      <c r="E133" s="2485"/>
      <c r="F133" s="2485"/>
      <c r="G133" s="2486"/>
      <c r="H133" s="2485"/>
      <c r="I133" s="2486"/>
      <c r="J133" s="2485"/>
      <c r="K133" s="2485"/>
      <c r="L133" s="2486"/>
      <c r="M133" s="2485"/>
      <c r="N133" s="2485"/>
      <c r="O133" s="2486"/>
      <c r="P133" s="2485"/>
      <c r="Q133" s="2485"/>
      <c r="R133" s="2487"/>
    </row>
    <row r="134" spans="2:18" s="795" customFormat="1">
      <c r="B134" s="2485"/>
      <c r="C134" s="2485"/>
      <c r="D134" s="2485"/>
      <c r="E134" s="2485"/>
      <c r="F134" s="2485"/>
      <c r="G134" s="2486"/>
      <c r="H134" s="2485"/>
      <c r="I134" s="2486"/>
      <c r="J134" s="2485"/>
      <c r="K134" s="2485"/>
      <c r="L134" s="2486"/>
      <c r="M134" s="2485"/>
      <c r="N134" s="2485"/>
      <c r="O134" s="2486"/>
      <c r="P134" s="2485"/>
      <c r="Q134" s="2485"/>
      <c r="R134" s="2487"/>
    </row>
    <row r="135" spans="2:18" s="795" customFormat="1">
      <c r="B135" s="2485"/>
      <c r="C135" s="2485"/>
      <c r="D135" s="2485"/>
      <c r="E135" s="2485"/>
      <c r="F135" s="2485"/>
      <c r="G135" s="2486"/>
      <c r="H135" s="2485"/>
      <c r="I135" s="2486"/>
      <c r="J135" s="2485"/>
      <c r="K135" s="2485"/>
      <c r="L135" s="2486"/>
      <c r="M135" s="2485"/>
      <c r="N135" s="2485"/>
      <c r="O135" s="2486"/>
      <c r="P135" s="2485"/>
      <c r="Q135" s="2485"/>
      <c r="R135" s="2487"/>
    </row>
    <row r="136" spans="2:18" s="795" customFormat="1">
      <c r="B136" s="2485"/>
      <c r="C136" s="2485"/>
      <c r="D136" s="2485"/>
      <c r="E136" s="2485"/>
      <c r="F136" s="2485"/>
      <c r="G136" s="2486"/>
      <c r="H136" s="2485"/>
      <c r="I136" s="2486"/>
      <c r="J136" s="2485"/>
      <c r="K136" s="2485"/>
      <c r="L136" s="2486"/>
      <c r="M136" s="2485"/>
      <c r="N136" s="2485"/>
      <c r="O136" s="2486"/>
      <c r="P136" s="2485"/>
      <c r="Q136" s="2485"/>
      <c r="R136" s="2487"/>
    </row>
    <row r="137" spans="2:18" s="795" customFormat="1">
      <c r="B137" s="2485"/>
      <c r="C137" s="2485"/>
      <c r="D137" s="2485"/>
      <c r="E137" s="2485"/>
      <c r="F137" s="2485"/>
      <c r="G137" s="2486"/>
      <c r="H137" s="2485"/>
      <c r="I137" s="2486"/>
      <c r="J137" s="2485"/>
      <c r="K137" s="2485"/>
      <c r="L137" s="2486"/>
      <c r="M137" s="2485"/>
      <c r="N137" s="2485"/>
      <c r="O137" s="2486"/>
      <c r="P137" s="2485"/>
      <c r="Q137" s="2485"/>
      <c r="R137" s="2487"/>
    </row>
    <row r="138" spans="2:18" s="795" customFormat="1">
      <c r="B138" s="2485"/>
      <c r="C138" s="2485"/>
      <c r="D138" s="2485"/>
      <c r="E138" s="2485"/>
      <c r="F138" s="2485"/>
      <c r="G138" s="2486"/>
      <c r="H138" s="2485"/>
      <c r="I138" s="2486"/>
      <c r="J138" s="2485"/>
      <c r="K138" s="2485"/>
      <c r="L138" s="2486"/>
      <c r="M138" s="2485"/>
      <c r="N138" s="2485"/>
      <c r="O138" s="2486"/>
      <c r="P138" s="2485"/>
      <c r="Q138" s="2485"/>
      <c r="R138" s="2487"/>
    </row>
    <row r="139" spans="2:18" s="795" customFormat="1">
      <c r="B139" s="2485"/>
      <c r="C139" s="2485"/>
      <c r="D139" s="2485"/>
      <c r="E139" s="2485"/>
      <c r="F139" s="2485"/>
      <c r="G139" s="2486"/>
      <c r="H139" s="2485"/>
      <c r="I139" s="2486"/>
      <c r="J139" s="2485"/>
      <c r="K139" s="2485"/>
      <c r="L139" s="2486"/>
      <c r="M139" s="2485"/>
      <c r="N139" s="2485"/>
      <c r="O139" s="2486"/>
      <c r="P139" s="2485"/>
      <c r="Q139" s="2485"/>
      <c r="R139" s="2487"/>
    </row>
    <row r="140" spans="2:18" s="795" customFormat="1">
      <c r="B140" s="2485"/>
      <c r="C140" s="2485"/>
      <c r="D140" s="2485"/>
      <c r="E140" s="2485"/>
      <c r="F140" s="2485"/>
      <c r="G140" s="2486"/>
      <c r="H140" s="2485"/>
      <c r="I140" s="2486"/>
      <c r="J140" s="2485"/>
      <c r="K140" s="2485"/>
      <c r="L140" s="2486"/>
      <c r="M140" s="2485"/>
      <c r="N140" s="2485"/>
      <c r="O140" s="2486"/>
      <c r="P140" s="2485"/>
      <c r="Q140" s="2485"/>
      <c r="R140" s="2487"/>
    </row>
    <row r="141" spans="2:18" s="795" customFormat="1">
      <c r="B141" s="2485"/>
      <c r="C141" s="2485"/>
      <c r="D141" s="2485"/>
      <c r="E141" s="2485"/>
      <c r="F141" s="2485"/>
      <c r="G141" s="2486"/>
      <c r="H141" s="2485"/>
      <c r="I141" s="2486"/>
      <c r="J141" s="2485"/>
      <c r="K141" s="2485"/>
      <c r="L141" s="2486"/>
      <c r="M141" s="2485"/>
      <c r="N141" s="2485"/>
      <c r="O141" s="2486"/>
      <c r="P141" s="2485"/>
      <c r="Q141" s="2485"/>
      <c r="R141" s="2487"/>
    </row>
    <row r="142" spans="2:18" s="795" customFormat="1">
      <c r="B142" s="2485"/>
      <c r="C142" s="2485"/>
      <c r="D142" s="2485"/>
      <c r="E142" s="2485"/>
      <c r="F142" s="2485"/>
      <c r="G142" s="2486"/>
      <c r="H142" s="2485"/>
      <c r="I142" s="2486"/>
      <c r="J142" s="2485"/>
      <c r="K142" s="2485"/>
      <c r="L142" s="2486"/>
      <c r="M142" s="2485"/>
      <c r="N142" s="2485"/>
      <c r="O142" s="2486"/>
      <c r="P142" s="2485"/>
      <c r="Q142" s="2485"/>
      <c r="R142" s="2487"/>
    </row>
    <row r="143" spans="2:18" s="795" customFormat="1">
      <c r="B143" s="2485"/>
      <c r="C143" s="2485"/>
      <c r="D143" s="2485"/>
      <c r="E143" s="2485"/>
      <c r="F143" s="2485"/>
      <c r="G143" s="2486"/>
      <c r="H143" s="2485"/>
      <c r="I143" s="2486"/>
      <c r="J143" s="2485"/>
      <c r="K143" s="2485"/>
      <c r="L143" s="2486"/>
      <c r="M143" s="2485"/>
      <c r="N143" s="2485"/>
      <c r="O143" s="2486"/>
      <c r="P143" s="2485"/>
      <c r="Q143" s="2485"/>
      <c r="R143" s="2487"/>
    </row>
    <row r="144" spans="2:18" s="795" customFormat="1">
      <c r="B144" s="2485"/>
      <c r="C144" s="2485"/>
      <c r="D144" s="2485"/>
      <c r="E144" s="2485"/>
      <c r="F144" s="2485"/>
      <c r="G144" s="2486"/>
      <c r="H144" s="2485"/>
      <c r="I144" s="2486"/>
      <c r="J144" s="2485"/>
      <c r="K144" s="2485"/>
      <c r="L144" s="2486"/>
      <c r="M144" s="2485"/>
      <c r="N144" s="2485"/>
      <c r="O144" s="2486"/>
      <c r="P144" s="2485"/>
      <c r="Q144" s="2485"/>
      <c r="R144" s="2487"/>
    </row>
    <row r="145" spans="2:18" s="795" customFormat="1">
      <c r="B145" s="2485"/>
      <c r="C145" s="2485"/>
      <c r="D145" s="2485"/>
      <c r="E145" s="2485"/>
      <c r="F145" s="2485"/>
      <c r="G145" s="2486"/>
      <c r="H145" s="2485"/>
      <c r="I145" s="2486"/>
      <c r="J145" s="2485"/>
      <c r="K145" s="2485"/>
      <c r="L145" s="2486"/>
      <c r="M145" s="2485"/>
      <c r="N145" s="2485"/>
      <c r="O145" s="2486"/>
      <c r="P145" s="2485"/>
      <c r="Q145" s="2485"/>
      <c r="R145" s="2487"/>
    </row>
    <row r="146" spans="2:18" s="795" customFormat="1">
      <c r="B146" s="2485"/>
      <c r="C146" s="2485"/>
      <c r="D146" s="2485"/>
      <c r="E146" s="2485"/>
      <c r="F146" s="2485"/>
      <c r="G146" s="2486"/>
      <c r="H146" s="2485"/>
      <c r="I146" s="2486"/>
      <c r="J146" s="2485"/>
      <c r="K146" s="2485"/>
      <c r="L146" s="2486"/>
      <c r="M146" s="2485"/>
      <c r="N146" s="2485"/>
      <c r="O146" s="2486"/>
      <c r="P146" s="2485"/>
      <c r="Q146" s="2485"/>
      <c r="R146" s="2487"/>
    </row>
    <row r="147" spans="2:18" s="795" customFormat="1">
      <c r="B147" s="2485"/>
      <c r="C147" s="2485"/>
      <c r="D147" s="2485"/>
      <c r="E147" s="2485"/>
      <c r="F147" s="2485"/>
      <c r="G147" s="2486"/>
      <c r="H147" s="2485"/>
      <c r="I147" s="2486"/>
      <c r="J147" s="2485"/>
      <c r="K147" s="2485"/>
      <c r="L147" s="2486"/>
      <c r="M147" s="2485"/>
      <c r="N147" s="2485"/>
      <c r="O147" s="2486"/>
      <c r="P147" s="2485"/>
      <c r="Q147" s="2485"/>
      <c r="R147" s="2487"/>
    </row>
    <row r="148" spans="2:18" s="795" customFormat="1">
      <c r="B148" s="2485"/>
      <c r="C148" s="2485"/>
      <c r="D148" s="2485"/>
      <c r="E148" s="2485"/>
      <c r="F148" s="2485"/>
      <c r="G148" s="2486"/>
      <c r="H148" s="2485"/>
      <c r="I148" s="2486"/>
      <c r="J148" s="2485"/>
      <c r="K148" s="2485"/>
      <c r="L148" s="2486"/>
      <c r="M148" s="2485"/>
      <c r="N148" s="2485"/>
      <c r="O148" s="2486"/>
      <c r="P148" s="2485"/>
      <c r="Q148" s="2485"/>
      <c r="R148" s="2487"/>
    </row>
    <row r="149" spans="2:18" s="795" customFormat="1">
      <c r="B149" s="2485"/>
      <c r="C149" s="2485"/>
      <c r="D149" s="2485"/>
      <c r="E149" s="2485"/>
      <c r="F149" s="2485"/>
      <c r="G149" s="2486"/>
      <c r="H149" s="2485"/>
      <c r="I149" s="2486"/>
      <c r="J149" s="2485"/>
      <c r="K149" s="2485"/>
      <c r="L149" s="2486"/>
      <c r="M149" s="2485"/>
      <c r="N149" s="2485"/>
      <c r="O149" s="2486"/>
      <c r="P149" s="2485"/>
      <c r="Q149" s="2485"/>
      <c r="R149" s="2487"/>
    </row>
    <row r="150" spans="2:18" s="795" customFormat="1">
      <c r="B150" s="2485"/>
      <c r="C150" s="2485"/>
      <c r="D150" s="2485"/>
      <c r="E150" s="2485"/>
      <c r="F150" s="2485"/>
      <c r="G150" s="2486"/>
      <c r="H150" s="2485"/>
      <c r="I150" s="2486"/>
      <c r="J150" s="2485"/>
      <c r="K150" s="2485"/>
      <c r="L150" s="2486"/>
      <c r="M150" s="2485"/>
      <c r="N150" s="2485"/>
      <c r="O150" s="2486"/>
      <c r="P150" s="2485"/>
      <c r="Q150" s="2485"/>
      <c r="R150" s="2487"/>
    </row>
    <row r="151" spans="2:18" s="795" customFormat="1">
      <c r="B151" s="2485"/>
      <c r="C151" s="2485"/>
      <c r="D151" s="2485"/>
      <c r="E151" s="2485"/>
      <c r="F151" s="2485"/>
      <c r="G151" s="2486"/>
      <c r="H151" s="2485"/>
      <c r="I151" s="2486"/>
      <c r="J151" s="2485"/>
      <c r="K151" s="2485"/>
      <c r="L151" s="2486"/>
      <c r="M151" s="2485"/>
      <c r="N151" s="2485"/>
      <c r="O151" s="2486"/>
      <c r="P151" s="2485"/>
      <c r="Q151" s="2485"/>
      <c r="R151" s="2487"/>
    </row>
    <row r="152" spans="2:18" s="795" customFormat="1">
      <c r="B152" s="2485"/>
      <c r="C152" s="2485"/>
      <c r="D152" s="2485"/>
      <c r="E152" s="2485"/>
      <c r="F152" s="2485"/>
      <c r="G152" s="2486"/>
      <c r="H152" s="2485"/>
      <c r="I152" s="2486"/>
      <c r="J152" s="2485"/>
      <c r="K152" s="2485"/>
      <c r="L152" s="2486"/>
      <c r="M152" s="2485"/>
      <c r="N152" s="2485"/>
      <c r="O152" s="2486"/>
      <c r="P152" s="2485"/>
      <c r="Q152" s="2485"/>
      <c r="R152" s="2487"/>
    </row>
    <row r="153" spans="2:18" s="795" customFormat="1">
      <c r="B153" s="2485"/>
      <c r="C153" s="2485"/>
      <c r="D153" s="2485"/>
      <c r="E153" s="2485"/>
      <c r="F153" s="2485"/>
      <c r="G153" s="2486"/>
      <c r="H153" s="2485"/>
      <c r="I153" s="2486"/>
      <c r="J153" s="2485"/>
      <c r="K153" s="2485"/>
      <c r="L153" s="2486"/>
      <c r="M153" s="2485"/>
      <c r="N153" s="2485"/>
      <c r="O153" s="2486"/>
      <c r="P153" s="2485"/>
      <c r="Q153" s="2485"/>
      <c r="R153" s="2487"/>
    </row>
    <row r="154" spans="2:18" s="795" customFormat="1">
      <c r="B154" s="2485"/>
      <c r="C154" s="2485"/>
      <c r="D154" s="2485"/>
      <c r="E154" s="2485"/>
      <c r="F154" s="2485"/>
      <c r="G154" s="2486"/>
      <c r="H154" s="2485"/>
      <c r="I154" s="2486"/>
      <c r="J154" s="2485"/>
      <c r="K154" s="2485"/>
      <c r="L154" s="2486"/>
      <c r="M154" s="2485"/>
      <c r="N154" s="2485"/>
      <c r="O154" s="2486"/>
      <c r="P154" s="2485"/>
      <c r="Q154" s="2485"/>
      <c r="R154" s="2487"/>
    </row>
    <row r="155" spans="2:18" s="795" customFormat="1">
      <c r="B155" s="2485"/>
      <c r="C155" s="2485"/>
      <c r="D155" s="2485"/>
      <c r="E155" s="2485"/>
      <c r="F155" s="2485"/>
      <c r="G155" s="2486"/>
      <c r="H155" s="2485"/>
      <c r="I155" s="2486"/>
      <c r="J155" s="2485"/>
      <c r="K155" s="2485"/>
      <c r="L155" s="2486"/>
      <c r="M155" s="2485"/>
      <c r="N155" s="2485"/>
      <c r="O155" s="2486"/>
      <c r="P155" s="2485"/>
      <c r="Q155" s="2485"/>
      <c r="R155" s="2487"/>
    </row>
    <row r="156" spans="2:18" s="795" customFormat="1">
      <c r="B156" s="2485"/>
      <c r="C156" s="2485"/>
      <c r="D156" s="2485"/>
      <c r="E156" s="2485"/>
      <c r="F156" s="2485"/>
      <c r="G156" s="2486"/>
      <c r="H156" s="2485"/>
      <c r="I156" s="2486"/>
      <c r="J156" s="2485"/>
      <c r="K156" s="2485"/>
      <c r="L156" s="2486"/>
      <c r="M156" s="2485"/>
      <c r="N156" s="2485"/>
      <c r="O156" s="2486"/>
      <c r="P156" s="2485"/>
      <c r="Q156" s="2485"/>
      <c r="R156" s="2487"/>
    </row>
    <row r="157" spans="2:18" s="795" customFormat="1">
      <c r="B157" s="2485"/>
      <c r="C157" s="2485"/>
      <c r="D157" s="2485"/>
      <c r="E157" s="2485"/>
      <c r="F157" s="2485"/>
      <c r="G157" s="2486"/>
      <c r="H157" s="2485"/>
      <c r="I157" s="2486"/>
      <c r="J157" s="2485"/>
      <c r="K157" s="2485"/>
      <c r="L157" s="2486"/>
      <c r="M157" s="2485"/>
      <c r="N157" s="2485"/>
      <c r="O157" s="2486"/>
      <c r="P157" s="2485"/>
      <c r="Q157" s="2485"/>
      <c r="R157" s="2487"/>
    </row>
    <row r="158" spans="2:18" s="795" customFormat="1">
      <c r="B158" s="2485"/>
      <c r="C158" s="2485"/>
      <c r="D158" s="2485"/>
      <c r="E158" s="2485"/>
      <c r="F158" s="2485"/>
      <c r="G158" s="2486"/>
      <c r="H158" s="2485"/>
      <c r="I158" s="2486"/>
      <c r="J158" s="2485"/>
      <c r="K158" s="2485"/>
      <c r="L158" s="2486"/>
      <c r="M158" s="2485"/>
      <c r="N158" s="2485"/>
      <c r="O158" s="2486"/>
      <c r="P158" s="2485"/>
      <c r="Q158" s="2485"/>
      <c r="R158" s="2487"/>
    </row>
    <row r="159" spans="2:18" s="795" customFormat="1">
      <c r="B159" s="2485"/>
      <c r="C159" s="2485"/>
      <c r="D159" s="2485"/>
      <c r="E159" s="2485"/>
      <c r="F159" s="2485"/>
      <c r="G159" s="2486"/>
      <c r="H159" s="2485"/>
      <c r="I159" s="2486"/>
      <c r="J159" s="2485"/>
      <c r="K159" s="2485"/>
      <c r="L159" s="2486"/>
      <c r="M159" s="2485"/>
      <c r="N159" s="2485"/>
      <c r="O159" s="2486"/>
      <c r="P159" s="2485"/>
      <c r="Q159" s="2485"/>
      <c r="R159" s="2487"/>
    </row>
    <row r="160" spans="2:18" s="795" customFormat="1">
      <c r="B160" s="2485"/>
      <c r="C160" s="2485"/>
      <c r="D160" s="2485"/>
      <c r="E160" s="2485"/>
      <c r="F160" s="2485"/>
      <c r="G160" s="2486"/>
      <c r="H160" s="2485"/>
      <c r="I160" s="2486"/>
      <c r="J160" s="2485"/>
      <c r="K160" s="2485"/>
      <c r="L160" s="2486"/>
      <c r="M160" s="2485"/>
      <c r="N160" s="2485"/>
      <c r="O160" s="2486"/>
      <c r="P160" s="2485"/>
      <c r="Q160" s="2485"/>
      <c r="R160" s="2487"/>
    </row>
    <row r="161" spans="2:18" s="795" customFormat="1">
      <c r="B161" s="2485"/>
      <c r="C161" s="2485"/>
      <c r="D161" s="2485"/>
      <c r="E161" s="2485"/>
      <c r="F161" s="2485"/>
      <c r="G161" s="2486"/>
      <c r="H161" s="2485"/>
      <c r="I161" s="2486"/>
      <c r="J161" s="2485"/>
      <c r="K161" s="2485"/>
      <c r="L161" s="2486"/>
      <c r="M161" s="2485"/>
      <c r="N161" s="2485"/>
      <c r="O161" s="2486"/>
      <c r="P161" s="2485"/>
      <c r="Q161" s="2485"/>
      <c r="R161" s="2487"/>
    </row>
    <row r="162" spans="2:18" s="795" customFormat="1">
      <c r="B162" s="2485"/>
      <c r="C162" s="2485"/>
      <c r="D162" s="2485"/>
      <c r="E162" s="2485"/>
      <c r="F162" s="2485"/>
      <c r="G162" s="2486"/>
      <c r="H162" s="2485"/>
      <c r="I162" s="2486"/>
      <c r="J162" s="2485"/>
      <c r="K162" s="2485"/>
      <c r="L162" s="2486"/>
      <c r="M162" s="2485"/>
      <c r="N162" s="2485"/>
      <c r="O162" s="2486"/>
      <c r="P162" s="2485"/>
      <c r="Q162" s="2485"/>
      <c r="R162" s="2487"/>
    </row>
    <row r="163" spans="2:18" s="795" customFormat="1">
      <c r="B163" s="2485"/>
      <c r="C163" s="2485"/>
      <c r="D163" s="2485"/>
      <c r="E163" s="2485"/>
      <c r="F163" s="2485"/>
      <c r="G163" s="2486"/>
      <c r="H163" s="2485"/>
      <c r="I163" s="2486"/>
      <c r="J163" s="2485"/>
      <c r="K163" s="2485"/>
      <c r="L163" s="2486"/>
      <c r="M163" s="2485"/>
      <c r="N163" s="2485"/>
      <c r="O163" s="2486"/>
      <c r="P163" s="2485"/>
      <c r="Q163" s="2485"/>
      <c r="R163" s="2487"/>
    </row>
    <row r="164" spans="2:18" s="795" customFormat="1">
      <c r="B164" s="2485"/>
      <c r="C164" s="2485"/>
      <c r="D164" s="2485"/>
      <c r="E164" s="2485"/>
      <c r="F164" s="2485"/>
      <c r="G164" s="2486"/>
      <c r="H164" s="2485"/>
      <c r="I164" s="2486"/>
      <c r="J164" s="2485"/>
      <c r="K164" s="2485"/>
      <c r="L164" s="2486"/>
      <c r="M164" s="2485"/>
      <c r="N164" s="2485"/>
      <c r="O164" s="2486"/>
      <c r="P164" s="2485"/>
      <c r="Q164" s="2485"/>
      <c r="R164" s="2487"/>
    </row>
    <row r="165" spans="2:18" s="795" customFormat="1">
      <c r="B165" s="2485"/>
      <c r="C165" s="2485"/>
      <c r="D165" s="2485"/>
      <c r="E165" s="2485"/>
      <c r="F165" s="2485"/>
      <c r="G165" s="2486"/>
      <c r="H165" s="2485"/>
      <c r="I165" s="2486"/>
      <c r="J165" s="2485"/>
      <c r="K165" s="2485"/>
      <c r="L165" s="2486"/>
      <c r="M165" s="2485"/>
      <c r="N165" s="2485"/>
      <c r="O165" s="2486"/>
      <c r="P165" s="2485"/>
      <c r="Q165" s="2485"/>
      <c r="R165" s="2487"/>
    </row>
    <row r="166" spans="2:18" s="795" customFormat="1">
      <c r="B166" s="2485"/>
      <c r="C166" s="2485"/>
      <c r="D166" s="2485"/>
      <c r="E166" s="2485"/>
      <c r="F166" s="2485"/>
      <c r="G166" s="2486"/>
      <c r="H166" s="2485"/>
      <c r="I166" s="2486"/>
      <c r="J166" s="2485"/>
      <c r="K166" s="2485"/>
      <c r="L166" s="2486"/>
      <c r="M166" s="2485"/>
      <c r="N166" s="2485"/>
      <c r="O166" s="2486"/>
      <c r="P166" s="2485"/>
      <c r="Q166" s="2485"/>
      <c r="R166" s="2487"/>
    </row>
    <row r="167" spans="2:18" s="795" customFormat="1">
      <c r="B167" s="2485"/>
      <c r="C167" s="2485"/>
      <c r="D167" s="2485"/>
      <c r="E167" s="2485"/>
      <c r="F167" s="2485"/>
      <c r="G167" s="2486"/>
      <c r="H167" s="2485"/>
      <c r="I167" s="2486"/>
      <c r="J167" s="2485"/>
      <c r="K167" s="2485"/>
      <c r="L167" s="2486"/>
      <c r="M167" s="2485"/>
      <c r="N167" s="2485"/>
      <c r="O167" s="2486"/>
      <c r="P167" s="2485"/>
      <c r="Q167" s="2485"/>
      <c r="R167" s="2487"/>
    </row>
    <row r="168" spans="2:18" s="795" customFormat="1">
      <c r="B168" s="2485"/>
      <c r="C168" s="2485"/>
      <c r="D168" s="2485"/>
      <c r="E168" s="2485"/>
      <c r="F168" s="2485"/>
      <c r="G168" s="2486"/>
      <c r="H168" s="2485"/>
      <c r="I168" s="2486"/>
      <c r="J168" s="2485"/>
      <c r="K168" s="2485"/>
      <c r="L168" s="2486"/>
      <c r="M168" s="2485"/>
      <c r="N168" s="2485"/>
      <c r="O168" s="2486"/>
      <c r="P168" s="2485"/>
      <c r="Q168" s="2485"/>
      <c r="R168" s="2487"/>
    </row>
    <row r="169" spans="2:18" s="795" customFormat="1">
      <c r="B169" s="2485"/>
      <c r="C169" s="2485"/>
      <c r="D169" s="2485"/>
      <c r="E169" s="2485"/>
      <c r="F169" s="2485"/>
      <c r="G169" s="2486"/>
      <c r="H169" s="2485"/>
      <c r="I169" s="2486"/>
      <c r="J169" s="2485"/>
      <c r="K169" s="2485"/>
      <c r="L169" s="2486"/>
      <c r="M169" s="2485"/>
      <c r="N169" s="2485"/>
      <c r="O169" s="2486"/>
      <c r="P169" s="2485"/>
      <c r="Q169" s="2485"/>
      <c r="R169" s="2487"/>
    </row>
    <row r="170" spans="2:18" s="795" customFormat="1">
      <c r="B170" s="2485"/>
      <c r="C170" s="2485"/>
      <c r="D170" s="2485"/>
      <c r="E170" s="2485"/>
      <c r="F170" s="2485"/>
      <c r="G170" s="2486"/>
      <c r="H170" s="2485"/>
      <c r="I170" s="2486"/>
      <c r="J170" s="2485"/>
      <c r="K170" s="2485"/>
      <c r="L170" s="2486"/>
      <c r="M170" s="2485"/>
      <c r="N170" s="2485"/>
      <c r="O170" s="2486"/>
      <c r="P170" s="2485"/>
      <c r="Q170" s="2485"/>
      <c r="R170" s="2487"/>
    </row>
    <row r="171" spans="2:18" s="795" customFormat="1">
      <c r="B171" s="2485"/>
      <c r="C171" s="2485"/>
      <c r="D171" s="2485"/>
      <c r="E171" s="2485"/>
      <c r="F171" s="2485"/>
      <c r="G171" s="2486"/>
      <c r="H171" s="2485"/>
      <c r="I171" s="2486"/>
      <c r="J171" s="2485"/>
      <c r="K171" s="2485"/>
      <c r="L171" s="2486"/>
      <c r="M171" s="2485"/>
      <c r="N171" s="2485"/>
      <c r="O171" s="2486"/>
      <c r="P171" s="2485"/>
      <c r="Q171" s="2485"/>
      <c r="R171" s="2487"/>
    </row>
    <row r="172" spans="2:18" s="795" customFormat="1">
      <c r="B172" s="2485"/>
      <c r="C172" s="2485"/>
      <c r="D172" s="2485"/>
      <c r="E172" s="2485"/>
      <c r="F172" s="2485"/>
      <c r="G172" s="2486"/>
      <c r="H172" s="2485"/>
      <c r="I172" s="2486"/>
      <c r="J172" s="2485"/>
      <c r="K172" s="2485"/>
      <c r="L172" s="2486"/>
      <c r="M172" s="2485"/>
      <c r="N172" s="2485"/>
      <c r="O172" s="2486"/>
      <c r="P172" s="2485"/>
      <c r="Q172" s="2485"/>
      <c r="R172" s="2487"/>
    </row>
    <row r="173" spans="2:18" s="795" customFormat="1">
      <c r="B173" s="2485"/>
      <c r="C173" s="2485"/>
      <c r="D173" s="2485"/>
      <c r="E173" s="2485"/>
      <c r="F173" s="2485"/>
      <c r="G173" s="2486"/>
      <c r="H173" s="2485"/>
      <c r="I173" s="2486"/>
      <c r="J173" s="2485"/>
      <c r="K173" s="2485"/>
      <c r="L173" s="2486"/>
      <c r="M173" s="2485"/>
      <c r="N173" s="2485"/>
      <c r="O173" s="2486"/>
      <c r="P173" s="2485"/>
      <c r="Q173" s="2485"/>
      <c r="R173" s="2487"/>
    </row>
    <row r="174" spans="2:18" s="795" customFormat="1">
      <c r="B174" s="2485"/>
      <c r="C174" s="2485"/>
      <c r="D174" s="2485"/>
      <c r="E174" s="2485"/>
      <c r="F174" s="2485"/>
      <c r="G174" s="2486"/>
      <c r="H174" s="2485"/>
      <c r="I174" s="2486"/>
      <c r="J174" s="2485"/>
      <c r="K174" s="2485"/>
      <c r="L174" s="2486"/>
      <c r="M174" s="2485"/>
      <c r="N174" s="2485"/>
      <c r="O174" s="2486"/>
      <c r="P174" s="2485"/>
      <c r="Q174" s="2485"/>
      <c r="R174" s="2487"/>
    </row>
    <row r="175" spans="2:18" s="795" customFormat="1">
      <c r="B175" s="2485"/>
      <c r="C175" s="2485"/>
      <c r="D175" s="2485"/>
      <c r="E175" s="2485"/>
      <c r="F175" s="2485"/>
      <c r="G175" s="2486"/>
      <c r="H175" s="2485"/>
      <c r="I175" s="2486"/>
      <c r="J175" s="2485"/>
      <c r="K175" s="2485"/>
      <c r="L175" s="2486"/>
      <c r="M175" s="2485"/>
      <c r="N175" s="2485"/>
      <c r="O175" s="2486"/>
      <c r="P175" s="2485"/>
      <c r="Q175" s="2485"/>
      <c r="R175" s="2487"/>
    </row>
    <row r="176" spans="2:18" s="795" customFormat="1">
      <c r="B176" s="2485"/>
      <c r="C176" s="2485"/>
      <c r="D176" s="2485"/>
      <c r="E176" s="2485"/>
      <c r="F176" s="2485"/>
      <c r="G176" s="2486"/>
      <c r="H176" s="2485"/>
      <c r="I176" s="2486"/>
      <c r="J176" s="2485"/>
      <c r="K176" s="2485"/>
      <c r="L176" s="2486"/>
      <c r="M176" s="2485"/>
      <c r="N176" s="2485"/>
      <c r="O176" s="2486"/>
      <c r="P176" s="2485"/>
      <c r="Q176" s="2485"/>
      <c r="R176" s="2487"/>
    </row>
    <row r="177" spans="1:18" s="795" customFormat="1">
      <c r="B177" s="2485"/>
      <c r="C177" s="2485"/>
      <c r="D177" s="2485"/>
      <c r="E177" s="2485"/>
      <c r="F177" s="2485"/>
      <c r="G177" s="2486"/>
      <c r="H177" s="2485"/>
      <c r="I177" s="2486"/>
      <c r="J177" s="2485"/>
      <c r="K177" s="2485"/>
      <c r="L177" s="2486"/>
      <c r="M177" s="2485"/>
      <c r="N177" s="2485"/>
      <c r="O177" s="2486"/>
      <c r="P177" s="2485"/>
      <c r="Q177" s="2485"/>
      <c r="R177" s="2487"/>
    </row>
    <row r="178" spans="1:18" s="795" customFormat="1">
      <c r="B178" s="2485"/>
      <c r="C178" s="2485"/>
      <c r="D178" s="2485"/>
      <c r="E178" s="2485"/>
      <c r="F178" s="2485"/>
      <c r="G178" s="2486"/>
      <c r="H178" s="2485"/>
      <c r="I178" s="2486"/>
      <c r="J178" s="2485"/>
      <c r="K178" s="2485"/>
      <c r="L178" s="2486"/>
      <c r="M178" s="2485"/>
      <c r="N178" s="2485"/>
      <c r="O178" s="2486"/>
      <c r="P178" s="2485"/>
      <c r="Q178" s="2485"/>
      <c r="R178" s="2487"/>
    </row>
    <row r="179" spans="1:18" s="795" customFormat="1">
      <c r="B179" s="2485"/>
      <c r="C179" s="2485"/>
      <c r="D179" s="2485"/>
      <c r="E179" s="2485"/>
      <c r="F179" s="2485"/>
      <c r="G179" s="2486"/>
      <c r="H179" s="2485"/>
      <c r="I179" s="2486"/>
      <c r="J179" s="2485"/>
      <c r="K179" s="2485"/>
      <c r="L179" s="2486"/>
      <c r="M179" s="2485"/>
      <c r="N179" s="2485"/>
      <c r="O179" s="2486"/>
      <c r="P179" s="2485"/>
      <c r="Q179" s="2485"/>
      <c r="R179" s="2487"/>
    </row>
    <row r="180" spans="1:18" s="795" customFormat="1">
      <c r="B180" s="2485"/>
      <c r="C180" s="2485"/>
      <c r="D180" s="2485"/>
      <c r="E180" s="2485"/>
      <c r="F180" s="2485"/>
      <c r="G180" s="2486"/>
      <c r="H180" s="2485"/>
      <c r="I180" s="2486"/>
      <c r="J180" s="2485"/>
      <c r="K180" s="2485"/>
      <c r="L180" s="2486"/>
      <c r="M180" s="2485"/>
      <c r="N180" s="2485"/>
      <c r="O180" s="2486"/>
      <c r="P180" s="2485"/>
      <c r="Q180" s="2485"/>
      <c r="R180" s="2487"/>
    </row>
    <row r="181" spans="1:18" s="795" customFormat="1">
      <c r="B181" s="2485"/>
      <c r="C181" s="2485"/>
      <c r="D181" s="2485"/>
      <c r="E181" s="2485"/>
      <c r="F181" s="2485"/>
      <c r="G181" s="2486"/>
      <c r="H181" s="2485"/>
      <c r="I181" s="2486"/>
      <c r="J181" s="2485"/>
      <c r="K181" s="2485"/>
      <c r="L181" s="2486"/>
      <c r="M181" s="2485"/>
      <c r="N181" s="2485"/>
      <c r="O181" s="2486"/>
      <c r="P181" s="2485"/>
      <c r="Q181" s="2485"/>
      <c r="R181" s="2487"/>
    </row>
    <row r="182" spans="1:18" s="795" customFormat="1">
      <c r="B182" s="2485"/>
      <c r="C182" s="2485"/>
      <c r="D182" s="2485"/>
      <c r="E182" s="2485"/>
      <c r="F182" s="2485"/>
      <c r="G182" s="2486"/>
      <c r="H182" s="2485"/>
      <c r="I182" s="2486"/>
      <c r="J182" s="2485"/>
      <c r="K182" s="2485"/>
      <c r="L182" s="2486"/>
      <c r="M182" s="2485"/>
      <c r="N182" s="2485"/>
      <c r="O182" s="2486"/>
      <c r="P182" s="2485"/>
      <c r="Q182" s="2485"/>
      <c r="R182" s="2487"/>
    </row>
    <row r="183" spans="1:18" s="795" customFormat="1">
      <c r="B183" s="2485"/>
      <c r="C183" s="2485"/>
      <c r="D183" s="2485"/>
      <c r="E183" s="2485"/>
      <c r="F183" s="2485"/>
      <c r="G183" s="2486"/>
      <c r="H183" s="2485"/>
      <c r="I183" s="2486"/>
      <c r="J183" s="2485"/>
      <c r="K183" s="2485"/>
      <c r="L183" s="2486"/>
      <c r="M183" s="2485"/>
      <c r="N183" s="2485"/>
      <c r="O183" s="2486"/>
      <c r="P183" s="2485"/>
      <c r="Q183" s="2485"/>
      <c r="R183" s="2487"/>
    </row>
    <row r="184" spans="1:18" s="795" customFormat="1">
      <c r="B184" s="2485"/>
      <c r="C184" s="2485"/>
      <c r="D184" s="2485"/>
      <c r="E184" s="2485"/>
      <c r="F184" s="2485"/>
      <c r="G184" s="2486"/>
      <c r="H184" s="2485"/>
      <c r="I184" s="2486"/>
      <c r="J184" s="2485"/>
      <c r="K184" s="2485"/>
      <c r="L184" s="2486"/>
      <c r="M184" s="2485"/>
      <c r="N184" s="2485"/>
      <c r="O184" s="2486"/>
      <c r="P184" s="2485"/>
      <c r="Q184" s="2485"/>
      <c r="R184" s="2487"/>
    </row>
    <row r="185" spans="1:18" s="795"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5"/>
      <c r="B186" s="2485"/>
      <c r="C186" s="2485"/>
      <c r="E186" s="2485"/>
      <c r="F186" s="2485"/>
      <c r="G186" s="2486"/>
    </row>
    <row r="187" spans="1:18">
      <c r="A187" s="795"/>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41" sqref="H41"/>
    </sheetView>
  </sheetViews>
  <sheetFormatPr defaultColWidth="9" defaultRowHeight="13.5"/>
  <cols>
    <col min="1" max="1" width="25" style="2507" customWidth="1"/>
    <col min="2" max="9" width="15.75" style="2507" customWidth="1"/>
    <col min="10" max="16384" width="9" style="2507"/>
  </cols>
  <sheetData>
    <row r="1" spans="1:11" ht="16.5">
      <c r="A1" s="2506" t="s">
        <v>661</v>
      </c>
      <c r="B1" s="2506">
        <f>SUM(B14:B23)</f>
        <v>680.04</v>
      </c>
      <c r="C1" s="2679"/>
      <c r="D1" s="2679"/>
      <c r="E1" s="2679"/>
      <c r="F1" s="2679"/>
      <c r="G1" s="2680"/>
      <c r="H1" s="2681"/>
      <c r="I1" s="2681"/>
      <c r="J1" s="2681"/>
      <c r="K1" s="2681"/>
    </row>
    <row r="2" spans="1:11" ht="16.5">
      <c r="A2" s="2506" t="s">
        <v>649</v>
      </c>
      <c r="B2" s="2506">
        <f>SUM(C14:C23)</f>
        <v>0</v>
      </c>
      <c r="C2" s="2679"/>
      <c r="D2" s="2679"/>
      <c r="E2" s="2679"/>
      <c r="F2" s="2679"/>
      <c r="G2" s="2680"/>
      <c r="H2" s="2681"/>
      <c r="I2" s="2681"/>
      <c r="J2" s="2681"/>
      <c r="K2" s="2681"/>
    </row>
    <row r="3" spans="1:11" ht="16.5">
      <c r="A3" s="2506" t="s">
        <v>658</v>
      </c>
      <c r="B3" s="2508">
        <f>项目基本情况!D3</f>
        <v>45034</v>
      </c>
      <c r="C3" s="2679"/>
      <c r="D3" s="2679"/>
      <c r="E3" s="2679"/>
      <c r="F3" s="2679"/>
      <c r="G3" s="2680"/>
      <c r="H3" s="2681"/>
      <c r="I3" s="2681"/>
      <c r="J3" s="2681"/>
      <c r="K3" s="2681"/>
    </row>
    <row r="4" spans="1:11" ht="33">
      <c r="A4" s="2506" t="s">
        <v>657</v>
      </c>
      <c r="B4" s="2506" t="s">
        <v>656</v>
      </c>
      <c r="C4" s="2506" t="s">
        <v>655</v>
      </c>
      <c r="D4" s="2506" t="s">
        <v>654</v>
      </c>
      <c r="E4" s="2679"/>
      <c r="F4" s="2680"/>
      <c r="G4" s="2680"/>
      <c r="H4" s="2681"/>
      <c r="I4" s="2681"/>
      <c r="J4" s="2681"/>
      <c r="K4" s="2681"/>
    </row>
    <row r="5" spans="1:11" ht="16.5">
      <c r="A5" s="2506" t="s">
        <v>653</v>
      </c>
      <c r="B5" s="2506">
        <f ca="1">SUM(D14:D23)</f>
        <v>1715</v>
      </c>
      <c r="C5" s="2506">
        <f ca="1">IF(B5=D14,结果表501!H102,ROUND(B5*10000/$B$1,0))</f>
        <v>25219</v>
      </c>
      <c r="D5" s="2506" t="e">
        <f ca="1">ROUND(B5*10000/$B$2,0)</f>
        <v>#DIV/0!</v>
      </c>
      <c r="E5" s="2679"/>
      <c r="F5" s="2680"/>
      <c r="G5" s="2680"/>
      <c r="H5" s="2681"/>
      <c r="I5" s="2681"/>
      <c r="J5" s="2681"/>
      <c r="K5" s="2681"/>
    </row>
    <row r="6" spans="1:11" ht="16.5">
      <c r="A6" s="2506" t="s">
        <v>652</v>
      </c>
      <c r="B6" s="2506">
        <f ca="1">SUM(G14:G23)</f>
        <v>1715</v>
      </c>
      <c r="C6" s="2506">
        <f ca="1">IF(B6=G14,结果表501!H108,ROUND(B6*10000/$B$1,0))</f>
        <v>25219</v>
      </c>
      <c r="D6" s="2506" t="e">
        <f ca="1">ROUND(B6*10000/$B$2,0)</f>
        <v>#DIV/0!</v>
      </c>
      <c r="E6" s="2679"/>
      <c r="F6" s="2680"/>
      <c r="G6" s="2680"/>
      <c r="H6" s="2681"/>
      <c r="I6" s="2681"/>
      <c r="J6" s="2681"/>
      <c r="K6" s="2681"/>
    </row>
    <row r="7" spans="1:11" ht="16.5">
      <c r="A7" s="2506" t="s">
        <v>660</v>
      </c>
      <c r="B7" s="2506">
        <f>SUM(H14:H23)</f>
        <v>0</v>
      </c>
      <c r="C7" s="2506" t="str">
        <f>IF(B7=H14,结果表501!H110,ROUND(B7*10000/$B$1,0))</f>
        <v>——</v>
      </c>
      <c r="D7" s="2506" t="e">
        <f>ROUND(B7*10000/$B$2,0)</f>
        <v>#DIV/0!</v>
      </c>
      <c r="E7" s="2679"/>
      <c r="F7" s="2680"/>
      <c r="G7" s="2680"/>
      <c r="H7" s="2681"/>
      <c r="I7" s="2681"/>
      <c r="J7" s="2681"/>
      <c r="K7" s="2681"/>
    </row>
    <row r="8" spans="1:11" ht="16.5">
      <c r="A8" s="2506" t="s">
        <v>586</v>
      </c>
      <c r="B8" s="2506">
        <f>SUM(I14:I23)</f>
        <v>0</v>
      </c>
      <c r="C8" s="2506" t="str">
        <f>IF(B8=I14,结果表501!H112,ROUND(B8*10000/$B$1,0))</f>
        <v>——</v>
      </c>
      <c r="D8" s="2506" t="e">
        <f>ROUND(B8*10000/$B$2,0)</f>
        <v>#DIV/0!</v>
      </c>
      <c r="E8" s="2679"/>
      <c r="F8" s="2680"/>
      <c r="G8" s="2680"/>
      <c r="H8" s="2681"/>
      <c r="I8" s="2681"/>
      <c r="J8" s="2681"/>
      <c r="K8" s="2681"/>
    </row>
    <row r="9" spans="1:11" ht="16.5">
      <c r="A9" s="2506" t="s">
        <v>651</v>
      </c>
      <c r="B9" s="2514"/>
      <c r="C9" s="2679"/>
      <c r="D9" s="2679"/>
      <c r="E9" s="2679"/>
      <c r="F9" s="2680"/>
      <c r="G9" s="2680"/>
      <c r="H9" s="2681"/>
      <c r="I9" s="2681"/>
      <c r="J9" s="2681"/>
      <c r="K9" s="2681"/>
    </row>
    <row r="10" spans="1:11" ht="16.5">
      <c r="A10" s="2506" t="s">
        <v>650</v>
      </c>
      <c r="B10" s="2506">
        <f>IF(E10="",0,ROUND(B1*(E10*365/G10)/10000,0))</f>
        <v>0</v>
      </c>
      <c r="C10" s="2506" t="s">
        <v>3358</v>
      </c>
      <c r="D10" s="2506" t="s">
        <v>3359</v>
      </c>
      <c r="E10" s="3433"/>
      <c r="F10" s="3437" t="s">
        <v>3360</v>
      </c>
      <c r="G10" s="3434"/>
      <c r="H10" s="2681"/>
      <c r="I10" s="2681"/>
      <c r="J10" s="2681"/>
      <c r="K10" s="2681"/>
    </row>
    <row r="11" spans="1:11" ht="16.5">
      <c r="A11" s="2506" t="s">
        <v>666</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665</v>
      </c>
      <c r="B13" s="2510" t="s">
        <v>662</v>
      </c>
      <c r="C13" s="2510" t="s">
        <v>664</v>
      </c>
      <c r="D13" s="2510" t="s">
        <v>663</v>
      </c>
      <c r="E13" s="2506" t="s">
        <v>655</v>
      </c>
      <c r="F13" s="2506" t="s">
        <v>654</v>
      </c>
      <c r="G13" s="2510" t="s">
        <v>648</v>
      </c>
      <c r="H13" s="2510" t="s">
        <v>659</v>
      </c>
      <c r="I13" s="2510" t="s">
        <v>647</v>
      </c>
      <c r="J13" s="2680"/>
      <c r="K13" s="2681"/>
    </row>
    <row r="14" spans="1:11" ht="16.5">
      <c r="A14" s="2511">
        <v>501</v>
      </c>
      <c r="B14" s="2512">
        <f>结果表501!B118</f>
        <v>218.26</v>
      </c>
      <c r="C14" s="2512"/>
      <c r="D14" s="2512">
        <f ca="1">结果表501!H118</f>
        <v>548</v>
      </c>
      <c r="E14" s="2512">
        <f ca="1">ROUND(D14*10000/B14,0)</f>
        <v>25108</v>
      </c>
      <c r="F14" s="2512" t="e">
        <f ca="1">ROUND(D14*10000/C14,0)</f>
        <v>#DIV/0!</v>
      </c>
      <c r="G14" s="2512">
        <f ca="1">D14</f>
        <v>548</v>
      </c>
      <c r="H14" s="2512"/>
      <c r="I14" s="2512"/>
      <c r="J14" s="2680"/>
      <c r="K14" s="2681"/>
    </row>
    <row r="15" spans="1:11" ht="16.5">
      <c r="A15" s="2511">
        <v>502</v>
      </c>
      <c r="B15" s="2513">
        <f>结果表502!B118</f>
        <v>115.33</v>
      </c>
      <c r="C15" s="2513"/>
      <c r="D15" s="2513">
        <f ca="1">结果表502!H118</f>
        <v>290</v>
      </c>
      <c r="E15" s="2512">
        <f t="shared" ref="E15:E23" ca="1" si="0">ROUND(D15*10000/B15,0)</f>
        <v>25145</v>
      </c>
      <c r="F15" s="2512" t="e">
        <f t="shared" ref="F15:F23" ca="1" si="1">ROUND(D15*10000/C15,0)</f>
        <v>#DIV/0!</v>
      </c>
      <c r="G15" s="1327">
        <f ca="1">结果表502!H118</f>
        <v>290</v>
      </c>
      <c r="H15" s="1327"/>
      <c r="I15" s="2513"/>
      <c r="J15" s="2680"/>
      <c r="K15" s="2681"/>
    </row>
    <row r="16" spans="1:11" ht="16.5">
      <c r="A16" s="2511">
        <v>503</v>
      </c>
      <c r="B16" s="2513">
        <f>结果表503!B118</f>
        <v>346.45</v>
      </c>
      <c r="C16" s="2513"/>
      <c r="D16" s="2513">
        <f ca="1">结果表503!H118</f>
        <v>877</v>
      </c>
      <c r="E16" s="2512">
        <f t="shared" ca="1" si="0"/>
        <v>25314</v>
      </c>
      <c r="F16" s="2512" t="e">
        <f t="shared" ca="1" si="1"/>
        <v>#DIV/0!</v>
      </c>
      <c r="G16" s="1327">
        <f ca="1">结果表503!H118</f>
        <v>877</v>
      </c>
      <c r="H16" s="1327"/>
      <c r="I16" s="2513"/>
      <c r="J16" s="2681"/>
      <c r="K16" s="2681"/>
    </row>
    <row r="17" spans="1:11" ht="16.5">
      <c r="A17" s="2511" t="s">
        <v>646</v>
      </c>
      <c r="B17" s="2513"/>
      <c r="C17" s="2513"/>
      <c r="D17" s="2513"/>
      <c r="E17" s="2512" t="e">
        <f t="shared" si="0"/>
        <v>#DIV/0!</v>
      </c>
      <c r="F17" s="2512" t="e">
        <f t="shared" si="1"/>
        <v>#DIV/0!</v>
      </c>
      <c r="G17" s="1327"/>
      <c r="H17" s="1327"/>
      <c r="I17" s="2513"/>
      <c r="J17" s="2681"/>
      <c r="K17" s="2681"/>
    </row>
    <row r="18" spans="1:11" ht="16.5">
      <c r="A18" s="2511" t="s">
        <v>645</v>
      </c>
      <c r="B18" s="2513"/>
      <c r="C18" s="2513"/>
      <c r="D18" s="2513"/>
      <c r="E18" s="2512" t="e">
        <f t="shared" si="0"/>
        <v>#DIV/0!</v>
      </c>
      <c r="F18" s="2512" t="e">
        <f t="shared" si="1"/>
        <v>#DIV/0!</v>
      </c>
      <c r="G18" s="2513"/>
      <c r="H18" s="2513"/>
      <c r="I18" s="2513"/>
      <c r="J18" s="2681"/>
      <c r="K18" s="2681"/>
    </row>
    <row r="19" spans="1:11" ht="16.5">
      <c r="A19" s="2511" t="s">
        <v>644</v>
      </c>
      <c r="B19" s="2513"/>
      <c r="C19" s="2513"/>
      <c r="D19" s="2513"/>
      <c r="E19" s="2512" t="e">
        <f t="shared" si="0"/>
        <v>#DIV/0!</v>
      </c>
      <c r="F19" s="2512" t="e">
        <f t="shared" si="1"/>
        <v>#DIV/0!</v>
      </c>
      <c r="G19" s="2513"/>
      <c r="H19" s="2513"/>
      <c r="I19" s="2513"/>
      <c r="J19" s="2681"/>
      <c r="K19" s="2681"/>
    </row>
    <row r="20" spans="1:11" ht="16.5">
      <c r="A20" s="2511" t="s">
        <v>643</v>
      </c>
      <c r="B20" s="2513"/>
      <c r="C20" s="2513"/>
      <c r="D20" s="2513"/>
      <c r="E20" s="2512" t="e">
        <f t="shared" si="0"/>
        <v>#DIV/0!</v>
      </c>
      <c r="F20" s="2512" t="e">
        <f t="shared" si="1"/>
        <v>#DIV/0!</v>
      </c>
      <c r="G20" s="2513"/>
      <c r="H20" s="2513"/>
      <c r="I20" s="2513"/>
      <c r="J20" s="2681"/>
      <c r="K20" s="2681"/>
    </row>
    <row r="21" spans="1:11" ht="16.5">
      <c r="A21" s="2511" t="s">
        <v>642</v>
      </c>
      <c r="B21" s="2513"/>
      <c r="C21" s="2513"/>
      <c r="D21" s="2513"/>
      <c r="E21" s="2512" t="e">
        <f t="shared" si="0"/>
        <v>#DIV/0!</v>
      </c>
      <c r="F21" s="2512" t="e">
        <f t="shared" si="1"/>
        <v>#DIV/0!</v>
      </c>
      <c r="G21" s="2513"/>
      <c r="H21" s="2513"/>
      <c r="I21" s="2513"/>
      <c r="J21" s="2681"/>
      <c r="K21" s="2681"/>
    </row>
    <row r="22" spans="1:11" ht="16.5">
      <c r="A22" s="2511" t="s">
        <v>641</v>
      </c>
      <c r="B22" s="2513"/>
      <c r="C22" s="2513"/>
      <c r="D22" s="2513"/>
      <c r="E22" s="2512" t="e">
        <f t="shared" si="0"/>
        <v>#DIV/0!</v>
      </c>
      <c r="F22" s="2512" t="e">
        <f t="shared" si="1"/>
        <v>#DIV/0!</v>
      </c>
      <c r="G22" s="2513"/>
      <c r="H22" s="2513"/>
      <c r="I22" s="2513"/>
      <c r="J22" s="2681"/>
      <c r="K22" s="2681"/>
    </row>
    <row r="23" spans="1:11" ht="16.5">
      <c r="A23" s="2511" t="s">
        <v>640</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F55" sqref="F55"/>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1257</v>
      </c>
      <c r="B1" s="1743"/>
      <c r="C1" s="1744">
        <v>501</v>
      </c>
      <c r="D1" s="1743"/>
      <c r="E1" s="1743"/>
      <c r="F1" s="1745" t="s">
        <v>1258</v>
      </c>
      <c r="G1" s="1557" t="s">
        <v>3444</v>
      </c>
      <c r="H1" s="1746" t="str">
        <f>IF(G1="现房","——","估价对象范围")</f>
        <v>——</v>
      </c>
      <c r="I1" s="1747"/>
    </row>
    <row r="2" spans="1:12" ht="21.75" customHeight="1" thickBot="1">
      <c r="A2" s="3648" t="str">
        <f>项目基本情况!S2</f>
        <v>北京市金星西路501房地产</v>
      </c>
      <c r="B2" s="3649"/>
      <c r="C2" s="3649"/>
      <c r="D2" s="3649"/>
      <c r="E2" s="3649"/>
      <c r="F2" s="3649"/>
      <c r="G2" s="3649"/>
      <c r="H2" s="3649"/>
      <c r="I2" s="3650"/>
    </row>
    <row r="3" spans="1:12" ht="12.75">
      <c r="A3" s="3652" t="s">
        <v>1259</v>
      </c>
      <c r="B3" s="3653"/>
      <c r="C3" s="3653"/>
      <c r="D3" s="3653"/>
      <c r="E3" s="3653"/>
      <c r="F3" s="3653"/>
      <c r="G3" s="3653"/>
      <c r="H3" s="3653"/>
      <c r="I3" s="3653"/>
    </row>
    <row r="4" spans="1:12" ht="14.25">
      <c r="A4" s="1750" t="s">
        <v>1260</v>
      </c>
      <c r="B4" s="1751" t="s">
        <v>1261</v>
      </c>
      <c r="C4" s="1752" t="s">
        <v>3436</v>
      </c>
      <c r="D4" s="1752" t="s">
        <v>3430</v>
      </c>
      <c r="E4" s="3657" t="s">
        <v>1262</v>
      </c>
      <c r="F4" s="3658"/>
      <c r="G4" s="3658"/>
      <c r="H4" s="3658"/>
      <c r="I4" s="3659"/>
      <c r="K4" s="146" t="str">
        <f>IF(ISNUMBER(FIND("比较法",结果表501!C4)),"比较法",IF(ISNUMBER(FIND("成本法",结果表501!C4)),"成本法",IF(ISNUMBER(FIND("假设开发法",结果表501!C4)),"假设开发法",IF(ISNUMBER(FIND("收益法",结果表501!C4)),"收益法","基准地价系数修正法"))))</f>
        <v>比较法</v>
      </c>
      <c r="L4" s="146" t="str">
        <f>IF(ISNUMBER(FIND("比较法",结果表501!D4)),"比较法",IF(ISNUMBER(FIND("成本法",结果表501!D4)),"成本法",IF(ISNUMBER(FIND("假设开发法",结果表501!D4)),"假设开发法",IF(ISNUMBER(FIND("收益法",结果表501!D4)),"收益法","基准地价系数修正法"))))</f>
        <v>收益法</v>
      </c>
    </row>
    <row r="5" spans="1:12" ht="12.75">
      <c r="A5" s="3596" t="s">
        <v>1263</v>
      </c>
      <c r="B5" s="3651">
        <v>25</v>
      </c>
      <c r="C5" s="3654"/>
      <c r="D5" s="3642"/>
      <c r="E5" s="131" t="s">
        <v>1264</v>
      </c>
      <c r="F5" s="1753"/>
      <c r="G5" s="1753"/>
      <c r="H5" s="1753"/>
      <c r="I5" s="1369"/>
    </row>
    <row r="6" spans="1:12" ht="12.75">
      <c r="A6" s="3596"/>
      <c r="B6" s="3651"/>
      <c r="C6" s="3656"/>
      <c r="D6" s="3642"/>
      <c r="E6" s="131" t="s">
        <v>1265</v>
      </c>
      <c r="F6" s="1753"/>
      <c r="G6" s="1753"/>
      <c r="H6" s="1753"/>
      <c r="I6" s="1369"/>
    </row>
    <row r="7" spans="1:12" ht="12.75">
      <c r="A7" s="3596"/>
      <c r="B7" s="3651"/>
      <c r="C7" s="3655"/>
      <c r="D7" s="3642"/>
      <c r="E7" s="131" t="s">
        <v>1266</v>
      </c>
      <c r="F7" s="1753"/>
      <c r="G7" s="1753"/>
      <c r="H7" s="1753"/>
      <c r="I7" s="1369"/>
    </row>
    <row r="8" spans="1:12" ht="12.75">
      <c r="A8" s="3596" t="s">
        <v>1267</v>
      </c>
      <c r="B8" s="3651">
        <v>15</v>
      </c>
      <c r="C8" s="3654"/>
      <c r="D8" s="3642"/>
      <c r="E8" s="131" t="s">
        <v>1268</v>
      </c>
      <c r="F8" s="1753"/>
      <c r="G8" s="1753"/>
      <c r="H8" s="1753"/>
      <c r="I8" s="1369"/>
    </row>
    <row r="9" spans="1:12" ht="12.75">
      <c r="A9" s="3596"/>
      <c r="B9" s="3651"/>
      <c r="C9" s="3655"/>
      <c r="D9" s="3642"/>
      <c r="E9" s="131" t="s">
        <v>1269</v>
      </c>
      <c r="F9" s="1753"/>
      <c r="G9" s="1753"/>
      <c r="H9" s="1753"/>
      <c r="I9" s="1369"/>
    </row>
    <row r="10" spans="1:12" ht="12.75">
      <c r="A10" s="3596" t="s">
        <v>1270</v>
      </c>
      <c r="B10" s="3651">
        <v>15</v>
      </c>
      <c r="C10" s="3654"/>
      <c r="D10" s="3642"/>
      <c r="E10" s="131" t="s">
        <v>1271</v>
      </c>
      <c r="F10" s="1753"/>
      <c r="G10" s="1753"/>
      <c r="H10" s="1753"/>
      <c r="I10" s="1369"/>
    </row>
    <row r="11" spans="1:12" ht="12.75">
      <c r="A11" s="3596"/>
      <c r="B11" s="3651"/>
      <c r="C11" s="3655"/>
      <c r="D11" s="3642"/>
      <c r="E11" s="131" t="s">
        <v>1272</v>
      </c>
      <c r="F11" s="1753"/>
      <c r="G11" s="1753"/>
      <c r="H11" s="1753"/>
      <c r="I11" s="1369"/>
    </row>
    <row r="12" spans="1:12" ht="12.75">
      <c r="A12" s="3596" t="s">
        <v>1273</v>
      </c>
      <c r="B12" s="3651">
        <v>15</v>
      </c>
      <c r="C12" s="3654"/>
      <c r="D12" s="3642"/>
      <c r="E12" s="131" t="s">
        <v>1274</v>
      </c>
      <c r="F12" s="1753"/>
      <c r="G12" s="1753"/>
      <c r="H12" s="1753"/>
      <c r="I12" s="1369"/>
    </row>
    <row r="13" spans="1:12" ht="12.75">
      <c r="A13" s="3596"/>
      <c r="B13" s="3651"/>
      <c r="C13" s="3655"/>
      <c r="D13" s="3642"/>
      <c r="E13" s="131" t="s">
        <v>1275</v>
      </c>
      <c r="F13" s="1753"/>
      <c r="G13" s="1753"/>
      <c r="H13" s="1753"/>
      <c r="I13" s="1369"/>
    </row>
    <row r="14" spans="1:12" ht="12.75">
      <c r="A14" s="3596" t="s">
        <v>1276</v>
      </c>
      <c r="B14" s="3651">
        <v>30</v>
      </c>
      <c r="C14" s="3654">
        <v>7</v>
      </c>
      <c r="D14" s="3642">
        <v>3</v>
      </c>
      <c r="E14" s="131" t="s">
        <v>1277</v>
      </c>
      <c r="F14" s="1753"/>
      <c r="G14" s="1753"/>
      <c r="H14" s="1753"/>
      <c r="I14" s="1369"/>
    </row>
    <row r="15" spans="1:12" ht="12.75">
      <c r="A15" s="3596"/>
      <c r="B15" s="3651"/>
      <c r="C15" s="3656"/>
      <c r="D15" s="3642"/>
      <c r="E15" s="131" t="s">
        <v>1278</v>
      </c>
      <c r="F15" s="1753"/>
      <c r="G15" s="1753"/>
      <c r="H15" s="1753"/>
      <c r="I15" s="1369"/>
    </row>
    <row r="16" spans="1:12" ht="12.75">
      <c r="A16" s="3596"/>
      <c r="B16" s="3651"/>
      <c r="C16" s="3655"/>
      <c r="D16" s="3642"/>
      <c r="E16" s="131" t="s">
        <v>1279</v>
      </c>
      <c r="F16" s="1753"/>
      <c r="G16" s="1753"/>
      <c r="H16" s="1753"/>
      <c r="I16" s="1369"/>
    </row>
    <row r="17" spans="1:36" ht="15">
      <c r="A17" s="1754" t="s">
        <v>1280</v>
      </c>
      <c r="B17" s="56"/>
      <c r="C17" s="132">
        <f>SUM(C5:C16)</f>
        <v>7</v>
      </c>
      <c r="D17" s="132">
        <f>SUM(D5:D16)</f>
        <v>3</v>
      </c>
      <c r="E17" s="129"/>
      <c r="F17" s="129"/>
      <c r="G17" s="129"/>
      <c r="H17" s="129"/>
      <c r="I17" s="129"/>
      <c r="K17" s="302"/>
      <c r="L17" s="302" t="s">
        <v>1281</v>
      </c>
      <c r="M17" s="302" t="s">
        <v>1282</v>
      </c>
    </row>
    <row r="18" spans="1:36" ht="31.9" customHeight="1" thickBot="1">
      <c r="A18" s="1755" t="s">
        <v>1283</v>
      </c>
      <c r="B18" s="1756"/>
      <c r="C18" s="133">
        <f>ROUND(C17/SUM(C17:D17),2)</f>
        <v>0.7</v>
      </c>
      <c r="D18" s="133">
        <f>1-C18</f>
        <v>0.30000000000000004</v>
      </c>
      <c r="E18" s="3673" t="s">
        <v>2126</v>
      </c>
      <c r="F18" s="3674"/>
      <c r="G18" s="3674"/>
      <c r="H18" s="3674"/>
      <c r="I18" s="3674"/>
      <c r="K18" s="302" t="s">
        <v>1284</v>
      </c>
      <c r="L18" s="302">
        <f>IF(C1="",'数据-汇总表'!E3,SUMIF(项目类型,C1,'数据-汇总表'!E17:E26)+SUMIF(项目类型,C1,'数据-汇总表'!I17:I26))</f>
        <v>218.26</v>
      </c>
      <c r="M18" s="302">
        <f>IF(C1="",'数据-汇总表'!E3,SUMIF(项目类型,C1,'数据-汇总表'!E17:E26))</f>
        <v>218.26</v>
      </c>
    </row>
    <row r="19" spans="1:36" ht="15">
      <c r="A19" s="1757" t="s">
        <v>1285</v>
      </c>
      <c r="B19" s="1758" t="s">
        <v>1286</v>
      </c>
      <c r="C19" s="134">
        <f ca="1">SUMIF(INDIRECT("'"&amp;C4&amp;"'"&amp;"!A:A"),结果表501!B19,INDIRECT("'"&amp;C4&amp;"'"&amp;"!B:B"))</f>
        <v>593.25250000000005</v>
      </c>
      <c r="D19" s="135">
        <f ca="1">SUMIF(INDIRECT("'"&amp;D4&amp;"'"&amp;"!A:A"),结果表501!B19,INDIRECT("'"&amp;D4&amp;"'"&amp;"!B:B"))</f>
        <v>443.40690000000001</v>
      </c>
      <c r="E19" s="1757" t="s">
        <v>1287</v>
      </c>
      <c r="F19" s="1758" t="s">
        <v>1286</v>
      </c>
      <c r="G19" s="136">
        <f ca="1">ROUND(C19*$C$18+D19*$D$18,0)</f>
        <v>548</v>
      </c>
      <c r="H19" s="1759"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0"/>
      <c r="B20" s="1022" t="s">
        <v>1290</v>
      </c>
      <c r="C20" s="137">
        <f ca="1">SUMIF(INDIRECT("'"&amp;C4&amp;"'"&amp;"!A:A"),结果表501!B20,INDIRECT("'"&amp;C4&amp;"'"&amp;"!B:B"))</f>
        <v>27181</v>
      </c>
      <c r="D20" s="138">
        <f ca="1">SUMIF(INDIRECT("'"&amp;D4&amp;"'"&amp;"!A:A"),结果表501!B20,INDIRECT("'"&amp;D4&amp;"'"&amp;"!B:B"))</f>
        <v>20316</v>
      </c>
      <c r="E20" s="1760"/>
      <c r="F20" s="1022" t="s">
        <v>1290</v>
      </c>
      <c r="G20" s="139">
        <f ca="1">ROUND(C20*$C$18+D20*$D$18,0)</f>
        <v>25122</v>
      </c>
      <c r="H20" s="804" t="s">
        <v>1291</v>
      </c>
      <c r="I20" s="129"/>
    </row>
    <row r="21" spans="1:36" ht="15" customHeight="1" thickBot="1">
      <c r="A21" s="824"/>
      <c r="B21" s="1761" t="s">
        <v>1292</v>
      </c>
      <c r="C21" s="719" t="e">
        <f ca="1">ROUND(C19*10000/L19,0)</f>
        <v>#DIV/0!</v>
      </c>
      <c r="D21" s="720" t="e">
        <f ca="1">ROUND(D19*10000/L19,0)</f>
        <v>#DIV/0!</v>
      </c>
      <c r="E21" s="824"/>
      <c r="F21" s="1761" t="s">
        <v>1292</v>
      </c>
      <c r="G21" s="140" t="e">
        <f ca="1">ROUND(G19*10000/L19,0)</f>
        <v>#DIV/0!</v>
      </c>
      <c r="H21" s="1762" t="s">
        <v>1291</v>
      </c>
      <c r="I21" s="129"/>
    </row>
    <row r="22" spans="1:36" ht="15" thickBot="1">
      <c r="A22" s="1684" t="s">
        <v>1293</v>
      </c>
      <c r="B22" s="1763"/>
      <c r="C22" s="1764"/>
      <c r="D22" s="721">
        <f ca="1">IF(C19&lt;D19,D19/C19-1,C19/D19-1)</f>
        <v>0.33794151602061229</v>
      </c>
      <c r="E22" s="129"/>
      <c r="F22" s="129"/>
      <c r="G22" s="129"/>
      <c r="H22" s="129"/>
      <c r="I22" s="129"/>
    </row>
    <row r="23" spans="1:36" ht="13.5" thickBot="1">
      <c r="A23" s="1743"/>
      <c r="B23" s="1743"/>
      <c r="C23" s="1743"/>
      <c r="D23" s="1743"/>
      <c r="E23" s="129"/>
      <c r="F23" s="129"/>
      <c r="G23" s="129"/>
      <c r="H23" s="129"/>
      <c r="I23" s="129"/>
    </row>
    <row r="24" spans="1:36" ht="14.25">
      <c r="A24" s="3666" t="s">
        <v>1294</v>
      </c>
      <c r="B24" s="1758" t="s">
        <v>1286</v>
      </c>
      <c r="C24" s="136">
        <f>IF(B30=0,0,D30)</f>
        <v>0</v>
      </c>
      <c r="D24" s="1765"/>
      <c r="E24" s="129"/>
      <c r="F24" s="129"/>
      <c r="G24" s="129"/>
      <c r="H24" s="129"/>
      <c r="I24" s="129"/>
    </row>
    <row r="25" spans="1:36" ht="14.25">
      <c r="A25" s="3667"/>
      <c r="B25" s="1022" t="s">
        <v>1290</v>
      </c>
      <c r="C25" s="141">
        <f>IF(B30=0,0,C30)</f>
        <v>0</v>
      </c>
      <c r="D25" s="1766"/>
      <c r="E25" s="129"/>
      <c r="F25" s="129"/>
      <c r="G25" s="129"/>
      <c r="H25" s="129"/>
      <c r="I25" s="129"/>
    </row>
    <row r="26" spans="1:36" ht="13.5" customHeight="1">
      <c r="A26" s="1767" t="s">
        <v>1295</v>
      </c>
      <c r="B26" s="142" t="s">
        <v>1296</v>
      </c>
      <c r="C26" s="142" t="s">
        <v>1297</v>
      </c>
      <c r="D26" s="143" t="s">
        <v>1298</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1299</v>
      </c>
      <c r="B30" s="142"/>
      <c r="C30" s="142"/>
      <c r="D30" s="142"/>
      <c r="E30" s="2298" t="s">
        <v>2127</v>
      </c>
      <c r="F30" s="129"/>
      <c r="G30" s="129"/>
      <c r="H30" s="129"/>
      <c r="I30" s="129"/>
    </row>
    <row r="31" spans="1:36" s="2304" customFormat="1" ht="26.45" customHeight="1" thickTop="1" thickBot="1">
      <c r="A31" s="2299"/>
      <c r="B31" s="2300"/>
      <c r="C31" s="2300"/>
      <c r="D31" s="2300"/>
      <c r="E31" s="2300"/>
      <c r="F31" s="2300"/>
      <c r="G31" s="2300"/>
      <c r="H31" s="2300"/>
      <c r="I31" s="2301" t="s">
        <v>2128</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1300</v>
      </c>
      <c r="B32" s="1770"/>
      <c r="C32" s="144">
        <f ca="1">IF(D32="总价",G19-C24,G20-C25)</f>
        <v>25122</v>
      </c>
      <c r="D32" s="1771" t="s">
        <v>3424</v>
      </c>
      <c r="E32" s="129"/>
      <c r="F32" s="129"/>
      <c r="G32" s="129"/>
      <c r="H32" s="129"/>
      <c r="I32" s="129"/>
    </row>
    <row r="33" spans="1:15" ht="15">
      <c r="A33" s="782" t="s">
        <v>1301</v>
      </c>
      <c r="B33" s="1772"/>
      <c r="C33" s="1773" t="s">
        <v>3425</v>
      </c>
      <c r="D33" s="1774"/>
      <c r="E33" s="1775" t="s">
        <v>1302</v>
      </c>
      <c r="F33" s="1776" t="str">
        <f>IF(D32="楼面单价","取值（单价）","取值（总价）")</f>
        <v>取值（单价）</v>
      </c>
      <c r="G33" s="129"/>
      <c r="H33" s="129"/>
      <c r="I33" s="129"/>
    </row>
    <row r="34" spans="1:15" ht="15">
      <c r="A34" s="1777"/>
      <c r="B34" s="1778" t="s">
        <v>1303</v>
      </c>
      <c r="C34" s="148">
        <f>IF(C33="自定义",F34,C32-C35)</f>
        <v>0</v>
      </c>
      <c r="D34" s="857">
        <f ca="1">IF(C33="自定义",ROUND(C34/C32,3),IF(C33="收益比率",SUMIF(INDIRECT("'"&amp;D33&amp;"'"&amp;"!b:b"),"土地收益比率",INDIRECT("'"&amp;D33&amp;"'"&amp;"!c:c")),SUMIF(INDIRECT("'"&amp;D33&amp;"'"&amp;"!b:b"),"土地成本比率",INDIRECT("'"&amp;D33&amp;"'"&amp;"!c:c"))))</f>
        <v>0</v>
      </c>
      <c r="E34" s="1779" t="s">
        <v>1304</v>
      </c>
      <c r="F34" s="1326"/>
      <c r="G34" s="129"/>
      <c r="H34" s="129"/>
      <c r="I34" s="129"/>
    </row>
    <row r="35" spans="1:15" ht="15.75" thickBot="1">
      <c r="A35" s="1780"/>
      <c r="B35" s="1781" t="s">
        <v>1305</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1306</v>
      </c>
      <c r="F35" s="154"/>
      <c r="G35" s="129"/>
      <c r="H35" s="129"/>
      <c r="I35" s="129"/>
    </row>
    <row r="36" spans="1:15" ht="15.75" thickBot="1">
      <c r="A36" s="3643" t="s">
        <v>1307</v>
      </c>
      <c r="B36" s="1783" t="s">
        <v>1308</v>
      </c>
      <c r="C36" s="145"/>
      <c r="D36" s="1784"/>
      <c r="E36" s="1785"/>
      <c r="F36" s="1786"/>
      <c r="G36" s="129"/>
      <c r="H36" s="129"/>
      <c r="I36" s="129"/>
    </row>
    <row r="37" spans="1:15" ht="15.75" thickBot="1">
      <c r="A37" s="3644"/>
      <c r="B37" s="1670" t="s">
        <v>1309</v>
      </c>
      <c r="C37" s="147"/>
      <c r="D37" s="1135"/>
      <c r="E37" s="1135"/>
      <c r="F37" s="1786"/>
      <c r="G37" s="129"/>
      <c r="H37" s="129"/>
      <c r="I37" s="129"/>
    </row>
    <row r="38" spans="1:15" ht="15.75" thickBot="1">
      <c r="A38" s="3645"/>
      <c r="B38" s="1787" t="s">
        <v>1310</v>
      </c>
      <c r="C38" s="674"/>
      <c r="D38" s="1788" t="s">
        <v>1311</v>
      </c>
      <c r="E38" s="1135"/>
      <c r="F38" s="1786"/>
      <c r="G38" s="129"/>
      <c r="H38" s="129"/>
      <c r="I38" s="129"/>
    </row>
    <row r="39" spans="1:15" ht="15">
      <c r="A39" s="1760" t="s">
        <v>1312</v>
      </c>
      <c r="B39" s="1789" t="s">
        <v>1313</v>
      </c>
      <c r="C39" s="1790" t="s">
        <v>1314</v>
      </c>
      <c r="D39" s="1790" t="s">
        <v>1315</v>
      </c>
      <c r="E39" s="1791" t="s">
        <v>1316</v>
      </c>
      <c r="F39" s="1786"/>
      <c r="G39" s="129"/>
      <c r="H39" s="129"/>
      <c r="I39" s="129"/>
    </row>
    <row r="40" spans="1:15" ht="14.25">
      <c r="A40" s="1792" t="s">
        <v>1317</v>
      </c>
      <c r="B40" s="149"/>
      <c r="C40" s="150"/>
      <c r="D40" s="150"/>
      <c r="E40" s="151"/>
      <c r="F40" s="1786"/>
      <c r="G40" s="129"/>
      <c r="H40" s="129"/>
      <c r="I40" s="129"/>
    </row>
    <row r="41" spans="1:15" ht="14.25">
      <c r="A41" s="1792" t="s">
        <v>1318</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1319</v>
      </c>
      <c r="B44" s="1797"/>
      <c r="C44" s="1797"/>
      <c r="D44" s="1798"/>
      <c r="E44" s="1798"/>
      <c r="F44" s="1799"/>
      <c r="G44" s="1799"/>
      <c r="H44" s="1799"/>
      <c r="I44" s="1799"/>
      <c r="J44" s="1800" t="s">
        <v>1320</v>
      </c>
      <c r="K44" s="1801"/>
      <c r="L44" s="1801"/>
      <c r="M44" s="1801"/>
      <c r="N44" s="1801"/>
      <c r="O44" s="1801"/>
    </row>
    <row r="45" spans="1:15" ht="14.25" customHeight="1" thickBot="1">
      <c r="A45" s="3663" t="s">
        <v>1321</v>
      </c>
      <c r="B45" s="3664"/>
      <c r="C45" s="3665"/>
      <c r="D45" s="155">
        <f ca="1">ROUND(H101*F45,0)</f>
        <v>548</v>
      </c>
      <c r="E45" s="156" t="s">
        <v>1322</v>
      </c>
      <c r="F45" s="157">
        <v>1</v>
      </c>
      <c r="G45" s="158" t="s">
        <v>1323</v>
      </c>
      <c r="H45" s="129"/>
      <c r="I45" s="129"/>
      <c r="J45" s="3583" t="s">
        <v>1324</v>
      </c>
      <c r="K45" s="3583"/>
      <c r="L45" s="3583"/>
      <c r="M45" s="3583"/>
      <c r="N45" s="3583"/>
      <c r="O45" s="3583"/>
    </row>
    <row r="46" spans="1:15" ht="14.25" customHeight="1">
      <c r="A46" s="3660" t="s">
        <v>1325</v>
      </c>
      <c r="B46" s="3661"/>
      <c r="C46" s="3661"/>
      <c r="D46" s="3661"/>
      <c r="E46" s="3661"/>
      <c r="F46" s="3661"/>
      <c r="G46" s="3662"/>
      <c r="H46" s="1802"/>
      <c r="I46" s="159"/>
      <c r="J46" s="2517">
        <v>1</v>
      </c>
      <c r="K46" s="3584" t="s">
        <v>1326</v>
      </c>
      <c r="L46" s="3584"/>
      <c r="M46" s="3585"/>
      <c r="N46" s="3585"/>
      <c r="O46" s="3585"/>
    </row>
    <row r="47" spans="1:15" ht="12" customHeight="1">
      <c r="A47" s="160" t="s">
        <v>1327</v>
      </c>
      <c r="B47" s="161"/>
      <c r="C47" s="162"/>
      <c r="D47" s="1083" t="s">
        <v>1328</v>
      </c>
      <c r="E47" s="302" t="s">
        <v>1329</v>
      </c>
      <c r="F47" s="163" t="s">
        <v>1330</v>
      </c>
      <c r="G47" s="2540" t="s">
        <v>1331</v>
      </c>
      <c r="H47" s="2541"/>
      <c r="I47" s="159"/>
      <c r="J47" s="2517">
        <v>2</v>
      </c>
      <c r="K47" s="3584" t="s">
        <v>1332</v>
      </c>
      <c r="L47" s="3584"/>
      <c r="M47" s="3586">
        <f>'数据-取费表'!B2</f>
        <v>45034</v>
      </c>
      <c r="N47" s="3586"/>
      <c r="O47" s="3586"/>
    </row>
    <row r="48" spans="1:15" ht="25.5">
      <c r="A48" s="3646" t="s">
        <v>1333</v>
      </c>
      <c r="B48" s="3647"/>
      <c r="C48" s="3647"/>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1334</v>
      </c>
      <c r="H48" s="2544"/>
      <c r="I48" s="1802"/>
      <c r="J48" s="2517">
        <v>3</v>
      </c>
      <c r="K48" s="3584" t="s">
        <v>1335</v>
      </c>
      <c r="L48" s="3584"/>
      <c r="M48" s="3587">
        <f ca="1">H101</f>
        <v>548</v>
      </c>
      <c r="N48" s="3587"/>
      <c r="O48" s="3587"/>
    </row>
    <row r="49" spans="1:35" ht="25.5" customHeight="1">
      <c r="A49" s="2328" t="s">
        <v>1336</v>
      </c>
      <c r="B49" s="3632" t="s">
        <v>1337</v>
      </c>
      <c r="C49" s="3632"/>
      <c r="D49" s="1586">
        <v>0</v>
      </c>
      <c r="E49" s="324" t="s">
        <v>1338</v>
      </c>
      <c r="F49" s="2418" t="s">
        <v>28</v>
      </c>
      <c r="G49" s="3615"/>
      <c r="H49" s="2305" t="s">
        <v>2129</v>
      </c>
      <c r="I49" s="2306"/>
      <c r="J49" s="2517">
        <v>4</v>
      </c>
      <c r="K49" s="3584" t="str">
        <f>IF(项目基本情况!E8="房地产抵押价值","房地产抵押价值","抵押担保权已注销时的房地产抵押价值")</f>
        <v>房地产抵押价值</v>
      </c>
      <c r="L49" s="3584"/>
      <c r="M49" s="3587">
        <f ca="1">IF(项目基本情况!E8="房地产抵押价值",H107,H109)</f>
        <v>548</v>
      </c>
      <c r="N49" s="3587"/>
      <c r="O49" s="3587"/>
    </row>
    <row r="50" spans="1:35" ht="25.5" customHeight="1">
      <c r="A50" s="2545"/>
      <c r="B50" s="3632" t="s">
        <v>1339</v>
      </c>
      <c r="C50" s="3632"/>
      <c r="D50" s="2546"/>
      <c r="E50" s="332"/>
      <c r="F50" s="2418"/>
      <c r="G50" s="3616"/>
      <c r="H50" s="2307" t="s">
        <v>2130</v>
      </c>
      <c r="I50" s="2306"/>
      <c r="J50" s="3583" t="s">
        <v>1340</v>
      </c>
      <c r="K50" s="3583"/>
      <c r="L50" s="3583"/>
      <c r="M50" s="3583"/>
      <c r="N50" s="3583"/>
      <c r="O50" s="3583"/>
    </row>
    <row r="51" spans="1:35" ht="20.45" customHeight="1">
      <c r="A51" s="2547"/>
      <c r="B51" s="3632" t="s">
        <v>1341</v>
      </c>
      <c r="C51" s="3632"/>
      <c r="D51" s="1083"/>
      <c r="E51" s="327"/>
      <c r="F51" s="2418"/>
      <c r="G51" s="3617"/>
      <c r="H51" s="2307" t="s">
        <v>2131</v>
      </c>
      <c r="I51" s="2306"/>
      <c r="J51" s="2518" t="s">
        <v>1342</v>
      </c>
      <c r="K51" s="3584" t="s">
        <v>1343</v>
      </c>
      <c r="L51" s="3584"/>
      <c r="M51" s="2518" t="s">
        <v>1344</v>
      </c>
      <c r="N51" s="2518" t="s">
        <v>1345</v>
      </c>
      <c r="O51" s="2518" t="s">
        <v>1346</v>
      </c>
    </row>
    <row r="52" spans="1:35" ht="24" customHeight="1">
      <c r="A52" s="2330" t="s">
        <v>1347</v>
      </c>
      <c r="B52" s="3632" t="s">
        <v>1348</v>
      </c>
      <c r="C52" s="3632"/>
      <c r="D52" s="1083">
        <f ca="1">ROUND(D45*'数据-取费表'!B41/(1+'数据-取费表'!C42),0)</f>
        <v>29</v>
      </c>
      <c r="E52" s="2329" t="s">
        <v>1349</v>
      </c>
      <c r="F52" s="2548">
        <f>'数据-取费表'!B41</f>
        <v>5.5000000000000007E-2</v>
      </c>
      <c r="G52" s="2549"/>
      <c r="H52" s="2538"/>
      <c r="I52" s="1803"/>
      <c r="J52" s="2517">
        <v>1</v>
      </c>
      <c r="K52" s="3609" t="s">
        <v>1350</v>
      </c>
      <c r="L52" s="3609"/>
      <c r="M52" s="2519" t="b">
        <f>D48</f>
        <v>0</v>
      </c>
      <c r="N52" s="2517" t="str">
        <f>E48</f>
        <v>销售额×税（费）率</v>
      </c>
      <c r="O52" s="2520">
        <f>F48</f>
        <v>5.5000000000000007E-2</v>
      </c>
    </row>
    <row r="53" spans="1:35" ht="12" customHeight="1">
      <c r="A53" s="2330" t="s">
        <v>1351</v>
      </c>
      <c r="B53" s="3633" t="s">
        <v>2286</v>
      </c>
      <c r="C53" s="3634"/>
      <c r="D53" s="1083">
        <f ca="1">ROUND(D45*'数据-取费表'!B41/(1+'数据-取费表'!C42),0)</f>
        <v>29</v>
      </c>
      <c r="E53" s="2329" t="s">
        <v>1349</v>
      </c>
      <c r="F53" s="2548">
        <f>'数据-取费表'!B41</f>
        <v>5.5000000000000007E-2</v>
      </c>
      <c r="G53" s="2549"/>
      <c r="H53" s="2538"/>
      <c r="I53" s="1803"/>
      <c r="J53" s="2517">
        <v>2</v>
      </c>
      <c r="K53" s="3609" t="s">
        <v>1352</v>
      </c>
      <c r="L53" s="3609"/>
      <c r="M53" s="2519">
        <f t="shared" ref="M53:O54" ca="1" si="0">D55</f>
        <v>0</v>
      </c>
      <c r="N53" s="2517" t="str">
        <f t="shared" si="0"/>
        <v>销售额×税（费）率</v>
      </c>
      <c r="O53" s="2520" t="str">
        <f t="shared" si="0"/>
        <v>免征</v>
      </c>
    </row>
    <row r="54" spans="1:35" ht="12" customHeight="1">
      <c r="A54" s="2330" t="s">
        <v>1353</v>
      </c>
      <c r="B54" s="3633" t="s">
        <v>2287</v>
      </c>
      <c r="C54" s="3634"/>
      <c r="D54" s="1083">
        <f ca="1">C68</f>
        <v>29</v>
      </c>
      <c r="E54" s="327" t="s">
        <v>1354</v>
      </c>
      <c r="F54" s="2548">
        <f>'数据-取费表'!B41</f>
        <v>5.5000000000000007E-2</v>
      </c>
      <c r="G54" s="2549"/>
      <c r="H54" s="2550"/>
      <c r="I54" s="1803"/>
      <c r="J54" s="2517">
        <v>3</v>
      </c>
      <c r="K54" s="3609" t="s">
        <v>1355</v>
      </c>
      <c r="L54" s="3609"/>
      <c r="M54" s="2519">
        <f t="shared" ca="1" si="0"/>
        <v>310</v>
      </c>
      <c r="N54" s="2517" t="str">
        <f t="shared" si="0"/>
        <v>增值额×税（费）率</v>
      </c>
      <c r="O54" s="2521" t="str">
        <f t="shared" si="0"/>
        <v>免征</v>
      </c>
    </row>
    <row r="55" spans="1:35" ht="24" customHeight="1">
      <c r="A55" s="3669" t="s">
        <v>1356</v>
      </c>
      <c r="B55" s="3647"/>
      <c r="C55" s="3647"/>
      <c r="D55" s="2319">
        <f ca="1">IF(H55="个人住宅",0,ROUND(D45*I55,0))</f>
        <v>0</v>
      </c>
      <c r="E55" s="2329" t="s">
        <v>1357</v>
      </c>
      <c r="F55" s="2548" t="str">
        <f>IF(H55="正常",I55,"免征")</f>
        <v>免征</v>
      </c>
      <c r="G55" s="2549"/>
      <c r="H55" s="2544"/>
      <c r="I55" s="165">
        <f>'数据-取费表'!B49</f>
        <v>5.0000000000000001E-4</v>
      </c>
      <c r="J55" s="2517">
        <f>IF(H59="非个人房产","",4)</f>
        <v>4</v>
      </c>
      <c r="K55" s="3609" t="str">
        <f>IF(H59="非个人房产","——","个人所得税")</f>
        <v>个人所得税</v>
      </c>
      <c r="L55" s="3609"/>
      <c r="M55" s="2522">
        <f ca="1">D59</f>
        <v>5</v>
      </c>
      <c r="N55" s="2035" t="str">
        <f>E59</f>
        <v>差额计税</v>
      </c>
      <c r="O55" s="2523">
        <f>F59</f>
        <v>0.01</v>
      </c>
    </row>
    <row r="56" spans="1:35" ht="24.75">
      <c r="A56" s="3669" t="s">
        <v>1358</v>
      </c>
      <c r="B56" s="3647"/>
      <c r="C56" s="3647"/>
      <c r="D56" s="2319">
        <f ca="1">IF(H56="个人住宅",D57,D58)</f>
        <v>310</v>
      </c>
      <c r="E56" s="2329" t="s">
        <v>1359</v>
      </c>
      <c r="F56" s="2548" t="str">
        <f>IF(H56="正常",F58,"免征")</f>
        <v>免征</v>
      </c>
      <c r="G56" s="2551" t="s">
        <v>1360</v>
      </c>
      <c r="H56" s="2552"/>
      <c r="I56" s="1804"/>
      <c r="J56" s="2517" t="str">
        <f>IF(项目基本情况!K6="上海银行",IF(J55="",4,J55+1),"")</f>
        <v/>
      </c>
      <c r="K56" s="3590" t="str">
        <f>IF(项目基本情况!K6="上海银行","其他处置费用","")</f>
        <v/>
      </c>
      <c r="L56" s="3591"/>
      <c r="M56" s="2519" t="str">
        <f>IF(项目基本情况!K6="上海银行",M69,"")</f>
        <v/>
      </c>
      <c r="N56" s="3590" t="str">
        <f>IF(项目基本情况!K6="上海银行","包含处置中涉及的律师、诉讼、拍卖、评估等费用","")</f>
        <v/>
      </c>
      <c r="O56" s="3593"/>
    </row>
    <row r="57" spans="1:35" ht="12.75">
      <c r="A57" s="2330" t="s">
        <v>1336</v>
      </c>
      <c r="B57" s="3633" t="s">
        <v>1361</v>
      </c>
      <c r="C57" s="3634"/>
      <c r="D57" s="1586">
        <v>0</v>
      </c>
      <c r="E57" s="324" t="s">
        <v>1338</v>
      </c>
      <c r="F57" s="302"/>
      <c r="G57" s="2549"/>
      <c r="H57" s="2553"/>
      <c r="I57" s="1804"/>
      <c r="J57" s="3609">
        <f>IF(AND(J55="",J56=""),4,IF(项目基本情况!K6="上海银行",结果表501!J56+1,结果表501!J55+1))</f>
        <v>5</v>
      </c>
      <c r="K57" s="3609" t="s">
        <v>1362</v>
      </c>
      <c r="L57" s="2524" t="s">
        <v>1363</v>
      </c>
      <c r="M57" s="2525"/>
      <c r="N57" s="2526">
        <f ca="1">SUMIF(M52:M56,"&lt;9e307")</f>
        <v>315</v>
      </c>
      <c r="O57" s="2527"/>
      <c r="P57" s="2683">
        <f ca="1">N57/M49</f>
        <v>0.57481751824817517</v>
      </c>
    </row>
    <row r="58" spans="1:35" ht="24.75">
      <c r="A58" s="2330" t="s">
        <v>1347</v>
      </c>
      <c r="B58" s="3633" t="s">
        <v>1364</v>
      </c>
      <c r="C58" s="3632"/>
      <c r="D58" s="2319">
        <f ca="1">IF(H58="转让取得",C81,C97)</f>
        <v>310</v>
      </c>
      <c r="E58" s="2329" t="s">
        <v>1359</v>
      </c>
      <c r="F58" s="302" t="s">
        <v>28</v>
      </c>
      <c r="G58" s="2549"/>
      <c r="H58" s="2552"/>
      <c r="I58" s="1804"/>
      <c r="J58" s="3609"/>
      <c r="K58" s="3609"/>
      <c r="L58" s="2524" t="s">
        <v>1365</v>
      </c>
      <c r="M58" s="2528"/>
      <c r="N58" s="2529" t="str">
        <f ca="1">NUMBERSTRING(INT(N57*10000),2)&amp;"元整"</f>
        <v>叁佰壹拾伍万元整</v>
      </c>
      <c r="O58" s="2530"/>
    </row>
    <row r="59" spans="1:35" ht="24.75" thickBot="1">
      <c r="A59" s="3613" t="s">
        <v>1366</v>
      </c>
      <c r="B59" s="3614"/>
      <c r="C59" s="3614"/>
      <c r="D59" s="2554">
        <f ca="1">IF(H59="非个人房产","——",IF(H59="个人住宅（满五唯一有凭证）",0,IF(H59="个人其他（无凭证）",ROUND(D45*F59,0),ROUND(C67*F59,0))))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09"/>
      <c r="I59" s="2308" t="s">
        <v>2132</v>
      </c>
      <c r="J59" s="3611">
        <f>J57+1</f>
        <v>6</v>
      </c>
      <c r="K59" s="3609" t="s">
        <v>1367</v>
      </c>
      <c r="L59" s="2517" t="s">
        <v>1363</v>
      </c>
      <c r="M59" s="2531"/>
      <c r="N59" s="2532">
        <f ca="1">M49-N57</f>
        <v>233</v>
      </c>
      <c r="O59" s="2533"/>
    </row>
    <row r="60" spans="1:35" ht="12" customHeight="1">
      <c r="A60" s="1805"/>
      <c r="B60" s="1743"/>
      <c r="C60" s="1743"/>
      <c r="D60" s="1743"/>
      <c r="E60" s="1574"/>
      <c r="F60" s="1804"/>
      <c r="G60" s="1804"/>
      <c r="H60" s="1806"/>
      <c r="I60" s="129"/>
      <c r="J60" s="3612"/>
      <c r="K60" s="3609"/>
      <c r="L60" s="2524" t="s">
        <v>1365</v>
      </c>
      <c r="M60" s="2528"/>
      <c r="N60" s="2529" t="str">
        <f ca="1">NUMBERSTRING(INT(N59*10000),2)&amp;"元整"</f>
        <v>贰佰叁拾叁万元整</v>
      </c>
      <c r="O60" s="2530"/>
    </row>
    <row r="61" spans="1:35" ht="13.5" thickBot="1">
      <c r="A61" s="3668" t="s">
        <v>1368</v>
      </c>
      <c r="B61" s="3668"/>
      <c r="C61" s="3668"/>
      <c r="D61" s="3668"/>
      <c r="E61" s="3668"/>
      <c r="F61" s="1804"/>
      <c r="G61" s="1804"/>
      <c r="H61" s="1806"/>
      <c r="I61" s="129"/>
      <c r="J61" s="2517">
        <f>J59+1</f>
        <v>7</v>
      </c>
      <c r="K61" s="3609" t="s">
        <v>1369</v>
      </c>
      <c r="L61" s="3609"/>
      <c r="M61" s="2534"/>
      <c r="N61" s="2535">
        <f ca="1">ROUND(N59*10000/'数据-汇总表'!E3,0)</f>
        <v>3426</v>
      </c>
      <c r="O61" s="2536"/>
    </row>
    <row r="62" spans="1:35" ht="12.75">
      <c r="A62" s="3628" t="s">
        <v>1370</v>
      </c>
      <c r="B62" s="3629"/>
      <c r="C62" s="2016"/>
      <c r="D62" s="2016" t="s">
        <v>1371</v>
      </c>
      <c r="E62" s="166" t="s">
        <v>1372</v>
      </c>
      <c r="F62" s="1804"/>
      <c r="G62" s="1804"/>
      <c r="H62" s="1806"/>
      <c r="I62" s="129"/>
    </row>
    <row r="63" spans="1:35" ht="12.75">
      <c r="A63" s="173" t="s">
        <v>330</v>
      </c>
      <c r="B63" s="167" t="s">
        <v>1373</v>
      </c>
      <c r="C63" s="2558">
        <f ca="1">ROUND((C64+C65)/(1+'数据-取费表'!C42),0)</f>
        <v>522</v>
      </c>
      <c r="D63" s="167"/>
      <c r="E63" s="168"/>
      <c r="F63" s="1804"/>
      <c r="G63" s="1804"/>
      <c r="H63" s="1806"/>
      <c r="I63" s="129"/>
      <c r="J63" s="3592" t="s">
        <v>1374</v>
      </c>
      <c r="K63" s="1328" t="s">
        <v>1375</v>
      </c>
      <c r="L63" s="1328">
        <f ca="1">IF(M49&gt;10000,M49*0.5%,IF(AND(M49&gt;1000,M49&lt;=10000),M49*1%,IF(AND(M49&gt;100,M49&lt;=1000),M49*3%,IF(AND(M49&gt;10,M49&lt;=100),M49*5%,M49*8%))))</f>
        <v>16.439999999999998</v>
      </c>
      <c r="M63" s="302">
        <f ca="1">ROUND(L63,1)</f>
        <v>16.399999999999999</v>
      </c>
      <c r="N63" s="2537"/>
      <c r="Z63" s="1748"/>
      <c r="AI63" s="1749"/>
    </row>
    <row r="64" spans="1:35" ht="14.25" customHeight="1">
      <c r="A64" s="169" t="s">
        <v>325</v>
      </c>
      <c r="B64" s="170" t="s">
        <v>1376</v>
      </c>
      <c r="C64" s="2559">
        <f ca="1">D45</f>
        <v>548</v>
      </c>
      <c r="D64" s="170" t="s">
        <v>26</v>
      </c>
      <c r="E64" s="172"/>
      <c r="F64" s="1804"/>
      <c r="G64" s="1804"/>
      <c r="H64" s="1806"/>
      <c r="I64" s="129"/>
      <c r="J64" s="3592"/>
      <c r="K64" s="1328" t="s">
        <v>1377</v>
      </c>
      <c r="L64" s="1328">
        <f ca="1">IF(M49&gt;2000,M49*0.5%,IF(AND(M49&gt;1000,M49&lt;=2000),M49*0.6%,IF(AND(M49&gt;500,M49&lt;=1000),M49*0.7%,IF(AND(M49&gt;200,M49&lt;=500),M49*0.8%,IF(AND(M49&gt;100,M49&lt;=200),M49*0.9%,IF(AND(M49&gt;50,M49&lt;=100),M49*1%,IF(AND(M49&gt;20,M49&lt;=50),M49*1.5%,IF(AND(M49&gt;10,M49&lt;=20),M49*2%,IF(AND(M49&gt;1,M49&lt;=10),M49*2.5%)))))))))</f>
        <v>3.8359999999999994</v>
      </c>
      <c r="M64" s="302">
        <f t="shared" ref="M64:M65" ca="1" si="1">ROUND(L64,1)</f>
        <v>3.8</v>
      </c>
      <c r="N64" s="2538" t="s">
        <v>1378</v>
      </c>
      <c r="Z64" s="1748"/>
      <c r="AI64" s="1749"/>
    </row>
    <row r="65" spans="1:35" ht="14.25" customHeight="1">
      <c r="A65" s="169" t="s">
        <v>326</v>
      </c>
      <c r="B65" s="170" t="s">
        <v>1379</v>
      </c>
      <c r="C65" s="2560"/>
      <c r="D65" s="170"/>
      <c r="E65" s="172"/>
      <c r="F65" s="1804"/>
      <c r="G65" s="1804"/>
      <c r="H65" s="1806"/>
      <c r="I65" s="129"/>
      <c r="J65" s="3592"/>
      <c r="K65" s="1328" t="s">
        <v>1380</v>
      </c>
      <c r="L65" s="1328">
        <f ca="1">IF(M49&gt;1000,M49*0.1%,IF(AND(M49&gt;500,M49&lt;=1000),M49*0.5%,IF(AND(M49&gt;50,M49&lt;=500),M49*1%,IF(AND(M49&gt;1,M49&lt;=50),M49*1.5%))))</f>
        <v>2.74</v>
      </c>
      <c r="M65" s="302">
        <f t="shared" ca="1" si="1"/>
        <v>2.7</v>
      </c>
      <c r="N65" s="2538" t="s">
        <v>1378</v>
      </c>
      <c r="Z65" s="1748"/>
      <c r="AI65" s="1749"/>
    </row>
    <row r="66" spans="1:35" ht="14.25" customHeight="1">
      <c r="A66" s="173" t="s">
        <v>327</v>
      </c>
      <c r="B66" s="174" t="s">
        <v>1381</v>
      </c>
      <c r="C66" s="2561"/>
      <c r="D66" s="174" t="s">
        <v>26</v>
      </c>
      <c r="E66" s="1334" t="s">
        <v>667</v>
      </c>
      <c r="F66" s="1804"/>
      <c r="G66" s="1804"/>
      <c r="H66" s="1806"/>
      <c r="I66" s="129"/>
      <c r="J66" s="3592"/>
      <c r="K66" s="1328" t="s">
        <v>1382</v>
      </c>
      <c r="L66" s="1328">
        <f ca="1">M49*0.5%</f>
        <v>2.74</v>
      </c>
      <c r="M66" s="302">
        <f ca="1">IF(L66&gt;0.5,0.5,ROUND(L66,0))</f>
        <v>0.5</v>
      </c>
      <c r="N66" s="2538" t="s">
        <v>1383</v>
      </c>
      <c r="Z66" s="1748"/>
      <c r="AI66" s="1749"/>
    </row>
    <row r="67" spans="1:35" ht="14.25" customHeight="1">
      <c r="A67" s="173" t="s">
        <v>328</v>
      </c>
      <c r="B67" s="174" t="s">
        <v>1384</v>
      </c>
      <c r="C67" s="2562">
        <f ca="1">C63-C66</f>
        <v>522</v>
      </c>
      <c r="D67" s="170" t="s">
        <v>26</v>
      </c>
      <c r="E67" s="172"/>
      <c r="F67" s="1804"/>
      <c r="G67" s="1804"/>
      <c r="H67" s="1806"/>
      <c r="I67" s="129"/>
      <c r="J67" s="3592"/>
      <c r="K67" s="1328" t="s">
        <v>1385</v>
      </c>
      <c r="L67" s="1328">
        <f ca="1">IF(M49&gt;=10000,(8.25+(M49-10000)*0.01%),IF(AND(M49&gt;=8000,M49&lt;10000),(7.85+(M49-8000)*0.02%),IF(AND(M49&gt;=5000,M49&lt;8000),(6.65+(M49-5000)*0.04%),IF(AND(M49&gt;=2000,M49&lt;5000),(4.25+(PM49-2000)*0.08%),IF(AND(M49&gt;=1000,M49&lt;2000),(2.75+(M49-1000)*0.15%),IF(AND(M49&gt;=100,M49&lt;1000),(0.5+(M49-100)*0.25%),IF(AND(M49&gt;0,M49&lt;100),M49*0.5%)))))))</f>
        <v>1.62</v>
      </c>
      <c r="M67" s="302">
        <f ca="1">ROUND(L67*0.9,1)</f>
        <v>1.5</v>
      </c>
      <c r="N67" s="2537"/>
      <c r="Z67" s="1748"/>
      <c r="AI67" s="1749"/>
    </row>
    <row r="68" spans="1:35" ht="14.25" customHeight="1" thickBot="1">
      <c r="A68" s="176" t="s">
        <v>329</v>
      </c>
      <c r="B68" s="177" t="s">
        <v>1386</v>
      </c>
      <c r="C68" s="2563">
        <f ca="1">IF(C67&lt;=0,0,ROUND(C67*D68,0))</f>
        <v>29</v>
      </c>
      <c r="D68" s="2564">
        <f>'数据-取费表'!B41</f>
        <v>5.5000000000000007E-2</v>
      </c>
      <c r="E68" s="178"/>
      <c r="F68" s="1804"/>
      <c r="G68" s="1804"/>
      <c r="H68" s="1806"/>
      <c r="I68" s="129"/>
      <c r="J68" s="3592"/>
      <c r="K68" s="1328" t="s">
        <v>1387</v>
      </c>
      <c r="L68" s="1328">
        <f ca="1">IF(M49&gt;10000,M49*0.5%,IF(AND(M49&gt;5000,M49&lt;=10000),M49*1%,IF(AND(M49&gt;1000,M49&lt;=5000),M49*2%,IF(AND(M49&gt;200,M49&lt;=1000),M49*3%,M49*5%))))</f>
        <v>16.439999999999998</v>
      </c>
      <c r="M68" s="302">
        <f ca="1">ROUND(L68,1)</f>
        <v>16.399999999999999</v>
      </c>
      <c r="N68" s="2537"/>
      <c r="Z68" s="1748"/>
      <c r="AI68" s="1749"/>
    </row>
    <row r="69" spans="1:35" s="1768" customFormat="1" ht="16.5" customHeight="1">
      <c r="A69" s="1807"/>
      <c r="B69" s="1808"/>
      <c r="C69" s="1809"/>
      <c r="D69" s="1810"/>
      <c r="E69" s="1811"/>
      <c r="F69" s="1574"/>
      <c r="G69" s="1574"/>
      <c r="H69" s="1573"/>
      <c r="I69" s="1743"/>
      <c r="J69" s="3592"/>
      <c r="K69" s="1328" t="s">
        <v>1388</v>
      </c>
      <c r="L69" s="1328"/>
      <c r="M69" s="302">
        <f ca="1">ROUND(SUM(M63:M68),0)</f>
        <v>41</v>
      </c>
      <c r="N69" s="2539">
        <f ca="1">M69/M49</f>
        <v>7.4817518248175188E-2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6" t="s">
        <v>1389</v>
      </c>
      <c r="B70" s="3637"/>
      <c r="C70" s="3637"/>
      <c r="D70" s="3637"/>
      <c r="E70" s="3637"/>
      <c r="F70" s="3637"/>
      <c r="G70" s="3637"/>
      <c r="H70" s="363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8" t="s">
        <v>1370</v>
      </c>
      <c r="B71" s="3629"/>
      <c r="C71" s="2016"/>
      <c r="D71" s="2016" t="s">
        <v>1371</v>
      </c>
      <c r="E71" s="179" t="s">
        <v>1372</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1390</v>
      </c>
      <c r="C72" s="2562">
        <f ca="1">ROUND(D45/(1+'数据-取费表'!C42),0)</f>
        <v>522</v>
      </c>
      <c r="D72" s="170" t="s">
        <v>26</v>
      </c>
      <c r="E72" s="2326"/>
      <c r="F72" s="2325"/>
      <c r="G72" s="232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1391</v>
      </c>
      <c r="C73" s="2562">
        <f ca="1">C74+C78</f>
        <v>3</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1392</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1393</v>
      </c>
      <c r="C75" s="2565"/>
      <c r="D75" s="170" t="s">
        <v>26</v>
      </c>
      <c r="E75" s="184" t="s">
        <v>1394</v>
      </c>
      <c r="F75" s="2566"/>
      <c r="G75" s="184" t="s">
        <v>1395</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1396</v>
      </c>
      <c r="C76" s="170">
        <f>IF(F75="购房发票",ROUND(C75*H75*D76,0),0)</f>
        <v>0</v>
      </c>
      <c r="D76" s="2568">
        <v>0.05</v>
      </c>
      <c r="E76" s="3633" t="s">
        <v>1397</v>
      </c>
      <c r="F76" s="3632"/>
      <c r="G76" s="3632"/>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1398</v>
      </c>
      <c r="C77" s="170">
        <f>ROUND(IF(G77="个人住宅",0,IF(G77="2016年5月1日前购买",C75*D77,C75*D77/(1+'数据-取费表'!C42))),0)</f>
        <v>0</v>
      </c>
      <c r="D77" s="2569">
        <f>'数据-取费表'!B48+'数据-取费表'!B49</f>
        <v>3.0499999999999999E-2</v>
      </c>
      <c r="E77" s="2319" t="s">
        <v>1399</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1400</v>
      </c>
      <c r="C78" s="2570">
        <f ca="1">ROUND(D45*D78/(1+'数据-取费表'!C42),0)</f>
        <v>3</v>
      </c>
      <c r="D78" s="2571">
        <f>'数据-取费表'!B43</f>
        <v>5.000000000000001E-3</v>
      </c>
      <c r="E78" s="3625" t="s">
        <v>1401</v>
      </c>
      <c r="F78" s="3626"/>
      <c r="G78" s="3626"/>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1402</v>
      </c>
      <c r="C79" s="2562">
        <f ca="1">C72-C73</f>
        <v>519</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1403</v>
      </c>
      <c r="C80" s="2572">
        <f ca="1">IF(C79&lt;=0,0,C79/C73)</f>
        <v>173</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1404</v>
      </c>
      <c r="C81" s="2573">
        <f ca="1">ROUND(IF(C79&lt;=0,0,IF(C80&gt;=200%,C79*60%-C73*35%,IF(C80&gt;=100%,C79*50%-C73*15%,IF(C80&gt;=50%,C79*40%-C73*5%,IF(C80&lt;50%,C79*30%,0))))),0)</f>
        <v>310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1405</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8" t="s">
        <v>1370</v>
      </c>
      <c r="B84" s="3629"/>
      <c r="C84" s="2016"/>
      <c r="D84" s="2016" t="s">
        <v>1371</v>
      </c>
      <c r="E84" s="179" t="s">
        <v>1372</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1390</v>
      </c>
      <c r="C85" s="2562">
        <f ca="1">ROUND(D45/(1+'数据-取费表'!C42),0)</f>
        <v>522</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1391</v>
      </c>
      <c r="C86" s="2562">
        <f ca="1">IF(H88="仅含出让金",C87+C90+C91+C92+C93+C94,C87+C91+C92+C93+C94)</f>
        <v>3</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1406</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1407</v>
      </c>
      <c r="C88" s="2576"/>
      <c r="D88" s="2571"/>
      <c r="E88" s="193" t="s">
        <v>1408</v>
      </c>
      <c r="F88" s="2322"/>
      <c r="G88" s="194" t="s">
        <v>1409</v>
      </c>
      <c r="H88" s="1820"/>
      <c r="I88" s="1817"/>
      <c r="J88" s="2515"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1398</v>
      </c>
      <c r="C89" s="2570">
        <f>ROUND(C88*D89,0)</f>
        <v>0</v>
      </c>
      <c r="D89" s="2571">
        <f>'数据-取费表'!B48+'数据-取费表'!B49</f>
        <v>3.0499999999999999E-2</v>
      </c>
      <c r="E89" s="193" t="s">
        <v>1410</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1411</v>
      </c>
      <c r="C90" s="2576"/>
      <c r="D90" s="2571"/>
      <c r="E90" s="193" t="str">
        <f>IF(H88="-","土地取得成本中已包含该笔费用"," ")</f>
        <v xml:space="preserve"> </v>
      </c>
      <c r="F90" s="2322"/>
      <c r="G90" s="3594" t="s">
        <v>2124</v>
      </c>
      <c r="H90" s="3595"/>
      <c r="I90" s="1817"/>
      <c r="J90" s="2515"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1412</v>
      </c>
      <c r="B91" s="170" t="s">
        <v>1413</v>
      </c>
      <c r="C91" s="2570">
        <f>IF(H91="——",成本法!C33,I91)</f>
        <v>0</v>
      </c>
      <c r="D91" s="2571"/>
      <c r="E91" s="3625" t="s">
        <v>1414</v>
      </c>
      <c r="F91" s="3626"/>
      <c r="G91" s="362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1415</v>
      </c>
      <c r="B92" s="170" t="s">
        <v>1416</v>
      </c>
      <c r="C92" s="2570">
        <f>ROUND((C87+C90+C91)*D92,0)</f>
        <v>0</v>
      </c>
      <c r="D92" s="2577"/>
      <c r="E92" s="3625" t="s">
        <v>1417</v>
      </c>
      <c r="F92" s="3626"/>
      <c r="G92" s="3626"/>
      <c r="H92" s="3627"/>
      <c r="I92" s="1817"/>
      <c r="J92" s="2516"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1418</v>
      </c>
      <c r="B93" s="170" t="s">
        <v>1400</v>
      </c>
      <c r="C93" s="2570">
        <f ca="1">ROUND(D45*D93/(1+'数据-取费表'!C42),0)</f>
        <v>3</v>
      </c>
      <c r="D93" s="2571">
        <f>'数据-取费表'!B43</f>
        <v>5.000000000000001E-3</v>
      </c>
      <c r="E93" s="3625" t="s">
        <v>1401</v>
      </c>
      <c r="F93" s="3626"/>
      <c r="G93" s="3626"/>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1419</v>
      </c>
      <c r="B94" s="170" t="s">
        <v>1420</v>
      </c>
      <c r="C94" s="2576">
        <f>ROUND((C87+C90+C91)*D94,0)</f>
        <v>0</v>
      </c>
      <c r="D94" s="2571">
        <v>0.2</v>
      </c>
      <c r="E94" s="3670" t="s">
        <v>1421</v>
      </c>
      <c r="F94" s="3671"/>
      <c r="G94" s="3671"/>
      <c r="H94" s="367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1402</v>
      </c>
      <c r="C95" s="2562">
        <f ca="1">ROUND(C85-C86,0)</f>
        <v>519</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1403</v>
      </c>
      <c r="C96" s="2572">
        <f ca="1">IF(C95&lt;=0,0,C95/C86)</f>
        <v>173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1404</v>
      </c>
      <c r="C97" s="2573">
        <f ca="1">ROUND(IF(C95&lt;=0,0,IF(C96&gt;=200%,C95*60%-C86*35%,IF(C96&gt;=100%,C95*50%-C86*15%,IF(C96&gt;=50%,C95*40%-C86*5%,IF(C96&lt;50%,C95*30%,0))))),0)</f>
        <v>310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1422</v>
      </c>
      <c r="B99" s="1743"/>
      <c r="C99" s="1743"/>
      <c r="D99" s="1743"/>
      <c r="E99" s="1574"/>
      <c r="F99" s="1574"/>
      <c r="G99" s="1574"/>
      <c r="H99" s="1573"/>
      <c r="I99" s="129"/>
    </row>
    <row r="100" spans="1:35" ht="18.75" customHeight="1">
      <c r="A100" s="3575" t="s">
        <v>1423</v>
      </c>
      <c r="B100" s="3576"/>
      <c r="C100" s="3576"/>
      <c r="D100" s="3610"/>
      <c r="E100" s="3576" t="s">
        <v>1424</v>
      </c>
      <c r="F100" s="3576"/>
      <c r="G100" s="3576"/>
      <c r="H100" s="3610"/>
      <c r="I100" s="129"/>
    </row>
    <row r="101" spans="1:35" ht="18.75" customHeight="1">
      <c r="A101" s="3618" t="s">
        <v>1425</v>
      </c>
      <c r="B101" s="3619"/>
      <c r="C101" s="2579" t="str">
        <f>C4</f>
        <v>比较法-办公501</v>
      </c>
      <c r="D101" s="2580" t="str">
        <f>D4</f>
        <v>收益法501</v>
      </c>
      <c r="E101" s="3588" t="s">
        <v>1426</v>
      </c>
      <c r="F101" s="3589"/>
      <c r="G101" s="1823" t="s">
        <v>1427</v>
      </c>
      <c r="H101" s="2589">
        <f ca="1">H118</f>
        <v>548</v>
      </c>
      <c r="I101" s="129"/>
    </row>
    <row r="102" spans="1:35" ht="18.75" customHeight="1">
      <c r="A102" s="3620" t="s">
        <v>1428</v>
      </c>
      <c r="B102" s="2578" t="s">
        <v>1427</v>
      </c>
      <c r="C102" s="2579">
        <f ca="1">IF(D32="楼面单价",ROUND(C19,0),C19)</f>
        <v>593</v>
      </c>
      <c r="D102" s="2580">
        <f ca="1">IF(D32="楼面单价",ROUND(D19,0),D19)</f>
        <v>443</v>
      </c>
      <c r="E102" s="3588"/>
      <c r="F102" s="3589"/>
      <c r="G102" s="1823" t="s">
        <v>1429</v>
      </c>
      <c r="H102" s="2549">
        <f ca="1">I118</f>
        <v>25122</v>
      </c>
      <c r="I102" s="129"/>
    </row>
    <row r="103" spans="1:35" ht="42.75" customHeight="1">
      <c r="A103" s="3620"/>
      <c r="B103" s="2578" t="s">
        <v>1429</v>
      </c>
      <c r="C103" s="2581">
        <f ca="1">C20</f>
        <v>27181</v>
      </c>
      <c r="D103" s="2582">
        <f ca="1">D20</f>
        <v>20316</v>
      </c>
      <c r="E103" s="3581" t="s">
        <v>1430</v>
      </c>
      <c r="F103" s="3582"/>
      <c r="G103" s="1824" t="s">
        <v>1431</v>
      </c>
      <c r="H103" s="2589">
        <f>IF(D36="正常操作",H104+H105+H106,H105+H106)</f>
        <v>0</v>
      </c>
      <c r="I103" s="129"/>
    </row>
    <row r="104" spans="1:35" ht="18.75" customHeight="1">
      <c r="A104" s="3620" t="s">
        <v>1432</v>
      </c>
      <c r="B104" s="2583" t="s">
        <v>1427</v>
      </c>
      <c r="C104" s="2584">
        <f ca="1">H118</f>
        <v>548</v>
      </c>
      <c r="D104" s="2585"/>
      <c r="E104" s="1670" t="s">
        <v>1433</v>
      </c>
      <c r="F104" s="1662"/>
      <c r="G104" s="1824" t="s">
        <v>1431</v>
      </c>
      <c r="H104" s="2590">
        <f>IF(D36="同一抵押权人同一抵押物续贷",C36&amp;"（续贷，未扣减，详见特别提示）",C36)</f>
        <v>0</v>
      </c>
      <c r="I104" s="129"/>
    </row>
    <row r="105" spans="1:35" ht="18.75" customHeight="1" thickBot="1">
      <c r="A105" s="3630"/>
      <c r="B105" s="2586" t="s">
        <v>1429</v>
      </c>
      <c r="C105" s="2587">
        <f ca="1">I118</f>
        <v>25122</v>
      </c>
      <c r="D105" s="2588"/>
      <c r="E105" s="1670" t="s">
        <v>1434</v>
      </c>
      <c r="F105" s="1662"/>
      <c r="G105" s="1824" t="s">
        <v>1431</v>
      </c>
      <c r="H105" s="2591">
        <f>C37</f>
        <v>0</v>
      </c>
      <c r="I105" s="129"/>
    </row>
    <row r="106" spans="1:35" ht="18.75" customHeight="1">
      <c r="A106" s="1743" t="s">
        <v>1435</v>
      </c>
      <c r="B106" s="1743"/>
      <c r="C106" s="1743"/>
      <c r="D106" s="1743"/>
      <c r="E106" s="1825" t="s">
        <v>1436</v>
      </c>
      <c r="F106" s="1662"/>
      <c r="G106" s="1824" t="s">
        <v>1431</v>
      </c>
      <c r="H106" s="2591">
        <f>C38</f>
        <v>0</v>
      </c>
      <c r="I106" s="129"/>
    </row>
    <row r="107" spans="1:35" ht="18.75" customHeight="1">
      <c r="A107" s="129"/>
      <c r="B107" s="129"/>
      <c r="C107" s="129"/>
      <c r="D107" s="129"/>
      <c r="E107" s="3621" t="str">
        <f>IF(项目基本情况!E8="已注销","——","3.房地产抵押价值")</f>
        <v>3.房地产抵押价值</v>
      </c>
      <c r="F107" s="3589"/>
      <c r="G107" s="1823" t="s">
        <v>1427</v>
      </c>
      <c r="H107" s="2589">
        <f ca="1">IF(E107="——","——",H101-H103)</f>
        <v>548</v>
      </c>
      <c r="I107" s="129"/>
    </row>
    <row r="108" spans="1:35" ht="18.75" customHeight="1">
      <c r="A108" s="129"/>
      <c r="B108" s="129"/>
      <c r="C108" s="129"/>
      <c r="D108" s="129"/>
      <c r="E108" s="3621"/>
      <c r="F108" s="3589"/>
      <c r="G108" s="1823" t="s">
        <v>1429</v>
      </c>
      <c r="H108" s="2549">
        <f ca="1">IF(H107=H101,H102,ROUND(H107*10000/'数据-汇总表'!E3,0))</f>
        <v>25122</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3" t="s">
        <v>1427</v>
      </c>
      <c r="H109" s="2592" t="str">
        <f>IF(E109="——","——",H101-H105-H106)</f>
        <v>——</v>
      </c>
      <c r="I109" s="129"/>
    </row>
    <row r="110" spans="1:35" ht="18.75" customHeight="1">
      <c r="A110" s="129"/>
      <c r="B110" s="129"/>
      <c r="C110" s="129"/>
      <c r="D110" s="129"/>
      <c r="E110" s="3621"/>
      <c r="F110" s="3589"/>
      <c r="G110" s="1823" t="s">
        <v>1429</v>
      </c>
      <c r="H110" s="2549"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3" t="s">
        <v>1427</v>
      </c>
      <c r="H111" s="2589" t="str">
        <f>IF(E111="——","——",N59)</f>
        <v>——</v>
      </c>
      <c r="I111" s="129"/>
    </row>
    <row r="112" spans="1:35" ht="18.75" customHeight="1" thickBot="1">
      <c r="A112" s="129"/>
      <c r="B112" s="129"/>
      <c r="C112" s="129"/>
      <c r="D112" s="129"/>
      <c r="E112" s="3623"/>
      <c r="F112" s="3624"/>
      <c r="G112" s="1826" t="s">
        <v>1429</v>
      </c>
      <c r="H112" s="2593" t="str">
        <f>IF(E111="——","——",N61)</f>
        <v>——</v>
      </c>
      <c r="I112" s="129"/>
    </row>
    <row r="113" spans="1:27" ht="18.75" customHeight="1">
      <c r="A113" s="129"/>
      <c r="B113" s="129"/>
      <c r="C113" s="129"/>
      <c r="D113" s="129"/>
      <c r="E113" s="3631" t="s">
        <v>1435</v>
      </c>
      <c r="F113" s="3631"/>
      <c r="G113" s="3631"/>
      <c r="H113" s="3631"/>
      <c r="I113" s="129"/>
    </row>
    <row r="114" spans="1:27" ht="3.75" customHeight="1">
      <c r="A114" s="1743"/>
      <c r="B114" s="1743"/>
      <c r="C114" s="1743"/>
      <c r="D114" s="1743"/>
      <c r="E114" s="1805"/>
      <c r="F114" s="1805"/>
      <c r="G114" s="1805"/>
      <c r="H114" s="1805"/>
      <c r="I114" s="1743"/>
    </row>
    <row r="115" spans="1:27" ht="18.75" customHeight="1">
      <c r="A115" s="3639" t="s">
        <v>1437</v>
      </c>
      <c r="B115" s="3640"/>
      <c r="C115" s="3640"/>
      <c r="D115" s="3640"/>
      <c r="E115" s="3640"/>
      <c r="F115" s="3640"/>
      <c r="G115" s="3640"/>
      <c r="H115" s="3640"/>
      <c r="I115" s="3641"/>
    </row>
    <row r="116" spans="1:27" ht="27" customHeight="1">
      <c r="A116" s="3596" t="s">
        <v>1438</v>
      </c>
      <c r="B116" s="3600" t="s">
        <v>1439</v>
      </c>
      <c r="C116" s="3600" t="s">
        <v>1440</v>
      </c>
      <c r="D116" s="3606" t="s">
        <v>1441</v>
      </c>
      <c r="E116" s="3607"/>
      <c r="F116" s="3638" t="s">
        <v>1442</v>
      </c>
      <c r="G116" s="3638"/>
      <c r="H116" s="3596" t="s">
        <v>1443</v>
      </c>
      <c r="I116" s="3596"/>
    </row>
    <row r="117" spans="1:27" ht="18.75" customHeight="1">
      <c r="A117" s="3596"/>
      <c r="B117" s="3601"/>
      <c r="C117" s="3601"/>
      <c r="D117" s="2324" t="s">
        <v>1444</v>
      </c>
      <c r="E117" s="2324" t="s">
        <v>1445</v>
      </c>
      <c r="F117" s="2324" t="s">
        <v>1444</v>
      </c>
      <c r="G117" s="2324" t="s">
        <v>1446</v>
      </c>
      <c r="H117" s="2324" t="s">
        <v>1444</v>
      </c>
      <c r="I117" s="2324" t="s">
        <v>1446</v>
      </c>
    </row>
    <row r="118" spans="1:27" ht="24.75" customHeight="1">
      <c r="A118" s="2594" t="str">
        <f>项目基本情况!S2</f>
        <v>北京市金星西路501房地产</v>
      </c>
      <c r="B118" s="2324">
        <f>M18</f>
        <v>218.26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548</v>
      </c>
      <c r="I118" s="2324">
        <f ca="1">ROUND(IF(D32="楼面单价",C32,H118*10000/B118),0)</f>
        <v>25122</v>
      </c>
    </row>
    <row r="119" spans="1:27" ht="18.75" customHeight="1">
      <c r="A119" s="3596" t="s">
        <v>1447</v>
      </c>
      <c r="B119" s="3596"/>
      <c r="C119" s="3596"/>
      <c r="D119" s="3602" t="str">
        <f>NUMBERSTRING(INT(D118*10000),2)&amp;"元整"</f>
        <v>零元整</v>
      </c>
      <c r="E119" s="3603"/>
      <c r="F119" s="3602" t="str">
        <f>NUMBERSTRING(INT(F118*10000),2)&amp;"元整"</f>
        <v>零元整</v>
      </c>
      <c r="G119" s="3603"/>
      <c r="H119" s="3602" t="str">
        <f ca="1">NUMBERSTRING(INT(H118*10000),2)&amp;"元整"</f>
        <v>伍佰肆拾捌万元整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1447</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548</v>
      </c>
      <c r="E122" s="3598"/>
      <c r="F122" s="3598"/>
      <c r="G122" s="3598"/>
      <c r="H122" s="3598"/>
      <c r="I122" s="3599"/>
      <c r="AA122" s="725"/>
    </row>
    <row r="123" spans="1:27" ht="18.75" customHeight="1">
      <c r="A123" s="3596" t="s">
        <v>1447</v>
      </c>
      <c r="B123" s="3596"/>
      <c r="C123" s="3596"/>
      <c r="D123" s="3602" t="str">
        <f ca="1">NUMBERSTRING(INT(D122*10000),2)&amp;"元整"</f>
        <v>伍佰肆拾捌万元整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1447</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1447</v>
      </c>
      <c r="B127" s="3596"/>
      <c r="C127" s="3596"/>
      <c r="D127" s="3602" t="e">
        <f>NUMBERSTRING(INT(D126*10000),2)&amp;"元整"</f>
        <v>#VALUE!</v>
      </c>
      <c r="E127" s="3604"/>
      <c r="F127" s="3604"/>
      <c r="G127" s="3604"/>
      <c r="H127" s="3604"/>
      <c r="I127" s="3603"/>
      <c r="AA127" s="725"/>
    </row>
    <row r="128" spans="1:27" ht="21.75" customHeight="1">
      <c r="A128" s="3605" t="s">
        <v>1448</v>
      </c>
      <c r="B128" s="3605"/>
      <c r="C128" s="3605"/>
      <c r="D128" s="3605"/>
      <c r="E128" s="3605"/>
      <c r="F128" s="3605"/>
      <c r="G128" s="3605"/>
      <c r="H128" s="3605"/>
      <c r="I128" s="3605"/>
      <c r="AA128" s="725"/>
    </row>
    <row r="129" spans="1:35" ht="21.75" customHeight="1">
      <c r="A129" s="1827" t="s">
        <v>1449</v>
      </c>
      <c r="B129" s="1828"/>
      <c r="C129" s="1829" t="s">
        <v>1450</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1451</v>
      </c>
      <c r="G135" s="1844"/>
      <c r="H135" s="1844"/>
      <c r="I135" s="1845" t="s">
        <v>1452</v>
      </c>
    </row>
    <row r="136" spans="1:35" ht="21.75" customHeight="1">
      <c r="A136" s="725"/>
      <c r="B136" s="1846"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1454</v>
      </c>
    </row>
    <row r="139" spans="1:35" ht="21.75" customHeight="1">
      <c r="A139" s="725"/>
      <c r="B139" s="1846" t="s">
        <v>1455</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1454</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46" priority="21" stopIfTrue="1" operator="equal">
      <formula>25</formula>
    </cfRule>
  </conditionalFormatting>
  <conditionalFormatting sqref="C8:C9">
    <cfRule type="cellIs" dxfId="245" priority="19" stopIfTrue="1" operator="equal">
      <formula>15</formula>
    </cfRule>
  </conditionalFormatting>
  <conditionalFormatting sqref="C14:C16">
    <cfRule type="cellIs" dxfId="244" priority="13" stopIfTrue="1" operator="equal">
      <formula>30</formula>
    </cfRule>
  </conditionalFormatting>
  <conditionalFormatting sqref="D5:D7">
    <cfRule type="cellIs" dxfId="243" priority="10" stopIfTrue="1" operator="equal">
      <formula>25</formula>
    </cfRule>
  </conditionalFormatting>
  <conditionalFormatting sqref="D8:D9">
    <cfRule type="cellIs" dxfId="242" priority="9" stopIfTrue="1" operator="equal">
      <formula>15</formula>
    </cfRule>
  </conditionalFormatting>
  <conditionalFormatting sqref="C10:D13">
    <cfRule type="cellIs" dxfId="241" priority="8" stopIfTrue="1" operator="equal">
      <formula>15</formula>
    </cfRule>
  </conditionalFormatting>
  <conditionalFormatting sqref="D14:D16">
    <cfRule type="cellIs" dxfId="240" priority="6" stopIfTrue="1" operator="equal">
      <formula>30</formula>
    </cfRule>
  </conditionalFormatting>
  <conditionalFormatting sqref="C90">
    <cfRule type="expression" dxfId="239" priority="3" stopIfTrue="1">
      <formula>$H$88&lt;&gt;"仅含出让金"</formula>
    </cfRule>
  </conditionalFormatting>
  <conditionalFormatting sqref="C91">
    <cfRule type="expression" dxfId="238" priority="2" stopIfTrue="1">
      <formula>$H$91="由企业提供"</formula>
    </cfRule>
  </conditionalFormatting>
  <conditionalFormatting sqref="E36">
    <cfRule type="expression" dxfId="2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6"/>
      <c r="C1" s="198"/>
      <c r="D1" s="198"/>
      <c r="E1" s="198"/>
      <c r="F1" s="198"/>
      <c r="G1" s="1122">
        <f>MATCH(B1,'数据-取费表'!A6:A16,0)+5</f>
        <v>9</v>
      </c>
    </row>
    <row r="2" spans="1:9" s="200" customFormat="1" ht="18" customHeight="1">
      <c r="A2" s="201" t="s">
        <v>1457</v>
      </c>
      <c r="B2" s="202">
        <f ca="1">IF(D2="——",C52,C52-E2)</f>
        <v>323</v>
      </c>
      <c r="C2" s="199" t="s">
        <v>1458</v>
      </c>
      <c r="D2" s="1849" t="s">
        <v>43</v>
      </c>
      <c r="E2" s="1165" t="e">
        <f ca="1">SUMIF(INDIRECT("'"&amp;G2&amp;"'"&amp;"!A:A"),"承租人权益价值",INDIRECT("'"&amp;G2&amp;"'"&amp;"!c:c"))</f>
        <v>#REF!</v>
      </c>
      <c r="F2" s="1850" t="s">
        <v>1458</v>
      </c>
      <c r="G2" s="1851"/>
    </row>
    <row r="3" spans="1:9" s="200" customFormat="1" ht="18" customHeight="1" thickBot="1">
      <c r="A3" s="203" t="s">
        <v>1459</v>
      </c>
      <c r="B3" s="204">
        <f ca="1">ROUND(B2*10000/(IF(B1="",'数据-汇总表'!E3,INDIRECT("'数据-取费表'!k"&amp;$G$1))),0)</f>
        <v>4750</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0</v>
      </c>
      <c r="D8" s="222"/>
      <c r="E8" s="220"/>
      <c r="F8" s="221"/>
      <c r="G8" s="1852"/>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160</v>
      </c>
      <c r="F9" s="221"/>
      <c r="G9" s="1853"/>
      <c r="H9" s="1133"/>
      <c r="I9" s="1854" t="s">
        <v>1474</v>
      </c>
    </row>
    <row r="10" spans="1:9" s="214" customFormat="1" ht="13.5" customHeight="1">
      <c r="A10" s="775" t="s">
        <v>356</v>
      </c>
      <c r="B10" s="224" t="s">
        <v>1475</v>
      </c>
      <c r="C10" s="225">
        <f ca="1">ROUND(D10*E10/10000,0)</f>
        <v>14</v>
      </c>
      <c r="D10" s="841">
        <f ca="1">IF(B1="",'数据-汇总表'!E6,IF(INDIRECT("'数据-取费表'!c"&amp;$G$1)="住宅",INDIRECT("'数据-取费表'!s"&amp;$G$1),INDIRECT("'数据-取费表'!k"&amp;$G$1)+INDIRECT("'数据-取费表'!s"&amp;$G$1)))</f>
        <v>680.04</v>
      </c>
      <c r="E10" s="225">
        <f>'数据-取费表'!B28</f>
        <v>200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14</v>
      </c>
      <c r="D19" s="845">
        <f ca="1">D9+D10</f>
        <v>680.04</v>
      </c>
      <c r="E19" s="211">
        <f>'数据-取费表'!B31</f>
        <v>200</v>
      </c>
      <c r="F19" s="231"/>
      <c r="G19" s="1852"/>
    </row>
    <row r="20" spans="1:7" s="214" customFormat="1" ht="13.5" customHeight="1">
      <c r="A20" s="255" t="s">
        <v>1488</v>
      </c>
      <c r="B20" s="210" t="s">
        <v>1489</v>
      </c>
      <c r="C20" s="232">
        <f ca="1">ROUND((C5+C19)*F20,0)</f>
        <v>0</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0">
        <f ca="1">ROUND(SUM(C23:C25),0)</f>
        <v>1</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76" t="s">
        <v>1497</v>
      </c>
      <c r="B23" s="215" t="s">
        <v>1498</v>
      </c>
      <c r="C23" s="1101">
        <f ca="1">ROUND(IF('数据-取费表'!B22&lt;=1,C5*F22*'数据-取费表'!B23,C5*(POWER((1+F22),'数据-取费表'!B23)-1)),0)</f>
        <v>0</v>
      </c>
      <c r="D23" s="238"/>
      <c r="E23" s="238"/>
      <c r="F23" s="239"/>
      <c r="G23" s="240" t="s">
        <v>1499</v>
      </c>
    </row>
    <row r="24" spans="1:7" s="214" customFormat="1" ht="13.5" customHeight="1">
      <c r="A24" s="776" t="s">
        <v>1500</v>
      </c>
      <c r="B24" s="215" t="s">
        <v>1501</v>
      </c>
      <c r="C24" s="1101">
        <f ca="1">ROUND(IF('数据-取费表'!B22&lt;=1,C19*F22*('数据-取费表'!B19/2+'数据-取费表'!B21),C19*(POWER((1+F22),('数据-取费表'!B19/2+'数据-取费表'!B21))-1)),0)</f>
        <v>1</v>
      </c>
      <c r="D24" s="238"/>
      <c r="E24" s="238"/>
      <c r="F24" s="239"/>
      <c r="G24" s="240" t="s">
        <v>1502</v>
      </c>
    </row>
    <row r="25" spans="1:7" s="214" customFormat="1" ht="24">
      <c r="A25" s="776" t="s">
        <v>1503</v>
      </c>
      <c r="B25" s="215" t="s">
        <v>1504</v>
      </c>
      <c r="C25" s="1101">
        <f ca="1">ROUND(IF('数据-取费表'!B22&lt;=1,C20*F22*'数据-取费表'!B23/2,C20*(POWER((1+F22),'数据-取费表'!B23/2)-1)),0)</f>
        <v>0</v>
      </c>
      <c r="D25" s="238"/>
      <c r="E25" s="241"/>
      <c r="F25" s="239"/>
      <c r="G25" s="242" t="s">
        <v>1505</v>
      </c>
    </row>
    <row r="26" spans="1:7" s="214" customFormat="1">
      <c r="A26" s="776"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2</v>
      </c>
      <c r="D27" s="235">
        <f ca="1">C29</f>
        <v>3.0000000000000001E-3</v>
      </c>
      <c r="E27" s="236" t="s">
        <v>1509</v>
      </c>
      <c r="F27" s="246">
        <f ca="1">IF(B1="",'数据-取费表'!Q16,INDIRECT("'数据-取费表'!q"&amp;$G$1))</f>
        <v>0.15</v>
      </c>
      <c r="G27" s="247" t="s">
        <v>1510</v>
      </c>
    </row>
    <row r="28" spans="1:7" s="214" customFormat="1" ht="13.5" customHeight="1">
      <c r="A28" s="776" t="s">
        <v>346</v>
      </c>
      <c r="B28" s="248" t="s">
        <v>1511</v>
      </c>
      <c r="C28" s="249">
        <f ca="1">ROUND((C5+C19+C20)*F27*'数据-取费表'!B21/'数据-取费表'!B20,0)</f>
        <v>2</v>
      </c>
      <c r="D28" s="235"/>
      <c r="E28" s="236"/>
      <c r="F28" s="246"/>
      <c r="G28" s="247"/>
    </row>
    <row r="29" spans="1:7" s="214" customFormat="1" ht="13.5" customHeight="1">
      <c r="A29" s="776" t="s">
        <v>347</v>
      </c>
      <c r="B29" s="248" t="s">
        <v>1512</v>
      </c>
      <c r="C29" s="238">
        <f ca="1">ROUND(C21*F27*'数据-取费表'!B21/'数据-取费表'!B20,4)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18</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267</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237</v>
      </c>
      <c r="D34" s="217"/>
      <c r="E34" s="220"/>
      <c r="F34" s="257">
        <f ca="1">IF('数据-取费表'!B24=0,1,IF(B1="",'数据-取费表'!N16,INDIRECT("'数据-取费表'!n"&amp;$G$1)))</f>
        <v>1</v>
      </c>
      <c r="G34" s="219" t="s">
        <v>1521</v>
      </c>
    </row>
    <row r="35" spans="1:7" ht="13.5" customHeight="1">
      <c r="A35" s="776" t="s">
        <v>351</v>
      </c>
      <c r="B35" s="215" t="s">
        <v>1522</v>
      </c>
      <c r="C35" s="220">
        <f ca="1">ROUND(C34*F35,0)</f>
        <v>12</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14</v>
      </c>
      <c r="D37" s="217">
        <f ca="1">D19</f>
        <v>680.04</v>
      </c>
      <c r="E37" s="249">
        <f>'数据-取费表'!B35</f>
        <v>200</v>
      </c>
      <c r="F37" s="259"/>
      <c r="G37" s="261" t="s">
        <v>1527</v>
      </c>
    </row>
    <row r="38" spans="1:7" ht="13.5" customHeight="1">
      <c r="A38" s="776" t="s">
        <v>354</v>
      </c>
      <c r="B38" s="215" t="s">
        <v>1528</v>
      </c>
      <c r="C38" s="220">
        <f ca="1">ROUND(C34*F38,0)</f>
        <v>4</v>
      </c>
      <c r="D38" s="220"/>
      <c r="E38" s="220"/>
      <c r="F38" s="259">
        <f>'数据-取费表'!B36</f>
        <v>1.4999999999999999E-2</v>
      </c>
      <c r="G38" s="219" t="s">
        <v>1523</v>
      </c>
    </row>
    <row r="39" spans="1:7" s="214" customFormat="1" ht="13.5" customHeight="1">
      <c r="A39" s="255" t="s">
        <v>1529</v>
      </c>
      <c r="B39" s="210" t="s">
        <v>1530</v>
      </c>
      <c r="C39" s="232">
        <f ca="1">ROUND(C33*F20,0)</f>
        <v>5</v>
      </c>
      <c r="D39" s="232"/>
      <c r="E39" s="232"/>
      <c r="F39" s="233">
        <f>F20</f>
        <v>0.02</v>
      </c>
      <c r="G39" s="234" t="s">
        <v>1531</v>
      </c>
    </row>
    <row r="40" spans="1:7" s="214" customFormat="1" ht="13.5" customHeight="1">
      <c r="A40" s="255" t="s">
        <v>1532</v>
      </c>
      <c r="B40" s="210" t="s">
        <v>1533</v>
      </c>
      <c r="C40" s="1323">
        <f>F21</f>
        <v>0.02</v>
      </c>
      <c r="D40" s="236" t="s">
        <v>1534</v>
      </c>
      <c r="E40" s="232"/>
      <c r="F40" s="233">
        <f>F21</f>
        <v>0.02</v>
      </c>
      <c r="G40" s="234" t="s">
        <v>1535</v>
      </c>
    </row>
    <row r="41" spans="1:7" s="214" customFormat="1" ht="13.5" customHeight="1">
      <c r="A41" s="255" t="s">
        <v>1536</v>
      </c>
      <c r="B41" s="210" t="s">
        <v>1537</v>
      </c>
      <c r="C41" s="232">
        <f ca="1">ROUND(SUM(C42:C43),0)</f>
        <v>11</v>
      </c>
      <c r="D41" s="235">
        <f ca="1">C44</f>
        <v>8.0000000000000004E-4</v>
      </c>
      <c r="E41" s="236" t="s">
        <v>1534</v>
      </c>
      <c r="F41" s="237">
        <f ca="1">F22</f>
        <v>4.1499999999999995E-2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11</v>
      </c>
      <c r="D42" s="238"/>
      <c r="E42" s="238"/>
      <c r="F42" s="239"/>
      <c r="G42" s="3675" t="s">
        <v>1539</v>
      </c>
    </row>
    <row r="43" spans="1:7" ht="13.5" customHeight="1">
      <c r="A43" s="776" t="s">
        <v>347</v>
      </c>
      <c r="B43" s="215" t="s">
        <v>1540</v>
      </c>
      <c r="C43" s="238">
        <f ca="1">ROUND(IF('数据-取费表'!B22&lt;=1,C39*F22*'数据-取费表'!B21/2,C39*(POWER((1+F22),'数据-取费表'!B21/2)-1)),0)</f>
        <v>0</v>
      </c>
      <c r="D43" s="238"/>
      <c r="E43" s="238"/>
      <c r="F43" s="239"/>
      <c r="G43" s="3676"/>
    </row>
    <row r="44" spans="1:7" ht="13.5" customHeight="1">
      <c r="A44" s="776" t="s">
        <v>348</v>
      </c>
      <c r="B44" s="215" t="s">
        <v>1541</v>
      </c>
      <c r="C44" s="238">
        <f ca="1">ROUND(IF('数据-取费表'!B22&lt;=1,C40*F22*'数据-取费表'!B21/2,C40*(POWER((1+F22),'数据-取费表'!B21/2)-1)),4)</f>
        <v>8.0000000000000004E-4</v>
      </c>
      <c r="D44" s="238"/>
      <c r="E44" s="238"/>
      <c r="F44" s="239"/>
      <c r="G44" s="3677"/>
    </row>
    <row r="45" spans="1:7" s="214" customFormat="1" ht="13.5" customHeight="1">
      <c r="A45" s="255" t="s">
        <v>1542</v>
      </c>
      <c r="B45" s="244" t="s">
        <v>1508</v>
      </c>
      <c r="C45" s="245">
        <f ca="1">C46</f>
        <v>41</v>
      </c>
      <c r="D45" s="235">
        <f ca="1">C47</f>
        <v>3.0000000000000001E-3</v>
      </c>
      <c r="E45" s="236" t="s">
        <v>1534</v>
      </c>
      <c r="F45" s="246">
        <f ca="1">F27</f>
        <v>0.15</v>
      </c>
      <c r="G45" s="247" t="s">
        <v>1543</v>
      </c>
    </row>
    <row r="46" spans="1:7" s="214" customFormat="1" ht="13.5" customHeight="1">
      <c r="A46" s="776" t="s">
        <v>346</v>
      </c>
      <c r="B46" s="248" t="s">
        <v>1544</v>
      </c>
      <c r="C46" s="249">
        <f ca="1">ROUND((C33+C39)*F27,0)</f>
        <v>41</v>
      </c>
      <c r="D46" s="263"/>
      <c r="E46" s="236"/>
      <c r="F46" s="246"/>
      <c r="G46" s="247"/>
    </row>
    <row r="47" spans="1:7" s="214" customFormat="1" ht="13.5" customHeight="1">
      <c r="A47" s="776" t="s">
        <v>347</v>
      </c>
      <c r="B47" s="248" t="s">
        <v>1545</v>
      </c>
      <c r="C47" s="238">
        <f ca="1">ROUND(C40*F27,4)</f>
        <v>3.0000000000000001E-3</v>
      </c>
      <c r="D47" s="263"/>
      <c r="E47" s="236"/>
      <c r="F47" s="246"/>
      <c r="G47" s="247"/>
    </row>
    <row r="48" spans="1:7" s="214" customFormat="1" ht="13.5" customHeight="1">
      <c r="A48" s="255" t="s">
        <v>1507</v>
      </c>
      <c r="B48" s="210" t="s">
        <v>1546</v>
      </c>
      <c r="C48" s="1323">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351</v>
      </c>
      <c r="D49" s="232"/>
      <c r="E49" s="232"/>
      <c r="F49" s="264"/>
      <c r="G49" s="234" t="s">
        <v>1549</v>
      </c>
    </row>
    <row r="50" spans="1:7" s="258" customFormat="1" ht="24">
      <c r="A50" s="255" t="s">
        <v>1550</v>
      </c>
      <c r="B50" s="210" t="s">
        <v>1551</v>
      </c>
      <c r="C50" s="232"/>
      <c r="D50" s="232"/>
      <c r="E50" s="232"/>
      <c r="F50" s="264">
        <f>IF('数据-取费表'!B24=0,'数据-取费表'!N16,1)</f>
        <v>0.87</v>
      </c>
      <c r="G50" s="247" t="s">
        <v>1552</v>
      </c>
    </row>
    <row r="51" spans="1:7" ht="16.5" customHeight="1">
      <c r="A51" s="255" t="s">
        <v>1553</v>
      </c>
      <c r="B51" s="210" t="s">
        <v>1554</v>
      </c>
      <c r="C51" s="232">
        <f ca="1">ROUND(C49*F50,0)</f>
        <v>305</v>
      </c>
      <c r="D51" s="232"/>
      <c r="E51" s="232"/>
      <c r="F51" s="264"/>
      <c r="G51" s="234" t="s">
        <v>1555</v>
      </c>
    </row>
    <row r="52" spans="1:7" s="208" customFormat="1" ht="16.5" thickBot="1">
      <c r="A52" s="265" t="s">
        <v>1556</v>
      </c>
      <c r="B52" s="266"/>
      <c r="C52" s="267">
        <f ca="1">C31+C51</f>
        <v>323</v>
      </c>
      <c r="D52" s="266"/>
      <c r="E52" s="266"/>
      <c r="F52" s="266"/>
      <c r="G52" s="268"/>
    </row>
    <row r="55" spans="1:7" ht="15">
      <c r="B55" s="270" t="s">
        <v>1557</v>
      </c>
      <c r="C55" s="271"/>
    </row>
    <row r="56" spans="1:7">
      <c r="B56" s="273" t="s">
        <v>798</v>
      </c>
      <c r="C56" s="275">
        <f ca="1">1-C57</f>
        <v>5.600000000000005E-2</v>
      </c>
    </row>
    <row r="57" spans="1:7">
      <c r="B57" s="273" t="s">
        <v>799</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2" t="str">
        <f>项目基本情况!B1</f>
        <v>北京市金星西路501房地产抵押价值预评估</v>
      </c>
      <c r="C37" s="3492"/>
      <c r="D37" s="3492"/>
      <c r="E37" s="3492"/>
      <c r="F37" s="3492"/>
      <c r="G37" s="3492"/>
      <c r="H37" s="3492"/>
      <c r="I37" s="3492"/>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6"/>
      <c r="C1" s="1855" t="s">
        <v>1558</v>
      </c>
      <c r="D1" s="198"/>
      <c r="E1" s="198"/>
      <c r="F1" s="198"/>
      <c r="G1" s="1122">
        <f>MATCH(B1,'数据-取费表'!A6:A16,0)+5</f>
        <v>9</v>
      </c>
      <c r="H1" s="1057" t="str">
        <f>IF(ISERROR(FIND("住宅",B1)),"非住宅","住宅")</f>
        <v>非住宅</v>
      </c>
    </row>
    <row r="2" spans="1:8" s="200" customFormat="1" ht="18" customHeight="1">
      <c r="A2" s="201" t="s">
        <v>1457</v>
      </c>
      <c r="B2" s="3417">
        <f ca="1">ROUND(IF(D2="——",C52/10000,C52/10000-E2),4)</f>
        <v>342.75200000000001</v>
      </c>
      <c r="C2" s="199" t="s">
        <v>1458</v>
      </c>
      <c r="D2" s="1849" t="s">
        <v>43</v>
      </c>
      <c r="E2" s="1165" t="e">
        <f ca="1">SUMIF(INDIRECT("'"&amp;G2&amp;"'"&amp;"!A:A"),"承租人权益价值",INDIRECT("'"&amp;G2&amp;"'"&amp;"!c:c"))</f>
        <v>#REF!</v>
      </c>
      <c r="F2" s="1850" t="s">
        <v>1458</v>
      </c>
      <c r="G2" s="1851"/>
    </row>
    <row r="3" spans="1:8" s="200" customFormat="1" ht="18" customHeight="1" thickBot="1">
      <c r="A3" s="203" t="s">
        <v>1459</v>
      </c>
      <c r="B3" s="204">
        <f ca="1">ROUND(B2*10000/(IF(B1="",'数据-汇总表'!E3,INDIRECT("'数据-取费表'!k"&amp;$G$1))),0)</f>
        <v>5040</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136008</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136008</v>
      </c>
      <c r="D8" s="222"/>
      <c r="E8" s="220"/>
      <c r="F8" s="221"/>
      <c r="G8" s="1852"/>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1475</v>
      </c>
      <c r="C10" s="225">
        <f ca="1">ROUND(D10*E10,0)</f>
        <v>136008</v>
      </c>
      <c r="D10" s="841">
        <f ca="1">IF(B1="",'数据-汇总表'!E6,IF(INDIRECT("'数据-取费表'!c"&amp;$G$1)="住宅",INDIRECT("'数据-取费表'!s"&amp;$G$1),INDIRECT("'数据-取费表'!k"&amp;$G$1)+INDIRECT("'数据-取费表'!s"&amp;$G$1)))</f>
        <v>680.04</v>
      </c>
      <c r="E10" s="225">
        <f>'数据-取费表'!B28</f>
        <v>200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136008</v>
      </c>
      <c r="D19" s="845">
        <f ca="1">D9+D10</f>
        <v>680.04</v>
      </c>
      <c r="E19" s="211">
        <f>'数据-取费表'!B31</f>
        <v>200</v>
      </c>
      <c r="F19" s="231"/>
      <c r="G19" s="1852"/>
    </row>
    <row r="20" spans="1:7" s="214" customFormat="1" ht="13.5" customHeight="1">
      <c r="A20" s="255" t="s">
        <v>1569</v>
      </c>
      <c r="B20" s="210" t="s">
        <v>1570</v>
      </c>
      <c r="C20" s="232">
        <f ca="1">ROUND((C5+C19)*F20,0)</f>
        <v>5440</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3">
        <f ca="1">ROUND(SUM(C23:C25),0)</f>
        <v>23272</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76" t="s">
        <v>1467</v>
      </c>
      <c r="B23" s="215" t="s">
        <v>1578</v>
      </c>
      <c r="C23" s="1124">
        <f ca="1">ROUND(IF('数据-取费表'!B22&lt;=1,C5*F22*'数据-取费表'!B22,C5*(POWER((1+F22),'数据-取费表'!B22)-1)),0)</f>
        <v>11523</v>
      </c>
      <c r="D23" s="238"/>
      <c r="E23" s="238"/>
      <c r="F23" s="239"/>
      <c r="G23" s="240" t="s">
        <v>1579</v>
      </c>
    </row>
    <row r="24" spans="1:7" s="214" customFormat="1" ht="13.5" customHeight="1">
      <c r="A24" s="776" t="s">
        <v>1469</v>
      </c>
      <c r="B24" s="215" t="s">
        <v>1580</v>
      </c>
      <c r="C24" s="1124">
        <f ca="1">ROUND(IF('数据-取费表'!B22&lt;=1,C19*F22*('数据-取费表'!B19/2+'数据-取费表'!B20),C19*(POWER((1+F22),('数据-取费表'!B19/2+'数据-取费表'!B20))-1)),0)</f>
        <v>11523</v>
      </c>
      <c r="D24" s="238"/>
      <c r="E24" s="238"/>
      <c r="F24" s="239"/>
      <c r="G24" s="240" t="s">
        <v>1581</v>
      </c>
    </row>
    <row r="25" spans="1:7" s="214" customFormat="1" ht="24">
      <c r="A25" s="776" t="s">
        <v>1471</v>
      </c>
      <c r="B25" s="215" t="s">
        <v>1582</v>
      </c>
      <c r="C25" s="1124">
        <f ca="1">ROUND(IF('数据-取费表'!B22&lt;=1,C20*F22*'数据-取费表'!B22/2,C20*(POWER((1+F22),'数据-取费表'!B22/2)-1)),0)</f>
        <v>226</v>
      </c>
      <c r="D25" s="238"/>
      <c r="E25" s="241"/>
      <c r="F25" s="239"/>
      <c r="G25" s="242" t="s">
        <v>1583</v>
      </c>
    </row>
    <row r="26" spans="1:7" s="214" customFormat="1">
      <c r="A26" s="776"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41618</v>
      </c>
      <c r="D27" s="235">
        <f ca="1">C29</f>
        <v>3.0000000000000001E-3</v>
      </c>
      <c r="E27" s="236" t="s">
        <v>1509</v>
      </c>
      <c r="F27" s="246">
        <f ca="1">IF(B1="",'数据-取费表'!Q16,INDIRECT("'数据-取费表'!q"&amp;$G$1))</f>
        <v>0.15</v>
      </c>
      <c r="G27" s="247" t="s">
        <v>1510</v>
      </c>
    </row>
    <row r="28" spans="1:7" s="214" customFormat="1" ht="13.5" customHeight="1">
      <c r="A28" s="776" t="s">
        <v>346</v>
      </c>
      <c r="B28" s="248" t="s">
        <v>1511</v>
      </c>
      <c r="C28" s="249">
        <f ca="1">ROUND((C5+C19+C20)*F27,0)</f>
        <v>41618</v>
      </c>
      <c r="D28" s="235"/>
      <c r="E28" s="236"/>
      <c r="F28" s="246"/>
      <c r="G28" s="247"/>
    </row>
    <row r="29" spans="1:7" s="214" customFormat="1" ht="13.5" customHeight="1">
      <c r="A29" s="776" t="s">
        <v>347</v>
      </c>
      <c r="B29" s="248" t="s">
        <v>1512</v>
      </c>
      <c r="C29" s="238">
        <f ca="1">ROUND(C21*F27,4)</f>
        <v>3.0000000000000001E-3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370585</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2670857</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2380140</v>
      </c>
      <c r="D34" s="217"/>
      <c r="E34" s="220"/>
      <c r="F34" s="257"/>
      <c r="G34" s="219"/>
    </row>
    <row r="35" spans="1:7" ht="13.5" customHeight="1">
      <c r="A35" s="776" t="s">
        <v>351</v>
      </c>
      <c r="B35" s="215" t="s">
        <v>1522</v>
      </c>
      <c r="C35" s="220">
        <f ca="1">ROUND(C34*F35,0)</f>
        <v>119007</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136008</v>
      </c>
      <c r="D37" s="217">
        <f ca="1">D19</f>
        <v>680.04</v>
      </c>
      <c r="E37" s="249">
        <f>'数据-取费表'!B35</f>
        <v>200</v>
      </c>
      <c r="F37" s="259"/>
      <c r="G37" s="261"/>
    </row>
    <row r="38" spans="1:7" ht="13.5" customHeight="1">
      <c r="A38" s="776" t="s">
        <v>354</v>
      </c>
      <c r="B38" s="215" t="s">
        <v>1528</v>
      </c>
      <c r="C38" s="220">
        <f ca="1">ROUND(C34*F38,0)</f>
        <v>35702</v>
      </c>
      <c r="D38" s="220"/>
      <c r="E38" s="220"/>
      <c r="F38" s="259">
        <f>'数据-取费表'!B36</f>
        <v>1.4999999999999999E-2</v>
      </c>
      <c r="G38" s="219" t="s">
        <v>1523</v>
      </c>
    </row>
    <row r="39" spans="1:7" s="214" customFormat="1" ht="13.5" customHeight="1">
      <c r="A39" s="255" t="s">
        <v>1529</v>
      </c>
      <c r="B39" s="210" t="s">
        <v>1530</v>
      </c>
      <c r="C39" s="232">
        <f ca="1">ROUND(C33*F20,0)</f>
        <v>53417</v>
      </c>
      <c r="D39" s="232"/>
      <c r="E39" s="232"/>
      <c r="F39" s="233">
        <f>F20</f>
        <v>0.02</v>
      </c>
      <c r="G39" s="234" t="s">
        <v>1531</v>
      </c>
    </row>
    <row r="40" spans="1:7" s="214" customFormat="1" ht="13.5" customHeight="1">
      <c r="A40" s="255" t="s">
        <v>1532</v>
      </c>
      <c r="B40" s="210" t="s">
        <v>1533</v>
      </c>
      <c r="C40" s="1323">
        <f>F21</f>
        <v>0.02</v>
      </c>
      <c r="D40" s="236" t="s">
        <v>1534</v>
      </c>
      <c r="E40" s="232"/>
      <c r="F40" s="233">
        <f>F21</f>
        <v>0.02</v>
      </c>
      <c r="G40" s="234" t="s">
        <v>1535</v>
      </c>
    </row>
    <row r="41" spans="1:7" s="214" customFormat="1" ht="13.5" customHeight="1">
      <c r="A41" s="255" t="s">
        <v>1536</v>
      </c>
      <c r="B41" s="210" t="s">
        <v>1537</v>
      </c>
      <c r="C41" s="232">
        <f ca="1">ROUND(SUM(C42:C43),0)</f>
        <v>113058</v>
      </c>
      <c r="D41" s="235">
        <f ca="1">C44</f>
        <v>8.0000000000000004E-4</v>
      </c>
      <c r="E41" s="236" t="s">
        <v>1534</v>
      </c>
      <c r="F41" s="237">
        <f ca="1">F22</f>
        <v>4.1499999999999995E-2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110841</v>
      </c>
      <c r="D42" s="238"/>
      <c r="E42" s="238"/>
      <c r="F42" s="239"/>
      <c r="G42" s="3675" t="s">
        <v>1586</v>
      </c>
    </row>
    <row r="43" spans="1:7" ht="13.5" customHeight="1">
      <c r="A43" s="776" t="s">
        <v>347</v>
      </c>
      <c r="B43" s="215" t="s">
        <v>1540</v>
      </c>
      <c r="C43" s="238">
        <f ca="1">ROUND(IF('数据-取费表'!B22&lt;=1,C39*F22*'数据-取费表'!B20/2,C39*(POWER((1+F22),'数据-取费表'!B20/2)-1)),0)</f>
        <v>2217</v>
      </c>
      <c r="D43" s="238"/>
      <c r="E43" s="238"/>
      <c r="F43" s="239"/>
      <c r="G43" s="3676"/>
    </row>
    <row r="44" spans="1:7" ht="13.5" customHeight="1">
      <c r="A44" s="776" t="s">
        <v>348</v>
      </c>
      <c r="B44" s="215" t="s">
        <v>1541</v>
      </c>
      <c r="C44" s="238">
        <f ca="1">ROUND(IF('数据-取费表'!B22&lt;=1,C40*F22*'数据-取费表'!B20/2,C40*(POWER((1+F22),'数据-取费表'!B20/2)-1)),4)</f>
        <v>8.0000000000000004E-4</v>
      </c>
      <c r="D44" s="238"/>
      <c r="E44" s="238"/>
      <c r="F44" s="239"/>
      <c r="G44" s="3677"/>
    </row>
    <row r="45" spans="1:7" s="214" customFormat="1" ht="13.5" customHeight="1">
      <c r="A45" s="255" t="s">
        <v>1542</v>
      </c>
      <c r="B45" s="244" t="s">
        <v>1508</v>
      </c>
      <c r="C45" s="245">
        <f ca="1">C46</f>
        <v>408641</v>
      </c>
      <c r="D45" s="235">
        <f ca="1">C47</f>
        <v>3.0000000000000001E-3</v>
      </c>
      <c r="E45" s="236" t="s">
        <v>1534</v>
      </c>
      <c r="F45" s="246">
        <f ca="1">F27</f>
        <v>0.15</v>
      </c>
      <c r="G45" s="247" t="s">
        <v>1543</v>
      </c>
    </row>
    <row r="46" spans="1:7" s="214" customFormat="1" ht="13.5" customHeight="1">
      <c r="A46" s="776" t="s">
        <v>346</v>
      </c>
      <c r="B46" s="248" t="s">
        <v>1544</v>
      </c>
      <c r="C46" s="249">
        <f ca="1">ROUND((C33+C39)*F27,0)</f>
        <v>408641</v>
      </c>
      <c r="D46" s="263"/>
      <c r="E46" s="236"/>
      <c r="F46" s="246"/>
      <c r="G46" s="247"/>
    </row>
    <row r="47" spans="1:7" s="214" customFormat="1" ht="13.5" customHeight="1">
      <c r="A47" s="776" t="s">
        <v>347</v>
      </c>
      <c r="B47" s="248" t="s">
        <v>1545</v>
      </c>
      <c r="C47" s="238">
        <f ca="1">ROUND(C40*F27,4)</f>
        <v>3.0000000000000001E-3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3513718</v>
      </c>
      <c r="D49" s="232"/>
      <c r="E49" s="232"/>
      <c r="F49" s="264"/>
      <c r="G49" s="234" t="s">
        <v>1549</v>
      </c>
    </row>
    <row r="50" spans="1:7" s="258" customFormat="1">
      <c r="A50" s="255" t="s">
        <v>1550</v>
      </c>
      <c r="B50" s="210" t="s">
        <v>1551</v>
      </c>
      <c r="C50" s="232"/>
      <c r="D50" s="232"/>
      <c r="E50" s="232"/>
      <c r="F50" s="264">
        <f>IF('数据-取费表'!B24=0,'数据-取费表'!N16,1)</f>
        <v>0.87</v>
      </c>
      <c r="G50" s="247"/>
    </row>
    <row r="51" spans="1:7" ht="16.5" customHeight="1">
      <c r="A51" s="255" t="s">
        <v>1553</v>
      </c>
      <c r="B51" s="210" t="s">
        <v>1588</v>
      </c>
      <c r="C51" s="232">
        <f ca="1">ROUND(C49*F50,0)</f>
        <v>3056935</v>
      </c>
      <c r="D51" s="232"/>
      <c r="E51" s="232"/>
      <c r="F51" s="264"/>
      <c r="G51" s="234" t="s">
        <v>1555</v>
      </c>
    </row>
    <row r="52" spans="1:7" s="208" customFormat="1" ht="16.5" thickBot="1">
      <c r="A52" s="265" t="s">
        <v>1556</v>
      </c>
      <c r="B52" s="266"/>
      <c r="C52" s="267">
        <f ca="1">C31+C51</f>
        <v>3427520</v>
      </c>
      <c r="D52" s="266"/>
      <c r="E52" s="266"/>
      <c r="F52" s="266"/>
      <c r="G52" s="268"/>
    </row>
    <row r="55" spans="1:7" ht="15">
      <c r="B55" s="270" t="s">
        <v>1557</v>
      </c>
      <c r="C55" s="271"/>
    </row>
    <row r="56" spans="1:7">
      <c r="B56" s="273" t="s">
        <v>798</v>
      </c>
      <c r="C56" s="275">
        <f ca="1">1-C57</f>
        <v>0.10799999999999998</v>
      </c>
    </row>
    <row r="57" spans="1:7">
      <c r="B57" s="273" t="s">
        <v>799</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7"/>
      <c r="C1" s="1188"/>
      <c r="D1" s="1186"/>
      <c r="E1" s="2799"/>
      <c r="F1" s="2799"/>
      <c r="G1" s="2664"/>
      <c r="H1" s="2799"/>
      <c r="I1" s="2799"/>
      <c r="J1" s="2799"/>
      <c r="K1" s="2800">
        <f>MATCH(C1,'数据-取费表'!A6:A16,0)+5</f>
        <v>9</v>
      </c>
    </row>
    <row r="2" spans="1:33" ht="18" customHeight="1">
      <c r="A2" s="201" t="s">
        <v>1457</v>
      </c>
      <c r="B2" s="204">
        <f ca="1">C32</f>
        <v>-16</v>
      </c>
      <c r="C2" s="276" t="s">
        <v>1590</v>
      </c>
      <c r="D2" s="276"/>
      <c r="E2" s="2799"/>
      <c r="F2" s="2799"/>
      <c r="G2" s="2799"/>
      <c r="H2" s="2799"/>
      <c r="I2" s="2799"/>
      <c r="J2" s="2799"/>
      <c r="K2" s="2799"/>
    </row>
    <row r="3" spans="1:33" ht="18" customHeight="1" thickBot="1">
      <c r="A3" s="203" t="s">
        <v>1459</v>
      </c>
      <c r="B3" s="204">
        <f ca="1">ROUND(B2*10000/IF(C1="",'数据-汇总表'!E3,INDIRECT("'数据-取费表'!K"&amp;$K$1)),0)</f>
        <v>-235</v>
      </c>
      <c r="C3" s="276" t="s">
        <v>1591</v>
      </c>
      <c r="D3" s="276"/>
      <c r="E3" s="2799"/>
      <c r="F3" s="2799"/>
      <c r="G3" s="2799"/>
      <c r="H3" s="2799"/>
      <c r="I3" s="2799"/>
      <c r="J3" s="2799"/>
      <c r="K3" s="2799"/>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634</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1608</v>
      </c>
      <c r="C12" s="21">
        <f ca="1">ROUND(C11*F12,0)</f>
        <v>0</v>
      </c>
      <c r="D12" s="798"/>
      <c r="E12" s="329"/>
      <c r="F12" s="808">
        <f>'数据-取费表'!B33</f>
        <v>0.05</v>
      </c>
      <c r="G12" s="5" t="s">
        <v>1609</v>
      </c>
      <c r="H12" s="793"/>
      <c r="I12" s="793"/>
      <c r="J12" s="793"/>
      <c r="K12" s="794"/>
    </row>
    <row r="13" spans="1:33" s="799" customFormat="1" ht="13.5" customHeight="1">
      <c r="A13" s="796" t="s">
        <v>636</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637</v>
      </c>
      <c r="B14" s="797" t="s">
        <v>1612</v>
      </c>
      <c r="C14" s="21">
        <f ca="1">ROUND(D14*E14*F11/10000,0)</f>
        <v>0</v>
      </c>
      <c r="D14" s="842">
        <f ca="1">IF(C1="",'数据-汇总表'!E3,INDIRECT("'数据-取费表'!K"&amp;$K$1)+INDIRECT("'数据-取费表'!S"&amp;$K$1))</f>
        <v>680.04</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680.04</v>
      </c>
      <c r="E17" s="21">
        <f>'数据-取费表'!B32</f>
        <v>0</v>
      </c>
      <c r="F17" s="802"/>
      <c r="G17" s="131" t="s">
        <v>1618</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1619</v>
      </c>
      <c r="C18" s="21">
        <f ca="1">C19+C20-IF(C1="",'数据-取费表'!B29,IF(G18="已全部缴纳",C19+C20,H18))</f>
        <v>14</v>
      </c>
      <c r="D18" s="842"/>
      <c r="E18" s="21"/>
      <c r="F18" s="800"/>
      <c r="G18" s="1858"/>
      <c r="H18" s="1183"/>
      <c r="I18" s="1859"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1622</v>
      </c>
      <c r="C20" s="21">
        <f ca="1">ROUND(D20*E20/10000,0)</f>
        <v>14</v>
      </c>
      <c r="D20" s="842">
        <f ca="1">IF(C1="",'数据-汇总表'!E6,IF(INDIRECT("'数据-取费表'!c"&amp;$K$1)="住宅",INDIRECT("'数据-取费表'!s"&amp;$K$1),INDIRECT("'数据-取费表'!k"&amp;$K$1)+INDIRECT("'数据-取费表'!s"&amp;$K$1)))</f>
        <v>680.04</v>
      </c>
      <c r="E20" s="21">
        <f>'数据-取费表'!B28</f>
        <v>200</v>
      </c>
      <c r="F20" s="800"/>
      <c r="G20" s="12"/>
      <c r="H20" s="805"/>
      <c r="I20" s="805"/>
      <c r="J20" s="805"/>
      <c r="K20" s="806"/>
    </row>
    <row r="21" spans="1:33" s="799" customFormat="1" ht="13.5" customHeight="1">
      <c r="A21" s="786" t="s">
        <v>357</v>
      </c>
      <c r="B21" s="809" t="s">
        <v>1623</v>
      </c>
      <c r="C21" s="810">
        <f ca="1">C16+C17+C18</f>
        <v>14</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1636</v>
      </c>
      <c r="B28" s="1861" t="s">
        <v>1637</v>
      </c>
      <c r="C28" s="287">
        <f ca="1">C30</f>
        <v>2</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2</v>
      </c>
      <c r="D30" s="284"/>
      <c r="E30" s="285"/>
      <c r="F30" s="290"/>
      <c r="G30" s="131"/>
      <c r="H30" s="803"/>
      <c r="I30" s="803"/>
      <c r="J30" s="803"/>
      <c r="K30" s="804"/>
    </row>
    <row r="31" spans="1:33" s="799" customFormat="1" ht="13.5" customHeight="1" thickBot="1">
      <c r="A31" s="1862"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-16</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3"/>
      <c r="C1" s="1375"/>
      <c r="D1" s="1358" t="s">
        <v>43</v>
      </c>
      <c r="E1" s="1359" t="s">
        <v>674</v>
      </c>
      <c r="F1" s="1058">
        <f ca="1">J53</f>
        <v>0</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800</v>
      </c>
      <c r="B2" s="1382" t="e">
        <f ca="1">C40+J29+L46</f>
        <v>#DIV/0!</v>
      </c>
      <c r="C2" s="1383" t="s">
        <v>801</v>
      </c>
      <c r="D2" s="1383"/>
      <c r="E2" s="1384"/>
      <c r="F2" s="1385"/>
      <c r="G2" s="2699"/>
      <c r="H2" s="2688"/>
      <c r="I2" s="2688"/>
      <c r="J2" s="2688"/>
      <c r="K2" s="2689"/>
      <c r="L2" s="2688"/>
      <c r="M2" s="2688"/>
    </row>
    <row r="3" spans="1:37" ht="18" customHeight="1" thickBot="1">
      <c r="A3" s="1386" t="s">
        <v>802</v>
      </c>
      <c r="B3" s="1387">
        <f ca="1">IF(ISERROR(B2*10000/F43),0,ROUND(B2*10000/F43,0))</f>
        <v>0</v>
      </c>
      <c r="C3" s="1383" t="s">
        <v>803</v>
      </c>
      <c r="D3" s="1383"/>
      <c r="E3" s="1384"/>
      <c r="F3" s="1385"/>
      <c r="G3" s="2699"/>
      <c r="H3" s="683"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0</v>
      </c>
      <c r="D5" s="1360" t="s">
        <v>689</v>
      </c>
      <c r="E5" s="1067"/>
      <c r="F5" s="1068"/>
      <c r="G5" s="1380"/>
      <c r="H5" s="299">
        <v>1</v>
      </c>
      <c r="I5" s="300" t="s">
        <v>688</v>
      </c>
      <c r="J5" s="1066">
        <f ca="1">J6+J10+J12</f>
        <v>0</v>
      </c>
      <c r="K5" s="1360" t="s">
        <v>689</v>
      </c>
      <c r="L5" s="1067"/>
      <c r="M5" s="1068"/>
    </row>
    <row r="6" spans="1:37" ht="18" customHeight="1">
      <c r="A6" s="1065" t="s">
        <v>398</v>
      </c>
      <c r="B6" s="3680" t="s">
        <v>690</v>
      </c>
      <c r="C6" s="1070">
        <f ca="1">ROUND(F6*F8*F7*(1-F9)/10000,0)</f>
        <v>0</v>
      </c>
      <c r="D6" s="155" t="s">
        <v>2104</v>
      </c>
      <c r="E6" s="302" t="s">
        <v>692</v>
      </c>
      <c r="F6" s="303">
        <f ca="1">INDIRECT("'数据-取费表'!u"&amp;$G$1)</f>
        <v>0</v>
      </c>
      <c r="G6" s="1380"/>
      <c r="H6" s="1065" t="s">
        <v>398</v>
      </c>
      <c r="I6" s="3680" t="s">
        <v>690</v>
      </c>
      <c r="J6" s="301">
        <f ca="1">ROUND(M6*M8*M7*(1-M9)/10000,0)</f>
        <v>0</v>
      </c>
      <c r="K6" s="155" t="s">
        <v>2103</v>
      </c>
      <c r="L6" s="302" t="s">
        <v>692</v>
      </c>
      <c r="M6" s="303">
        <f ca="1">INDIRECT("'数据-取费表'!z"&amp;$G$1)</f>
        <v>0</v>
      </c>
    </row>
    <row r="7" spans="1:37" ht="18" customHeight="1">
      <c r="A7" s="1069"/>
      <c r="B7" s="3681"/>
      <c r="C7" s="1071"/>
      <c r="D7" s="307"/>
      <c r="E7" s="1072" t="s">
        <v>693</v>
      </c>
      <c r="F7" s="303">
        <f ca="1">IF(INDIRECT("'数据-取费表'!ah"&amp;$G$1)="",INDIRECT("'数据-取费表'!k"&amp;$G$1),INDIRECT("'数据-取费表'!ah"&amp;$G$1))</f>
        <v>0</v>
      </c>
      <c r="G7" s="1380"/>
      <c r="H7" s="304"/>
      <c r="I7" s="3681"/>
      <c r="J7" s="306"/>
      <c r="K7" s="307"/>
      <c r="L7" s="302" t="s">
        <v>693</v>
      </c>
      <c r="M7" s="303">
        <f ca="1">F7</f>
        <v>0</v>
      </c>
    </row>
    <row r="8" spans="1:37" ht="18" customHeight="1">
      <c r="A8" s="304"/>
      <c r="B8" s="3681"/>
      <c r="C8" s="306"/>
      <c r="D8" s="307"/>
      <c r="E8" s="302" t="s">
        <v>694</v>
      </c>
      <c r="F8" s="303">
        <f ca="1">INDIRECT("'数据-取费表'!ai"&amp;$G$1)</f>
        <v>0</v>
      </c>
      <c r="G8" s="1380"/>
      <c r="H8" s="304"/>
      <c r="I8" s="3681"/>
      <c r="J8" s="306"/>
      <c r="K8" s="307"/>
      <c r="L8" s="302" t="s">
        <v>694</v>
      </c>
      <c r="M8" s="303">
        <f ca="1">INDIRECT("'数据-取费表'!ai"&amp;$G$1)</f>
        <v>0</v>
      </c>
    </row>
    <row r="9" spans="1:37" ht="18" customHeight="1">
      <c r="A9" s="304"/>
      <c r="B9" s="3682"/>
      <c r="C9" s="306"/>
      <c r="D9" s="307"/>
      <c r="E9" s="302" t="s">
        <v>695</v>
      </c>
      <c r="F9" s="312">
        <f ca="1">INDIRECT("'数据-取费表'!w"&amp;$G$1)</f>
        <v>0</v>
      </c>
      <c r="G9" s="1380"/>
      <c r="H9" s="304"/>
      <c r="I9" s="3682"/>
      <c r="J9" s="306"/>
      <c r="K9" s="307"/>
      <c r="L9" s="313" t="s">
        <v>695</v>
      </c>
      <c r="M9" s="314">
        <f ca="1">INDIRECT("'数据-取费表'!ab"&amp;$G$1)</f>
        <v>0</v>
      </c>
    </row>
    <row r="10" spans="1:37" ht="18" customHeight="1">
      <c r="A10" s="1065" t="s">
        <v>402</v>
      </c>
      <c r="B10" s="1361" t="s">
        <v>696</v>
      </c>
      <c r="C10" s="316">
        <f ca="1">ROUND(IF(F10="押一",C6/12*F11,IF(F10="押二",C6/12*2*F11,IF(F10="押三",C6/12*3*F11,C11*F11))),0)</f>
        <v>0</v>
      </c>
      <c r="D10" s="1362" t="s">
        <v>2112</v>
      </c>
      <c r="E10" s="313" t="s">
        <v>697</v>
      </c>
      <c r="F10" s="1112"/>
      <c r="G10" s="1380"/>
      <c r="H10" s="1065" t="s">
        <v>402</v>
      </c>
      <c r="I10" s="1361" t="s">
        <v>696</v>
      </c>
      <c r="J10" s="301">
        <f ca="1">ROUND(IF(M10="押一",J6/12*M11,IF(M10="押二",J6/12*2*M11,IF(M10="押三",J6/12*3*M11,J11*M11))),0)</f>
        <v>0</v>
      </c>
      <c r="K10" s="1362" t="s">
        <v>2111</v>
      </c>
      <c r="L10" s="313" t="s">
        <v>697</v>
      </c>
      <c r="M10" s="1112"/>
    </row>
    <row r="11" spans="1:37" ht="18" customHeight="1">
      <c r="A11" s="308"/>
      <c r="B11" s="1363" t="s">
        <v>675</v>
      </c>
      <c r="C11" s="955"/>
      <c r="D11" s="1364"/>
      <c r="E11" s="313" t="s">
        <v>698</v>
      </c>
      <c r="F11" s="314">
        <f ca="1">'数据-取费表'!B39</f>
        <v>1.4999999999999999E-2</v>
      </c>
      <c r="G11" s="1380"/>
      <c r="H11" s="1073"/>
      <c r="I11" s="1363" t="s">
        <v>675</v>
      </c>
      <c r="J11" s="955"/>
      <c r="K11" s="684"/>
      <c r="L11" s="313"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2" t="s">
        <v>703</v>
      </c>
      <c r="C14" s="318">
        <f ca="1">INDIRECT("'数据-取费表'!m"&amp;$G$1)+INDIRECT("'数据-取费表'!t"&amp;$G$1)</f>
        <v>0</v>
      </c>
      <c r="D14" s="1341" t="s">
        <v>704</v>
      </c>
      <c r="E14" s="1338"/>
      <c r="F14" s="319"/>
      <c r="G14" s="1380"/>
      <c r="H14" s="978" t="s">
        <v>398</v>
      </c>
      <c r="I14" s="302" t="s">
        <v>705</v>
      </c>
      <c r="J14" s="21">
        <f ca="1">C29</f>
        <v>0</v>
      </c>
      <c r="K14" s="12"/>
      <c r="L14" s="803"/>
      <c r="M14" s="804"/>
    </row>
    <row r="15" spans="1:37" s="1393" customFormat="1" ht="18" customHeight="1" thickBot="1">
      <c r="A15" s="978" t="s">
        <v>399</v>
      </c>
      <c r="B15" s="302" t="s">
        <v>706</v>
      </c>
      <c r="C15" s="21">
        <f ca="1">ROUND(C14*F15,0)</f>
        <v>0</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0</v>
      </c>
      <c r="K16" s="1083" t="s">
        <v>711</v>
      </c>
      <c r="L16" s="1084"/>
      <c r="M16" s="1068"/>
    </row>
    <row r="17" spans="1:37" s="1393" customFormat="1" ht="18" customHeight="1">
      <c r="A17" s="978" t="s">
        <v>677</v>
      </c>
      <c r="B17" s="302" t="s">
        <v>712</v>
      </c>
      <c r="C17" s="21">
        <f ca="1">ROUND(F17*(F43+INDIRECT("'数据-取费表'!S"&amp;$G$1))/10000,0)</f>
        <v>0</v>
      </c>
      <c r="D17" s="302" t="s">
        <v>713</v>
      </c>
      <c r="E17" s="302" t="s">
        <v>714</v>
      </c>
      <c r="F17" s="23">
        <f>'数据-取费表'!B35</f>
        <v>200</v>
      </c>
      <c r="G17" s="1392"/>
      <c r="H17" s="978" t="s">
        <v>398</v>
      </c>
      <c r="I17" s="302" t="s">
        <v>715</v>
      </c>
      <c r="J17" s="2311">
        <f ca="1">ROUND(IF(AND(项目基本情况!B11="自然人",项目基本情况!B10="北京市"),J6*M17/(1+'数据-取费表'!C42),J18+J19+J20),2)</f>
        <v>0</v>
      </c>
      <c r="K17" s="1341" t="s">
        <v>716</v>
      </c>
      <c r="L17" s="1340" t="s">
        <v>717</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2" t="s">
        <v>718</v>
      </c>
      <c r="C18" s="21">
        <f ca="1">ROUND(C14*F18,0)</f>
        <v>0</v>
      </c>
      <c r="D18" s="302" t="s">
        <v>707</v>
      </c>
      <c r="E18" s="302" t="s">
        <v>708</v>
      </c>
      <c r="F18" s="322">
        <f>'数据-取费表'!B36</f>
        <v>1.4999999999999999E-2</v>
      </c>
      <c r="G18" s="1392"/>
      <c r="H18" s="978" t="s">
        <v>397</v>
      </c>
      <c r="I18" s="302" t="s">
        <v>719</v>
      </c>
      <c r="J18" s="21">
        <f ca="1">ROUND(J6*M18/(1+'数据-取费表'!C42),2)</f>
        <v>0</v>
      </c>
      <c r="K18" s="1340" t="s">
        <v>720</v>
      </c>
      <c r="L18" s="302" t="s">
        <v>708</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721</v>
      </c>
      <c r="C19" s="21">
        <f ca="1">SUM(C14:C18)</f>
        <v>0</v>
      </c>
      <c r="D19" s="131" t="s">
        <v>722</v>
      </c>
      <c r="E19" s="1356"/>
      <c r="F19" s="23"/>
      <c r="G19" s="1380"/>
      <c r="H19" s="978" t="s">
        <v>399</v>
      </c>
      <c r="I19" s="302" t="s">
        <v>723</v>
      </c>
      <c r="J19" s="21">
        <f ca="1">IF(K19="按租金收入计税",ROUND(J6*M19/(1+'数据-取费表'!C42),2),ROUND(C29*M19*0.7,2))</f>
        <v>0</v>
      </c>
      <c r="K19" s="1366" t="s">
        <v>3338</v>
      </c>
      <c r="L19" s="302" t="s">
        <v>708</v>
      </c>
      <c r="M19" s="322">
        <f>IF(K19="按租金收入计税",'数据-取费表'!B51,'数据-取费表'!B50)</f>
        <v>0.12</v>
      </c>
    </row>
    <row r="20" spans="1:37" s="1393" customFormat="1" ht="18" customHeight="1">
      <c r="A20" s="978" t="s">
        <v>402</v>
      </c>
      <c r="B20" s="302" t="s">
        <v>724</v>
      </c>
      <c r="C20" s="21">
        <f ca="1">ROUND(C19*F20,0)</f>
        <v>0</v>
      </c>
      <c r="D20" s="323" t="s">
        <v>725</v>
      </c>
      <c r="E20" s="302" t="s">
        <v>708</v>
      </c>
      <c r="F20" s="322">
        <f>'数据-取费表'!B37</f>
        <v>0.02</v>
      </c>
      <c r="G20" s="1392"/>
      <c r="H20" s="978" t="s">
        <v>676</v>
      </c>
      <c r="I20" s="155" t="s">
        <v>726</v>
      </c>
      <c r="J20" s="22">
        <f ca="1">ROUND(M20*M21/10000,2)</f>
        <v>0</v>
      </c>
      <c r="K20" s="324" t="s">
        <v>727</v>
      </c>
      <c r="L20" s="302" t="s">
        <v>728</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729</v>
      </c>
      <c r="C21" s="21" t="s">
        <v>15</v>
      </c>
      <c r="D21" s="323" t="s">
        <v>730</v>
      </c>
      <c r="E21" s="302" t="s">
        <v>731</v>
      </c>
      <c r="F21" s="322">
        <f>'数据-取费表'!B38</f>
        <v>0.02</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6"/>
      <c r="F22" s="23"/>
      <c r="G22" s="1380"/>
      <c r="H22" s="978" t="s">
        <v>402</v>
      </c>
      <c r="I22" s="302" t="s">
        <v>734</v>
      </c>
      <c r="J22" s="21">
        <f ca="1">ROUND(J14*M22,2)</f>
        <v>0</v>
      </c>
      <c r="K22" s="1340" t="s">
        <v>735</v>
      </c>
      <c r="L22" s="302" t="s">
        <v>708</v>
      </c>
      <c r="M22" s="328">
        <f ca="1">INDIRECT("'数据-取费表'!Ak"&amp;$G$1)</f>
        <v>0</v>
      </c>
    </row>
    <row r="23" spans="1:37" s="1393"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2"/>
      <c r="H23" s="978" t="s">
        <v>437</v>
      </c>
      <c r="I23" s="302" t="s">
        <v>738</v>
      </c>
      <c r="J23" s="21">
        <f ca="1">ROUND(J13*M23,2)</f>
        <v>0</v>
      </c>
      <c r="K23" s="1340" t="s">
        <v>739</v>
      </c>
      <c r="L23" s="302" t="s">
        <v>740</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2" t="s">
        <v>742</v>
      </c>
      <c r="C24" s="21">
        <f ca="1">ROUND(IF('数据-取费表'!B22&lt;=1,F21*F24*F23/2,F21*(POWER((1+F24),F23/2)-1)),4)</f>
        <v>8.0000000000000004E-4</v>
      </c>
      <c r="D24" s="329" t="str">
        <f>IF(F23&lt;=1,"销售费用×利率×(建设周期÷2)","销售费用×((1+利率)^(建设周期÷2)-1)")</f>
        <v>销售费用×((1+利率)^(建设周期÷2)-1)</v>
      </c>
      <c r="E24" s="302" t="s">
        <v>743</v>
      </c>
      <c r="F24" s="331">
        <f ca="1">'数据-取费表'!B40</f>
        <v>4.1499999999999995E-2</v>
      </c>
      <c r="G24" s="1392"/>
      <c r="H24" s="1085" t="s">
        <v>680</v>
      </c>
      <c r="I24" s="1086" t="s">
        <v>724</v>
      </c>
      <c r="J24" s="1087">
        <f ca="1">ROUND(J5*M24,2)</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2" t="s">
        <v>746</v>
      </c>
      <c r="C25" s="21"/>
      <c r="D25" s="131" t="s">
        <v>747</v>
      </c>
      <c r="E25" s="1356"/>
      <c r="F25" s="23"/>
      <c r="G25" s="1380"/>
      <c r="H25" s="1075" t="s">
        <v>394</v>
      </c>
      <c r="I25" s="1090" t="s">
        <v>748</v>
      </c>
      <c r="J25" s="310">
        <f ca="1">J5-J16</f>
        <v>0</v>
      </c>
      <c r="K25" s="1091" t="s">
        <v>749</v>
      </c>
      <c r="L25" s="1092"/>
      <c r="M25" s="1093"/>
    </row>
    <row r="26" spans="1:37">
      <c r="A26" s="978" t="s">
        <v>397</v>
      </c>
      <c r="B26" s="302" t="s">
        <v>750</v>
      </c>
      <c r="C26" s="21">
        <f ca="1">ROUND((C19+C20)*F26,0)</f>
        <v>0</v>
      </c>
      <c r="D26" s="323" t="s">
        <v>751</v>
      </c>
      <c r="E26" s="313" t="s">
        <v>752</v>
      </c>
      <c r="F26" s="312">
        <f ca="1">INDIRECT("'数据-取费表'!q"&amp;$G$1)</f>
        <v>0</v>
      </c>
      <c r="G26" s="1380"/>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80"/>
      <c r="H27" s="304"/>
      <c r="I27" s="305"/>
      <c r="J27" s="306"/>
      <c r="K27" s="332" t="s">
        <v>758</v>
      </c>
      <c r="L27" s="302" t="s">
        <v>759</v>
      </c>
      <c r="M27" s="333">
        <f ca="1">INDIRECT("'数据-取费表'!ag"&amp;$G$1)</f>
        <v>0</v>
      </c>
    </row>
    <row r="28" spans="1:37" s="1393" customFormat="1" ht="18" customHeight="1">
      <c r="A28" s="978" t="s">
        <v>400</v>
      </c>
      <c r="B28" s="302" t="s">
        <v>760</v>
      </c>
      <c r="C28" s="21">
        <f>ROUND(F28/(1+'数据-取费表'!C42),4)</f>
        <v>5.2400000000000002E-2</v>
      </c>
      <c r="D28" s="323" t="s">
        <v>761</v>
      </c>
      <c r="E28" s="302" t="s">
        <v>708</v>
      </c>
      <c r="F28" s="322">
        <f>'数据-取费表'!B41</f>
        <v>5.5000000000000007E-2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4" t="s">
        <v>396</v>
      </c>
      <c r="I29" s="335" t="s">
        <v>764</v>
      </c>
      <c r="J29" s="336">
        <f ca="1">ROUND(J26/(1+F40)^F41,0)</f>
        <v>0</v>
      </c>
      <c r="K29" s="337" t="s">
        <v>765</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0</v>
      </c>
      <c r="D30" s="1083" t="s">
        <v>711</v>
      </c>
      <c r="E30" s="1084"/>
      <c r="F30" s="1068"/>
      <c r="G30" s="1380"/>
      <c r="H30" s="2690"/>
      <c r="I30" s="1394"/>
      <c r="J30" s="1395"/>
      <c r="K30" s="2469"/>
      <c r="L30" s="2691"/>
      <c r="M30" s="2692"/>
    </row>
    <row r="31" spans="1:37" ht="18" customHeight="1">
      <c r="A31" s="978" t="s">
        <v>398</v>
      </c>
      <c r="B31" s="302" t="s">
        <v>715</v>
      </c>
      <c r="C31" s="2311">
        <f ca="1">ROUND(IF(AND(项目基本情况!B11="自然人",项目基本情况!B10="北京市"),C6*F31/(1+'数据-取费表'!C42),C32+C33+C34),2)</f>
        <v>0</v>
      </c>
      <c r="D31" s="1341" t="s">
        <v>716</v>
      </c>
      <c r="E31" s="1340" t="s">
        <v>766</v>
      </c>
      <c r="F31" s="2310">
        <f ca="1">IF(项目基本情况!B11="企业","——",IF(M47="住宅",IF(F6*F7*F8/12/(1+'数据-取费表'!F30)&gt;100000,4%,2.5%),IF(F6*F7*F8/12/(1+'数据-取费表'!F30)&gt;100000,12%,7%)))</f>
        <v>7.0000000000000007E-2</v>
      </c>
      <c r="G31" s="1380"/>
      <c r="H31" s="2801" t="s">
        <v>2305</v>
      </c>
      <c r="I31" s="1394"/>
      <c r="J31" s="1395"/>
      <c r="K31" s="2469"/>
      <c r="L31" s="2691"/>
      <c r="M31" s="2692"/>
    </row>
    <row r="32" spans="1:37" ht="18" customHeight="1">
      <c r="A32" s="978" t="s">
        <v>397</v>
      </c>
      <c r="B32" s="302" t="s">
        <v>719</v>
      </c>
      <c r="C32" s="21" t="str">
        <f>IF(项目基本情况!B11="自然人","——",ROUND(C6*F32/(1+'数据-取费表'!C42),2))</f>
        <v>——</v>
      </c>
      <c r="D32" s="1340" t="s">
        <v>720</v>
      </c>
      <c r="E32" s="302" t="s">
        <v>708</v>
      </c>
      <c r="F32" s="331">
        <f>'数据-取费表'!B41</f>
        <v>5.5000000000000007E-2</v>
      </c>
      <c r="G32" s="1380"/>
      <c r="H32" s="2690"/>
      <c r="I32" s="1394"/>
      <c r="J32" s="1395"/>
      <c r="K32" s="2469"/>
      <c r="L32" s="2691"/>
      <c r="M32" s="2692"/>
    </row>
    <row r="33" spans="1:18" ht="18" customHeight="1">
      <c r="A33" s="978" t="s">
        <v>399</v>
      </c>
      <c r="B33" s="302" t="s">
        <v>723</v>
      </c>
      <c r="C33" s="21" t="str">
        <f ca="1">IF(项目基本情况!B11="自然人","——",IF(D33="按租金收入计税",ROUND(C6*F33/(1+'数据-取费表'!C42),2),IF(D33="按房产原值计税",ROUND(C29*F33*0.7,2),INDIRECT("'数据-取费表'!Aj"&amp;$G$1))))</f>
        <v>——</v>
      </c>
      <c r="D33" s="1366" t="s">
        <v>3338</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t="str">
        <f>IF(项目基本情况!B11="自然人","——",ROUND(F34*F35/10000,2))</f>
        <v>——</v>
      </c>
      <c r="D34" s="324" t="s">
        <v>727</v>
      </c>
      <c r="E34" s="302" t="s">
        <v>728</v>
      </c>
      <c r="F34" s="325">
        <f>'数据-取费表'!B52</f>
        <v>1.5</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0</v>
      </c>
      <c r="D36" s="1340" t="s">
        <v>767</v>
      </c>
      <c r="E36" s="302" t="s">
        <v>708</v>
      </c>
      <c r="F36" s="328">
        <f ca="1">INDIRECT("'数据-取费表'!Ak"&amp;$G$1)</f>
        <v>0</v>
      </c>
      <c r="G36" s="1380"/>
      <c r="H36" s="2693"/>
      <c r="I36" s="1394"/>
      <c r="J36" s="1395"/>
      <c r="K36" s="2538"/>
      <c r="L36" s="2693"/>
      <c r="M36" s="2693"/>
    </row>
    <row r="37" spans="1:18" ht="18" customHeight="1">
      <c r="A37" s="978" t="s">
        <v>437</v>
      </c>
      <c r="B37" s="302" t="s">
        <v>738</v>
      </c>
      <c r="C37" s="21">
        <f ca="1">ROUND(C13*F37,2)</f>
        <v>0</v>
      </c>
      <c r="D37" s="1340" t="s">
        <v>739</v>
      </c>
      <c r="E37" s="302" t="s">
        <v>740</v>
      </c>
      <c r="F37" s="330">
        <f ca="1">INDIRECT("'数据-取费表'!Al"&amp;$G$1)</f>
        <v>0</v>
      </c>
      <c r="G37" s="1380"/>
      <c r="H37" s="2693"/>
      <c r="I37" s="1394"/>
      <c r="J37" s="1395"/>
      <c r="K37" s="2538"/>
      <c r="L37" s="2693"/>
      <c r="M37" s="2693"/>
    </row>
    <row r="38" spans="1:18" ht="18" customHeight="1" thickBot="1">
      <c r="A38" s="1085" t="s">
        <v>680</v>
      </c>
      <c r="B38" s="1086" t="s">
        <v>724</v>
      </c>
      <c r="C38" s="1087">
        <f ca="1">ROUND(C5*F38,2)</f>
        <v>0</v>
      </c>
      <c r="D38" s="1088" t="s">
        <v>744</v>
      </c>
      <c r="E38" s="1086" t="s">
        <v>740</v>
      </c>
      <c r="F38" s="1082">
        <f ca="1">INDIRECT("'数据-取费表'!Am"&amp;$G$1)</f>
        <v>0</v>
      </c>
      <c r="G38" s="1380"/>
      <c r="H38" s="2693"/>
      <c r="I38" s="1394"/>
      <c r="J38" s="1395"/>
      <c r="K38" s="2697"/>
      <c r="L38" s="2693"/>
      <c r="M38" s="2693"/>
    </row>
    <row r="39" spans="1:18" ht="24.6" customHeight="1" thickTop="1">
      <c r="A39" s="1075" t="s">
        <v>394</v>
      </c>
      <c r="B39" s="1090" t="s">
        <v>768</v>
      </c>
      <c r="C39" s="310">
        <f ca="1">C5-C30</f>
        <v>0</v>
      </c>
      <c r="D39" s="1091" t="s">
        <v>769</v>
      </c>
      <c r="E39" s="1092"/>
      <c r="F39" s="1093"/>
      <c r="G39" s="1380"/>
      <c r="H39" s="2693"/>
      <c r="I39" s="1394"/>
      <c r="J39" s="1395"/>
      <c r="K39" s="2697"/>
      <c r="L39" s="2693"/>
      <c r="M39" s="2693"/>
    </row>
    <row r="40" spans="1:18" ht="18" customHeight="1">
      <c r="A40" s="299" t="s">
        <v>395</v>
      </c>
      <c r="B40" s="300" t="s">
        <v>770</v>
      </c>
      <c r="C40" s="301" t="e">
        <f ca="1">ROUND(C39*(1-((1+F42)/(1+F40))^F41)/(F40-F42),0)</f>
        <v>#DIV/0!</v>
      </c>
      <c r="D40" s="324" t="s">
        <v>754</v>
      </c>
      <c r="E40" s="302" t="s">
        <v>755</v>
      </c>
      <c r="F40" s="312">
        <f ca="1">INDIRECT("'数据-取费表'!I"&amp;$G$1)</f>
        <v>0</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762</v>
      </c>
      <c r="F42" s="312">
        <f ca="1">INDIRECT("'数据-取费表'!v"&amp;$G$1)</f>
        <v>0</v>
      </c>
      <c r="G42" s="1380"/>
      <c r="H42" s="1187"/>
      <c r="I42" s="1394"/>
      <c r="J42" s="1395"/>
      <c r="K42" s="2538"/>
      <c r="L42" s="1187"/>
      <c r="M42" s="1187"/>
    </row>
    <row r="43" spans="1:18" ht="18" customHeight="1" thickBot="1">
      <c r="A43" s="334" t="s">
        <v>396</v>
      </c>
      <c r="B43" s="335" t="s">
        <v>772</v>
      </c>
      <c r="C43" s="336" t="e">
        <f ca="1">ROUND(C40*10000/F43,0)</f>
        <v>#DIV/0!</v>
      </c>
      <c r="D43" s="337" t="s">
        <v>773</v>
      </c>
      <c r="E43" s="338" t="s">
        <v>774</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804</v>
      </c>
      <c r="P45" s="1457"/>
      <c r="Q45" s="1457"/>
      <c r="R45" s="1457"/>
    </row>
    <row r="46" spans="1:18" s="1380" customFormat="1" ht="13.5" thickBot="1">
      <c r="A46" s="1400" t="s">
        <v>805</v>
      </c>
      <c r="C46" s="1401" t="e">
        <f ca="1">C68-C40</f>
        <v>#DIV/0!</v>
      </c>
      <c r="D46" s="1402" t="str">
        <f>C2</f>
        <v>万元</v>
      </c>
      <c r="E46" s="1396"/>
      <c r="F46" s="1396"/>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2"/>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300" t="s">
        <v>688</v>
      </c>
      <c r="C48" s="1355">
        <f ca="1">C49+C53+C55</f>
        <v>0</v>
      </c>
      <c r="D48" s="1108"/>
      <c r="E48" s="1109"/>
      <c r="F48" s="958"/>
      <c r="G48" s="722"/>
      <c r="H48" s="723"/>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ROUND(F49*F51*F50*(1-F52)/10000,0)</f>
        <v>0</v>
      </c>
      <c r="D49" s="1051" t="s">
        <v>2105</v>
      </c>
      <c r="E49" s="1368" t="s">
        <v>776</v>
      </c>
      <c r="F49" s="1056"/>
      <c r="G49" s="1421"/>
      <c r="H49" s="723"/>
      <c r="I49" s="1417" t="s">
        <v>819</v>
      </c>
      <c r="J49" s="1422"/>
      <c r="K49" s="1419" t="s">
        <v>820</v>
      </c>
      <c r="L49" s="1423"/>
      <c r="O49" s="1424" t="s">
        <v>405</v>
      </c>
      <c r="P49" s="1415" t="s">
        <v>821</v>
      </c>
      <c r="Q49" s="1416">
        <f ca="1">C29</f>
        <v>0</v>
      </c>
      <c r="R49" s="1416" t="s">
        <v>814</v>
      </c>
    </row>
    <row r="50" spans="1:18" s="1380" customFormat="1" ht="13.5" thickBot="1">
      <c r="A50" s="972"/>
      <c r="B50" s="975"/>
      <c r="C50" s="1114"/>
      <c r="D50" s="949"/>
      <c r="E50" s="1052" t="s">
        <v>693</v>
      </c>
      <c r="F50" s="1053">
        <f ca="1">F7</f>
        <v>0</v>
      </c>
      <c r="H50" s="723"/>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3">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24.75" thickBot="1">
      <c r="A53" s="1148" t="s">
        <v>440</v>
      </c>
      <c r="B53" s="1369" t="s">
        <v>696</v>
      </c>
      <c r="C53" s="316">
        <f ca="1">ROUND(IF(F53="押一",C49/12*F11,IF(F53="押二",C49/12*2*F11,IF(F53="押三",C49/12*3*F11,C54*F11))),0)</f>
        <v>0</v>
      </c>
      <c r="D53" s="1362" t="s">
        <v>2111</v>
      </c>
      <c r="E53" s="313" t="s">
        <v>697</v>
      </c>
      <c r="F53" s="1112"/>
      <c r="I53" s="1435" t="s">
        <v>832</v>
      </c>
      <c r="J53" s="2163">
        <f ca="1">IF(M47="住宅",IF(D1="——",MAX(J51,L48),MAX(J51,L48-'数据-取费表'!B24)),IF(D1="——",MIN(J51,L48),MIN(J51,L48-'数据-取费表'!B24)))</f>
        <v>0</v>
      </c>
      <c r="K53" s="3678" t="s">
        <v>833</v>
      </c>
      <c r="L53" s="3679"/>
      <c r="O53" s="1414" t="s">
        <v>409</v>
      </c>
      <c r="P53" s="1415" t="s">
        <v>834</v>
      </c>
      <c r="Q53" s="1416" t="e">
        <f ca="1">Q47+Q48</f>
        <v>#DIV/0!</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25.5" thickTop="1" thickBot="1">
      <c r="A56" s="953">
        <v>2</v>
      </c>
      <c r="B56" s="954" t="s">
        <v>700</v>
      </c>
      <c r="C56" s="232">
        <f ca="1">C13</f>
        <v>0</v>
      </c>
      <c r="D56" s="1443"/>
      <c r="E56" s="1444"/>
      <c r="F56" s="1436"/>
      <c r="I56" s="1445" t="s">
        <v>838</v>
      </c>
      <c r="J56" s="1446"/>
      <c r="K56" s="1417" t="s">
        <v>839</v>
      </c>
      <c r="L56" s="1420">
        <f ca="1">IF(L48&lt;J51,"——",L48-J53)</f>
        <v>0</v>
      </c>
      <c r="O56" s="1414" t="s">
        <v>403</v>
      </c>
      <c r="P56" s="1415" t="s">
        <v>813</v>
      </c>
      <c r="Q56" s="1416" t="e">
        <f ca="1">C40+J29</f>
        <v>#DIV/0!</v>
      </c>
      <c r="R56" s="1416" t="s">
        <v>814</v>
      </c>
    </row>
    <row r="57" spans="1:18" s="1380" customFormat="1" ht="24.75" thickBot="1">
      <c r="A57" s="1447"/>
      <c r="B57" s="946" t="s">
        <v>763</v>
      </c>
      <c r="C57" s="238">
        <f ca="1">C29</f>
        <v>0</v>
      </c>
      <c r="D57" s="1448"/>
      <c r="E57" s="1449"/>
      <c r="F57" s="1450"/>
      <c r="I57" s="1451" t="s">
        <v>840</v>
      </c>
      <c r="J57" s="1452">
        <f ca="1">IF(OR(M47="住宅",J51&lt;L48,J56="是"),"——",J51-L48)</f>
        <v>0</v>
      </c>
      <c r="K57" s="1417" t="s">
        <v>841</v>
      </c>
      <c r="L57" s="1420">
        <f ca="1">IF(L48&lt;J51,"——",IF(L55="比较法",L49,IF(L55="基准地价",L50,L51)))</f>
        <v>0</v>
      </c>
      <c r="O57" s="1414" t="s">
        <v>404</v>
      </c>
      <c r="P57" s="1415" t="s">
        <v>842</v>
      </c>
      <c r="Q57" s="1416" t="e">
        <f ca="1">L60</f>
        <v>#DIV/0!</v>
      </c>
      <c r="R57" s="1416" t="s">
        <v>843</v>
      </c>
    </row>
    <row r="58" spans="1:18" s="1380" customFormat="1" ht="24.75" thickBot="1">
      <c r="A58" s="315" t="s">
        <v>393</v>
      </c>
      <c r="B58" s="954" t="s">
        <v>710</v>
      </c>
      <c r="C58" s="316">
        <f ca="1">ROUND(C59+C64+C65+C66,0)</f>
        <v>0</v>
      </c>
      <c r="D58" s="956" t="s">
        <v>711</v>
      </c>
      <c r="E58" s="957"/>
      <c r="F58" s="958"/>
      <c r="I58" s="1451" t="s">
        <v>844</v>
      </c>
      <c r="J58" s="1453" t="e">
        <f ca="1">IF(J55&lt;0.4,0.4,J55)</f>
        <v>#DIV/0!</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1">
        <f ca="1">ROUND(IF(AND(项目基本情况!B11="自然人",项目基本情况!B10="北京市"),C49*F59/(1+'数据-取费表'!C42),C60+C61+C62),0)</f>
        <v>0</v>
      </c>
      <c r="D59" s="959" t="s">
        <v>716</v>
      </c>
      <c r="E59" s="960" t="s">
        <v>717</v>
      </c>
      <c r="F59" s="2310">
        <f ca="1">IF(项目基本情况!B11="企业","——",IF('数据-取费表'!B10="住宅",IF(F49*F50*F51/12/(1+'数据-取费表'!F30)&gt;100000,4%,2.5%),IF(F49*F50*F51/12/(1+'数据-取费表'!F30)&gt;100000,12%,7%)))</f>
        <v>7.0000000000000007E-2</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t="str">
        <f>IF(项目基本情况!B11="自然人","——",ROUND(C48*F60/(1+'数据-取费表'!C42),2))</f>
        <v>——</v>
      </c>
      <c r="D60" s="960" t="s">
        <v>720</v>
      </c>
      <c r="E60" s="946" t="s">
        <v>708</v>
      </c>
      <c r="F60" s="331">
        <f t="shared" ref="F60:F66" si="0">F32</f>
        <v>5.5000000000000007E-2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t="str">
        <f ca="1">IF(项目基本情况!B11="自然人","——",IF(D61="按租金收入计税",ROUND(C49*F61/(1+'数据-取费表'!C42),2),IF(D61="按房产原值计税",ROUND(C57*F61*0.7,2),INDIRECT("'数据-取费表'!Aj"&amp;$G$1))))</f>
        <v>——</v>
      </c>
      <c r="D61" s="1366" t="s">
        <v>3338</v>
      </c>
      <c r="E61" s="946"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t="str">
        <f>IF(项目基本情况!B11="自然人","——",ROUND(F62*F63/10000,2))</f>
        <v>——</v>
      </c>
      <c r="D62" s="961" t="s">
        <v>782</v>
      </c>
      <c r="E62" s="946" t="s">
        <v>783</v>
      </c>
      <c r="F62" s="325">
        <f t="shared" si="0"/>
        <v>1.5</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6"/>
      <c r="B63" s="952"/>
      <c r="C63" s="26"/>
      <c r="D63" s="962"/>
      <c r="E63" s="946"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0</v>
      </c>
      <c r="D64" s="960" t="s">
        <v>787</v>
      </c>
      <c r="E64" s="946" t="s">
        <v>779</v>
      </c>
      <c r="F64" s="328">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0</v>
      </c>
      <c r="D65" s="960" t="s">
        <v>739</v>
      </c>
      <c r="E65" s="946" t="s">
        <v>740</v>
      </c>
      <c r="F65" s="330">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ROUND(C48*F66,2)</f>
        <v>0</v>
      </c>
      <c r="D66" s="960" t="s">
        <v>790</v>
      </c>
      <c r="E66" s="946" t="s">
        <v>708</v>
      </c>
      <c r="F66" s="312">
        <f t="shared" ca="1" si="0"/>
        <v>0</v>
      </c>
      <c r="O66" s="1414" t="s">
        <v>404</v>
      </c>
      <c r="P66" s="1415" t="s">
        <v>842</v>
      </c>
      <c r="Q66" s="1416" t="e">
        <f ca="1">L60</f>
        <v>#DIV/0!</v>
      </c>
      <c r="R66" s="1416" t="s">
        <v>865</v>
      </c>
    </row>
    <row r="67" spans="1:18" s="1380" customFormat="1" ht="16.5" thickBot="1">
      <c r="A67" s="953" t="s">
        <v>394</v>
      </c>
      <c r="B67" s="963" t="s">
        <v>748</v>
      </c>
      <c r="C67" s="316">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1" t="e">
        <f ca="1">ROUND(C67*(1-((1+F70)/(1+F68))^F69)/(F68-F70),0)</f>
        <v>#DIV/0!</v>
      </c>
      <c r="D68" s="961" t="s">
        <v>754</v>
      </c>
      <c r="E68" s="946" t="s">
        <v>755</v>
      </c>
      <c r="F68" s="312">
        <f ca="1">F40</f>
        <v>0</v>
      </c>
      <c r="O68" s="1424" t="s">
        <v>406</v>
      </c>
      <c r="P68" s="1463" t="s">
        <v>867</v>
      </c>
      <c r="Q68" s="1416">
        <f ca="1">ROUND(Q69-Q70*Q71,0)</f>
        <v>0</v>
      </c>
      <c r="R68" s="1416" t="s">
        <v>414</v>
      </c>
    </row>
    <row r="69" spans="1:18" s="1380" customFormat="1" ht="13.5" thickBot="1">
      <c r="A69" s="947"/>
      <c r="B69" s="948"/>
      <c r="C69" s="306"/>
      <c r="D69" s="966" t="s">
        <v>758</v>
      </c>
      <c r="E69" s="946" t="s">
        <v>759</v>
      </c>
      <c r="F69" s="333">
        <f ca="1">F41</f>
        <v>0</v>
      </c>
      <c r="O69" s="1424" t="s">
        <v>411</v>
      </c>
      <c r="P69" s="1463" t="s">
        <v>868</v>
      </c>
      <c r="Q69" s="1416">
        <f ca="1">C39</f>
        <v>0</v>
      </c>
      <c r="R69" s="1416" t="s">
        <v>814</v>
      </c>
    </row>
    <row r="70" spans="1:18" s="1380" customFormat="1" ht="13.5" thickBot="1">
      <c r="A70" s="950"/>
      <c r="B70" s="951"/>
      <c r="C70" s="310"/>
      <c r="D70" s="962"/>
      <c r="E70" s="946" t="s">
        <v>762</v>
      </c>
      <c r="F70" s="1050"/>
      <c r="O70" s="1424" t="s">
        <v>412</v>
      </c>
      <c r="P70" s="1463" t="s">
        <v>869</v>
      </c>
      <c r="Q70" s="1416">
        <f ca="1">C13</f>
        <v>0</v>
      </c>
      <c r="R70" s="1416" t="s">
        <v>814</v>
      </c>
    </row>
    <row r="71" spans="1:18" s="1380" customFormat="1" ht="13.5" thickBot="1">
      <c r="A71" s="967" t="s">
        <v>396</v>
      </c>
      <c r="B71" s="968" t="s">
        <v>772</v>
      </c>
      <c r="C71" s="336" t="e">
        <f ca="1">ROUND(C68*10000/F71,0)</f>
        <v>#DIV/0!</v>
      </c>
      <c r="D71" s="969" t="s">
        <v>773</v>
      </c>
      <c r="E71" s="970" t="s">
        <v>774</v>
      </c>
      <c r="F71" s="339">
        <f ca="1">F43</f>
        <v>0</v>
      </c>
      <c r="O71" s="1424" t="s">
        <v>413</v>
      </c>
      <c r="P71" s="1463" t="s">
        <v>870</v>
      </c>
      <c r="Q71" s="1427">
        <f ca="1">C76</f>
        <v>0</v>
      </c>
      <c r="R71" s="1416"/>
    </row>
    <row r="72" spans="1:18" s="1380" customFormat="1" ht="13.5" thickBot="1">
      <c r="B72" s="726"/>
      <c r="C72" s="726"/>
      <c r="O72" s="1424" t="s">
        <v>407</v>
      </c>
      <c r="P72" s="1415" t="s">
        <v>848</v>
      </c>
      <c r="Q72" s="1427">
        <f>L52</f>
        <v>0</v>
      </c>
      <c r="R72" s="1416"/>
    </row>
    <row r="73" spans="1:18" ht="16.5" thickBot="1">
      <c r="A73" s="1380"/>
      <c r="B73" s="726"/>
      <c r="C73" s="726"/>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0</v>
      </c>
      <c r="D75" s="1380"/>
      <c r="E75" s="1380"/>
      <c r="F75" s="1380"/>
      <c r="K75" s="1398"/>
      <c r="L75" s="1380"/>
      <c r="O75" s="1414" t="s">
        <v>409</v>
      </c>
      <c r="P75" s="1415" t="s">
        <v>834</v>
      </c>
      <c r="Q75" s="1416" t="e">
        <f ca="1">Q65+Q66</f>
        <v>#DIV/0!</v>
      </c>
      <c r="R75" s="1416" t="s">
        <v>410</v>
      </c>
    </row>
    <row r="76" spans="1:18">
      <c r="B76" s="342" t="s">
        <v>792</v>
      </c>
      <c r="C76" s="343">
        <f ca="1">INDIRECT("'数据-取费表'!j"&amp;$G$1)</f>
        <v>0</v>
      </c>
      <c r="I76" s="1380"/>
      <c r="J76" s="1380"/>
      <c r="K76" s="1398"/>
      <c r="L76" s="1380"/>
    </row>
    <row r="77" spans="1:18">
      <c r="B77" s="344" t="s">
        <v>793</v>
      </c>
      <c r="C77" s="345"/>
      <c r="I77" s="1380"/>
      <c r="J77" s="1380"/>
      <c r="K77" s="1398"/>
      <c r="L77" s="1380"/>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36" priority="56">
      <formula>$L$48&gt;$J$51</formula>
    </cfRule>
  </conditionalFormatting>
  <conditionalFormatting sqref="I55 I60">
    <cfRule type="expression" dxfId="235" priority="57">
      <formula>$J$51&gt;$L$48</formula>
    </cfRule>
  </conditionalFormatting>
  <conditionalFormatting sqref="C11">
    <cfRule type="expression" dxfId="234" priority="3">
      <formula>$F$10="自定义"</formula>
    </cfRule>
  </conditionalFormatting>
  <conditionalFormatting sqref="J11">
    <cfRule type="expression" dxfId="233" priority="2">
      <formula>$M$10="自定义"</formula>
    </cfRule>
  </conditionalFormatting>
  <conditionalFormatting sqref="C54">
    <cfRule type="expression" dxfId="2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0" zoomScale="85" zoomScaleNormal="70" zoomScaleSheetLayoutView="85" workbookViewId="0">
      <selection activeCell="H112" sqref="H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953" t="s">
        <v>1805</v>
      </c>
      <c r="C1" s="1220" t="s">
        <v>1657</v>
      </c>
      <c r="D1" s="1221">
        <v>501</v>
      </c>
      <c r="E1" s="3425" t="s">
        <v>3387</v>
      </c>
      <c r="F1" s="1875" t="s">
        <v>3423</v>
      </c>
      <c r="G1" s="1231" t="s">
        <v>1658</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f>IF(E1="项目模式",IF(C2="——",ROUND(C50*D3/10000,0),ROUND(C50*D3/10000,0)-D2),IF(E1="单套模式",IF(C2="——",ROUND(C50*D3/10000,4),ROUND(C50*D3/10000,4)-D2)))</f>
        <v>593.25250000000005</v>
      </c>
      <c r="C2" s="1877" t="s">
        <v>43</v>
      </c>
      <c r="D2" s="1111" t="e">
        <f ca="1">IF(E1="项目模式",SUMIF(INDIRECT("'"&amp;F2&amp;"'"&amp;"!A:A"),"承租人权益价值",INDIRECT("'"&amp;F2&amp;"'"&amp;"!c:c")),SUMIF(INDIRECT("'"&amp;F2&amp;"'"&amp;"!A:A"),"承租人权益价值（单套）",INDIRECT("'"&amp;F2&amp;"'"&amp;"!c:c")))</f>
        <v>#REF!</v>
      </c>
      <c r="E2" s="1878" t="s">
        <v>1458</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682</v>
      </c>
      <c r="B3" s="558">
        <f>IF(C2="——",C50,ROUND(B2*10000/D3,0))</f>
        <v>27181</v>
      </c>
      <c r="C3" s="354" t="s">
        <v>1660</v>
      </c>
      <c r="D3" s="353">
        <f>IF(D1="",'数据-汇总表'!E3,SUMIF('数据-汇总表'!$C19:$C33,D1,'数据-汇总表'!$E19:$E33))</f>
        <v>218.26</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1661</v>
      </c>
      <c r="B4" s="356"/>
      <c r="C4" s="3686" t="s">
        <v>1662</v>
      </c>
      <c r="D4" s="3687"/>
      <c r="E4" s="3688" t="s">
        <v>1663</v>
      </c>
      <c r="F4" s="3689"/>
      <c r="G4" s="3686" t="s">
        <v>1664</v>
      </c>
      <c r="H4" s="3687"/>
      <c r="I4" s="3686" t="s">
        <v>1665</v>
      </c>
      <c r="J4" s="3687"/>
      <c r="K4" s="559" t="s">
        <v>1666</v>
      </c>
      <c r="L4" s="2708"/>
      <c r="M4" s="2709"/>
      <c r="N4" s="2709"/>
      <c r="O4" s="2709"/>
      <c r="P4" s="3690" t="s">
        <v>1667</v>
      </c>
      <c r="Q4" s="3691"/>
      <c r="R4" s="3696" t="s">
        <v>1663</v>
      </c>
      <c r="S4" s="3697"/>
      <c r="T4" s="3696" t="s">
        <v>1664</v>
      </c>
      <c r="U4" s="3697"/>
      <c r="V4" s="3708" t="s">
        <v>1665</v>
      </c>
      <c r="W4" s="3708"/>
      <c r="X4" s="3449"/>
      <c r="Y4" s="3696" t="s">
        <v>1667</v>
      </c>
      <c r="Z4" s="3697"/>
      <c r="AA4" s="3710" t="s">
        <v>1663</v>
      </c>
      <c r="AB4" s="3710" t="s">
        <v>1664</v>
      </c>
      <c r="AC4" s="3683" t="s">
        <v>1665</v>
      </c>
    </row>
    <row r="5" spans="1:29" ht="15">
      <c r="A5" s="358"/>
      <c r="B5" s="359"/>
      <c r="C5" s="3700" t="s">
        <v>3442</v>
      </c>
      <c r="D5" s="3701"/>
      <c r="E5" s="3700" t="s">
        <v>3442</v>
      </c>
      <c r="F5" s="3701"/>
      <c r="G5" s="3700" t="s">
        <v>3442</v>
      </c>
      <c r="H5" s="3701"/>
      <c r="I5" s="3700" t="s">
        <v>3442</v>
      </c>
      <c r="J5" s="3701"/>
      <c r="K5" s="559"/>
      <c r="L5" s="2708"/>
      <c r="M5" s="2709"/>
      <c r="N5" s="2709"/>
      <c r="O5" s="2709"/>
      <c r="P5" s="3692"/>
      <c r="Q5" s="3693"/>
      <c r="R5" s="3698"/>
      <c r="S5" s="3699"/>
      <c r="T5" s="3698"/>
      <c r="U5" s="3699"/>
      <c r="V5" s="3709"/>
      <c r="W5" s="3709"/>
      <c r="X5" s="3447"/>
      <c r="Y5" s="3698"/>
      <c r="Z5" s="3699"/>
      <c r="AA5" s="3711"/>
      <c r="AB5" s="3711"/>
      <c r="AC5" s="3684"/>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694"/>
      <c r="Q6" s="3695"/>
      <c r="R6" s="3698"/>
      <c r="S6" s="3699"/>
      <c r="T6" s="3706"/>
      <c r="U6" s="3707"/>
      <c r="V6" s="3709"/>
      <c r="W6" s="3709"/>
      <c r="X6" s="3447"/>
      <c r="Y6" s="3706"/>
      <c r="Z6" s="3707"/>
      <c r="AA6" s="3712"/>
      <c r="AB6" s="3712"/>
      <c r="AC6" s="3685"/>
    </row>
    <row r="7" spans="1:29" s="108" customFormat="1" ht="15.75" thickBot="1">
      <c r="A7" s="362" t="s">
        <v>1674</v>
      </c>
      <c r="B7" s="363"/>
      <c r="C7" s="364">
        <f>'数据-取费表'!B2</f>
        <v>45034</v>
      </c>
      <c r="D7" s="365">
        <v>100</v>
      </c>
      <c r="E7" s="366">
        <v>45017</v>
      </c>
      <c r="F7" s="367">
        <f>SUMIF(59:59,YEAR(E7)&amp;"-"&amp;MONTH(E7),60:60)</f>
        <v>100</v>
      </c>
      <c r="G7" s="366">
        <v>45017</v>
      </c>
      <c r="H7" s="365">
        <f>SUMIF(59:59,YEAR(G7)&amp;"-"&amp;MONTH(G7),60:60)</f>
        <v>100</v>
      </c>
      <c r="I7" s="366">
        <v>45017</v>
      </c>
      <c r="J7" s="365">
        <f>SUMIF(59:59,YEAR(I7)&amp;"-"&amp;MONTH(I7),60:60)</f>
        <v>100</v>
      </c>
      <c r="K7" s="560"/>
      <c r="L7" s="2710"/>
      <c r="M7" s="2711"/>
      <c r="N7" s="2711"/>
      <c r="O7" s="2711"/>
      <c r="P7" s="3713" t="s">
        <v>1675</v>
      </c>
      <c r="Q7" s="3714"/>
      <c r="R7" s="701" t="s">
        <v>14</v>
      </c>
      <c r="S7" s="702">
        <f t="shared" ref="S7:S15" si="0">F7</f>
        <v>100</v>
      </c>
      <c r="T7" s="701" t="s">
        <v>14</v>
      </c>
      <c r="U7" s="702">
        <f t="shared" ref="U7:U15" si="1">H7</f>
        <v>100</v>
      </c>
      <c r="V7" s="701" t="s">
        <v>14</v>
      </c>
      <c r="W7" s="702">
        <f t="shared" ref="W7:W15" si="2">J7</f>
        <v>100</v>
      </c>
      <c r="X7" s="703"/>
      <c r="Y7" s="3716" t="s">
        <v>1675</v>
      </c>
      <c r="Z7" s="3715"/>
      <c r="AA7" s="704">
        <f>D7/F7</f>
        <v>1</v>
      </c>
      <c r="AB7" s="704">
        <f>D7/H7</f>
        <v>1</v>
      </c>
      <c r="AC7" s="1954">
        <f>D7/J7</f>
        <v>1</v>
      </c>
    </row>
    <row r="8" spans="1:29" s="108" customFormat="1" ht="15.75" thickBot="1">
      <c r="A8" s="362" t="s">
        <v>1676</v>
      </c>
      <c r="B8" s="363"/>
      <c r="C8" s="368" t="s">
        <v>3388</v>
      </c>
      <c r="D8" s="365">
        <v>100</v>
      </c>
      <c r="E8" s="368" t="s">
        <v>3389</v>
      </c>
      <c r="F8" s="367">
        <f>SUMIF(62:62,E8,63:63)-SUMIF(62:62,C8,63:63)+100</f>
        <v>102</v>
      </c>
      <c r="G8" s="368" t="s">
        <v>3389</v>
      </c>
      <c r="H8" s="365">
        <f>SUMIF(62:62,G8,63:63)-SUMIF(62:62,C8,63:63)+100</f>
        <v>102</v>
      </c>
      <c r="I8" s="368" t="s">
        <v>3389</v>
      </c>
      <c r="J8" s="365">
        <f>SUMIF(62:62,I8,63:63)-SUMIF(62:62,C8,63:63)+100</f>
        <v>102</v>
      </c>
      <c r="K8" s="560"/>
      <c r="L8" s="2710"/>
      <c r="M8" s="2711"/>
      <c r="N8" s="2711"/>
      <c r="O8" s="2711"/>
      <c r="P8" s="3713" t="s">
        <v>1678</v>
      </c>
      <c r="Q8" s="3715"/>
      <c r="R8" s="701" t="s">
        <v>14</v>
      </c>
      <c r="S8" s="702">
        <f t="shared" si="0"/>
        <v>102</v>
      </c>
      <c r="T8" s="701" t="s">
        <v>14</v>
      </c>
      <c r="U8" s="702">
        <f t="shared" si="1"/>
        <v>102</v>
      </c>
      <c r="V8" s="701" t="s">
        <v>14</v>
      </c>
      <c r="W8" s="702">
        <f t="shared" si="2"/>
        <v>102</v>
      </c>
      <c r="X8" s="703"/>
      <c r="Y8" s="3716" t="s">
        <v>1678</v>
      </c>
      <c r="Z8" s="3715"/>
      <c r="AA8" s="704">
        <f t="shared" ref="AA8:AA47" si="3">D8/F8</f>
        <v>0.98039215686274506</v>
      </c>
      <c r="AB8" s="704">
        <f t="shared" ref="AB8:AB47" si="4">D8/H8</f>
        <v>0.98039215686274506</v>
      </c>
      <c r="AC8" s="1954">
        <f t="shared" ref="AC8:AC47" si="5">D8/J8</f>
        <v>0.98039215686274506</v>
      </c>
    </row>
    <row r="9" spans="1:29" s="108" customFormat="1">
      <c r="A9" s="369" t="s">
        <v>1679</v>
      </c>
      <c r="B9" s="63" t="s">
        <v>1680</v>
      </c>
      <c r="C9" s="3454" t="s">
        <v>3422</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7" t="s">
        <v>1681</v>
      </c>
      <c r="Q9" s="3443" t="str">
        <f t="shared" ref="Q9:Q15" si="6">B9</f>
        <v>用途</v>
      </c>
      <c r="R9" s="701" t="s">
        <v>14</v>
      </c>
      <c r="S9" s="702">
        <f t="shared" si="0"/>
        <v>100</v>
      </c>
      <c r="T9" s="701" t="s">
        <v>14</v>
      </c>
      <c r="U9" s="702">
        <f t="shared" si="1"/>
        <v>100</v>
      </c>
      <c r="V9" s="701" t="s">
        <v>14</v>
      </c>
      <c r="W9" s="702">
        <f t="shared" si="2"/>
        <v>100</v>
      </c>
      <c r="X9" s="703"/>
      <c r="Y9" s="3651" t="s">
        <v>1682</v>
      </c>
      <c r="Z9" s="3442" t="str">
        <f t="shared" ref="Z9:Z15" si="7">Q9</f>
        <v>用途</v>
      </c>
      <c r="AA9" s="704">
        <f t="shared" si="3"/>
        <v>1</v>
      </c>
      <c r="AB9" s="704">
        <f t="shared" si="4"/>
        <v>1</v>
      </c>
      <c r="AC9" s="1954">
        <f t="shared" si="5"/>
        <v>1</v>
      </c>
    </row>
    <row r="10" spans="1:29" s="378" customFormat="1" ht="27.75" thickBot="1">
      <c r="A10" s="374"/>
      <c r="B10" s="375" t="s">
        <v>1683</v>
      </c>
      <c r="C10" s="3426" t="s">
        <v>3443</v>
      </c>
      <c r="D10" s="127">
        <v>100</v>
      </c>
      <c r="E10" s="3426" t="s">
        <v>3443</v>
      </c>
      <c r="F10" s="127">
        <f>SUMIF(66:66,E10,67:67)-SUMIF(66:66,C10,67:67)+100</f>
        <v>100</v>
      </c>
      <c r="G10" s="3426" t="s">
        <v>3443</v>
      </c>
      <c r="H10" s="127">
        <f>SUMIF(66:66,G10,67:67)-SUMIF(66:66,C10,67:67)+100</f>
        <v>100</v>
      </c>
      <c r="I10" s="3426" t="s">
        <v>3443</v>
      </c>
      <c r="J10" s="127">
        <f>SUMIF(66:66,I10,67:67)-SUMIF(66:66,C10,67:67)+100</f>
        <v>100</v>
      </c>
      <c r="K10" s="560"/>
      <c r="L10" s="2712"/>
      <c r="M10" s="2713"/>
      <c r="N10" s="2713"/>
      <c r="O10" s="2713"/>
      <c r="P10" s="3717"/>
      <c r="Q10" s="3443" t="str">
        <f t="shared" si="6"/>
        <v>土地使用年限（年）</v>
      </c>
      <c r="R10" s="701" t="s">
        <v>14</v>
      </c>
      <c r="S10" s="702">
        <f t="shared" si="0"/>
        <v>100</v>
      </c>
      <c r="T10" s="701" t="s">
        <v>14</v>
      </c>
      <c r="U10" s="702">
        <f t="shared" si="1"/>
        <v>100</v>
      </c>
      <c r="V10" s="701" t="s">
        <v>14</v>
      </c>
      <c r="W10" s="702">
        <f t="shared" si="2"/>
        <v>100</v>
      </c>
      <c r="X10" s="703"/>
      <c r="Y10" s="3651"/>
      <c r="Z10" s="3442" t="str">
        <f t="shared" si="7"/>
        <v>土地使用年限（年）</v>
      </c>
      <c r="AA10" s="704">
        <f t="shared" si="3"/>
        <v>1</v>
      </c>
      <c r="AB10" s="704">
        <f t="shared" si="4"/>
        <v>1</v>
      </c>
      <c r="AC10" s="1954">
        <f t="shared" si="5"/>
        <v>1</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7"/>
      <c r="Q11" s="3443" t="str">
        <f t="shared" si="6"/>
        <v>容积率</v>
      </c>
      <c r="R11" s="701" t="s">
        <v>14</v>
      </c>
      <c r="S11" s="702">
        <f t="shared" si="0"/>
        <v>100</v>
      </c>
      <c r="T11" s="701" t="s">
        <v>14</v>
      </c>
      <c r="U11" s="702">
        <f t="shared" si="1"/>
        <v>100</v>
      </c>
      <c r="V11" s="701" t="s">
        <v>14</v>
      </c>
      <c r="W11" s="702">
        <f t="shared" si="2"/>
        <v>100</v>
      </c>
      <c r="X11" s="703"/>
      <c r="Y11" s="3651"/>
      <c r="Z11" s="3442" t="str">
        <f t="shared" si="7"/>
        <v>容积率</v>
      </c>
      <c r="AA11" s="704">
        <f t="shared" si="3"/>
        <v>1</v>
      </c>
      <c r="AB11" s="704">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17"/>
      <c r="Q12" s="3443">
        <f t="shared" si="6"/>
        <v>111</v>
      </c>
      <c r="R12" s="701" t="s">
        <v>14</v>
      </c>
      <c r="S12" s="702">
        <f t="shared" si="0"/>
        <v>100</v>
      </c>
      <c r="T12" s="701" t="s">
        <v>14</v>
      </c>
      <c r="U12" s="702">
        <f t="shared" si="1"/>
        <v>100</v>
      </c>
      <c r="V12" s="701" t="s">
        <v>14</v>
      </c>
      <c r="W12" s="702">
        <f t="shared" si="2"/>
        <v>100</v>
      </c>
      <c r="X12" s="703"/>
      <c r="Y12" s="3651"/>
      <c r="Z12" s="3442">
        <f t="shared" si="7"/>
        <v>111</v>
      </c>
      <c r="AA12" s="704">
        <f>D12/F12</f>
        <v>1</v>
      </c>
      <c r="AB12" s="704">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17"/>
      <c r="Q13" s="3443">
        <f t="shared" si="6"/>
        <v>111</v>
      </c>
      <c r="R13" s="701" t="s">
        <v>14</v>
      </c>
      <c r="S13" s="702">
        <f t="shared" si="0"/>
        <v>100</v>
      </c>
      <c r="T13" s="701" t="s">
        <v>14</v>
      </c>
      <c r="U13" s="702">
        <f t="shared" si="1"/>
        <v>100</v>
      </c>
      <c r="V13" s="701" t="s">
        <v>14</v>
      </c>
      <c r="W13" s="702">
        <f t="shared" si="2"/>
        <v>100</v>
      </c>
      <c r="X13" s="703"/>
      <c r="Y13" s="3651"/>
      <c r="Z13" s="3442">
        <f t="shared" si="7"/>
        <v>111</v>
      </c>
      <c r="AA13" s="704">
        <f t="shared" si="3"/>
        <v>1</v>
      </c>
      <c r="AB13" s="704">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5"/>
      <c r="M14" s="2709"/>
      <c r="N14" s="2709"/>
      <c r="O14" s="2709"/>
      <c r="P14" s="3717"/>
      <c r="Q14" s="3443">
        <f t="shared" si="6"/>
        <v>111</v>
      </c>
      <c r="R14" s="701" t="s">
        <v>14</v>
      </c>
      <c r="S14" s="702">
        <f t="shared" si="0"/>
        <v>100</v>
      </c>
      <c r="T14" s="701" t="s">
        <v>14</v>
      </c>
      <c r="U14" s="702">
        <f t="shared" si="1"/>
        <v>100</v>
      </c>
      <c r="V14" s="701" t="s">
        <v>14</v>
      </c>
      <c r="W14" s="702">
        <f t="shared" si="2"/>
        <v>100</v>
      </c>
      <c r="X14" s="703"/>
      <c r="Y14" s="3651"/>
      <c r="Z14" s="344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18" t="s">
        <v>1686</v>
      </c>
      <c r="Q15" s="3445" t="str">
        <f t="shared" si="6"/>
        <v>办公集聚程度</v>
      </c>
      <c r="R15" s="705" t="s">
        <v>14</v>
      </c>
      <c r="S15" s="706">
        <f t="shared" si="0"/>
        <v>100</v>
      </c>
      <c r="T15" s="705" t="s">
        <v>14</v>
      </c>
      <c r="U15" s="706">
        <f t="shared" si="1"/>
        <v>100</v>
      </c>
      <c r="V15" s="705" t="s">
        <v>14</v>
      </c>
      <c r="W15" s="706">
        <f t="shared" si="2"/>
        <v>100</v>
      </c>
      <c r="X15" s="3447"/>
      <c r="Y15" s="3720" t="s">
        <v>1686</v>
      </c>
      <c r="Z15" s="3448" t="str">
        <f t="shared" si="7"/>
        <v>办公集聚程度</v>
      </c>
      <c r="AA15" s="3446">
        <f t="shared" si="3"/>
        <v>1</v>
      </c>
      <c r="AB15" s="3446">
        <f t="shared" si="4"/>
        <v>1</v>
      </c>
      <c r="AC15" s="1957">
        <f t="shared" si="5"/>
        <v>1</v>
      </c>
    </row>
    <row r="16" spans="1:29" ht="15">
      <c r="A16" s="379"/>
      <c r="B16" s="578"/>
      <c r="C16" s="1900" t="s">
        <v>3406</v>
      </c>
      <c r="D16" s="399"/>
      <c r="E16" s="1900" t="s">
        <v>3406</v>
      </c>
      <c r="F16" s="399"/>
      <c r="G16" s="1900" t="s">
        <v>3406</v>
      </c>
      <c r="H16" s="401"/>
      <c r="I16" s="1900" t="s">
        <v>3406</v>
      </c>
      <c r="J16" s="399"/>
      <c r="K16" s="564"/>
      <c r="L16" s="2715"/>
      <c r="M16" s="2709"/>
      <c r="N16" s="2709"/>
      <c r="O16" s="2709"/>
      <c r="P16" s="3719"/>
      <c r="Q16" s="3445"/>
      <c r="R16" s="705"/>
      <c r="S16" s="706"/>
      <c r="T16" s="705"/>
      <c r="U16" s="706"/>
      <c r="V16" s="705"/>
      <c r="W16" s="706"/>
      <c r="X16" s="3447"/>
      <c r="Y16" s="3721"/>
      <c r="Z16" s="3448"/>
      <c r="AA16" s="3446">
        <v>1</v>
      </c>
      <c r="AB16" s="3446">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19"/>
      <c r="Q17" s="3445" t="str">
        <f>B17</f>
        <v>交通便捷度</v>
      </c>
      <c r="R17" s="705" t="s">
        <v>14</v>
      </c>
      <c r="S17" s="706">
        <f>F17</f>
        <v>100</v>
      </c>
      <c r="T17" s="705" t="s">
        <v>14</v>
      </c>
      <c r="U17" s="706">
        <f>H17</f>
        <v>100</v>
      </c>
      <c r="V17" s="705" t="s">
        <v>14</v>
      </c>
      <c r="W17" s="706">
        <f>J17</f>
        <v>100</v>
      </c>
      <c r="X17" s="3447"/>
      <c r="Y17" s="3721"/>
      <c r="Z17" s="3448" t="str">
        <f>Q17</f>
        <v>交通便捷度</v>
      </c>
      <c r="AA17" s="3446">
        <f t="shared" si="3"/>
        <v>1</v>
      </c>
      <c r="AB17" s="3446">
        <f t="shared" si="4"/>
        <v>1</v>
      </c>
      <c r="AC17" s="1957">
        <f t="shared" si="5"/>
        <v>1</v>
      </c>
    </row>
    <row r="18" spans="1:29" ht="15">
      <c r="A18" s="379"/>
      <c r="B18" s="580"/>
      <c r="C18" s="1959" t="s">
        <v>3406</v>
      </c>
      <c r="D18" s="401"/>
      <c r="E18" s="1959" t="s">
        <v>3406</v>
      </c>
      <c r="F18" s="401"/>
      <c r="G18" s="1959" t="s">
        <v>3406</v>
      </c>
      <c r="H18" s="399"/>
      <c r="I18" s="1959" t="s">
        <v>3406</v>
      </c>
      <c r="J18" s="399"/>
      <c r="K18" s="564"/>
      <c r="L18" s="2715"/>
      <c r="M18" s="2709"/>
      <c r="N18" s="2709"/>
      <c r="O18" s="2709"/>
      <c r="P18" s="3719"/>
      <c r="Q18" s="3445"/>
      <c r="R18" s="705"/>
      <c r="S18" s="706"/>
      <c r="T18" s="705"/>
      <c r="U18" s="706"/>
      <c r="V18" s="705"/>
      <c r="W18" s="706"/>
      <c r="X18" s="3447"/>
      <c r="Y18" s="3721"/>
      <c r="Z18" s="3448"/>
      <c r="AA18" s="3446">
        <v>1</v>
      </c>
      <c r="AB18" s="3446">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19"/>
      <c r="Q19" s="3445" t="str">
        <f>B19</f>
        <v>公共配套设施</v>
      </c>
      <c r="R19" s="705" t="s">
        <v>14</v>
      </c>
      <c r="S19" s="706">
        <f>F19</f>
        <v>100</v>
      </c>
      <c r="T19" s="705" t="s">
        <v>14</v>
      </c>
      <c r="U19" s="706">
        <f>H19</f>
        <v>100</v>
      </c>
      <c r="V19" s="705" t="s">
        <v>14</v>
      </c>
      <c r="W19" s="706">
        <f>J19</f>
        <v>100</v>
      </c>
      <c r="X19" s="3447"/>
      <c r="Y19" s="3721"/>
      <c r="Z19" s="3448" t="str">
        <f>Q19</f>
        <v>公共配套设施</v>
      </c>
      <c r="AA19" s="3446">
        <f t="shared" si="3"/>
        <v>1</v>
      </c>
      <c r="AB19" s="3446">
        <f t="shared" si="4"/>
        <v>1</v>
      </c>
      <c r="AC19" s="1957">
        <f t="shared" si="5"/>
        <v>1</v>
      </c>
    </row>
    <row r="20" spans="1:29" ht="15">
      <c r="A20" s="379"/>
      <c r="B20" s="580"/>
      <c r="C20" s="1900" t="s">
        <v>3406</v>
      </c>
      <c r="D20" s="399"/>
      <c r="E20" s="1900" t="s">
        <v>3406</v>
      </c>
      <c r="F20" s="399"/>
      <c r="G20" s="1900" t="s">
        <v>3406</v>
      </c>
      <c r="H20" s="399"/>
      <c r="I20" s="1900" t="s">
        <v>3406</v>
      </c>
      <c r="J20" s="399"/>
      <c r="K20" s="564"/>
      <c r="L20" s="2715"/>
      <c r="M20" s="2709"/>
      <c r="N20" s="2709"/>
      <c r="O20" s="2709"/>
      <c r="P20" s="3719"/>
      <c r="Q20" s="3445"/>
      <c r="R20" s="705"/>
      <c r="S20" s="706"/>
      <c r="T20" s="705"/>
      <c r="U20" s="706"/>
      <c r="V20" s="705"/>
      <c r="W20" s="706"/>
      <c r="X20" s="3447"/>
      <c r="Y20" s="3721"/>
      <c r="Z20" s="3448"/>
      <c r="AA20" s="3446">
        <v>1</v>
      </c>
      <c r="AB20" s="3446">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19"/>
      <c r="Q21" s="3445" t="str">
        <f>B21</f>
        <v>基础设施水平</v>
      </c>
      <c r="R21" s="705" t="s">
        <v>14</v>
      </c>
      <c r="S21" s="706">
        <f>F21</f>
        <v>100</v>
      </c>
      <c r="T21" s="705" t="s">
        <v>14</v>
      </c>
      <c r="U21" s="706">
        <f>H21</f>
        <v>100</v>
      </c>
      <c r="V21" s="705" t="s">
        <v>14</v>
      </c>
      <c r="W21" s="706">
        <f>J21</f>
        <v>100</v>
      </c>
      <c r="X21" s="3447"/>
      <c r="Y21" s="3721"/>
      <c r="Z21" s="3448" t="str">
        <f>Q21</f>
        <v>基础设施水平</v>
      </c>
      <c r="AA21" s="3446">
        <f t="shared" ref="AA21" si="8">D21/F21</f>
        <v>1</v>
      </c>
      <c r="AB21" s="3446">
        <f t="shared" ref="AB21" si="9">D21/H21</f>
        <v>1</v>
      </c>
      <c r="AC21" s="1957">
        <f t="shared" ref="AC21" si="10">D21/J21</f>
        <v>1</v>
      </c>
    </row>
    <row r="22" spans="1:29" ht="15">
      <c r="A22" s="379"/>
      <c r="B22" s="581"/>
      <c r="C22" s="1959" t="s">
        <v>3410</v>
      </c>
      <c r="D22" s="399"/>
      <c r="E22" s="1959" t="s">
        <v>3410</v>
      </c>
      <c r="F22" s="399"/>
      <c r="G22" s="1959" t="s">
        <v>3410</v>
      </c>
      <c r="H22" s="399"/>
      <c r="I22" s="1959" t="s">
        <v>3410</v>
      </c>
      <c r="J22" s="399"/>
      <c r="K22" s="1126"/>
      <c r="L22" s="2715"/>
      <c r="M22" s="2709"/>
      <c r="N22" s="2709"/>
      <c r="O22" s="2709"/>
      <c r="P22" s="3719"/>
      <c r="Q22" s="3445"/>
      <c r="R22" s="705"/>
      <c r="S22" s="706"/>
      <c r="T22" s="705"/>
      <c r="U22" s="706"/>
      <c r="V22" s="705"/>
      <c r="W22" s="706"/>
      <c r="X22" s="3447"/>
      <c r="Y22" s="3721"/>
      <c r="Z22" s="3448"/>
      <c r="AA22" s="3446">
        <v>1</v>
      </c>
      <c r="AB22" s="3446">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19"/>
      <c r="Q23" s="3445" t="str">
        <f>B23</f>
        <v>环境质量</v>
      </c>
      <c r="R23" s="705" t="s">
        <v>14</v>
      </c>
      <c r="S23" s="706">
        <f>F23</f>
        <v>100</v>
      </c>
      <c r="T23" s="705" t="s">
        <v>14</v>
      </c>
      <c r="U23" s="706">
        <f>H23</f>
        <v>100</v>
      </c>
      <c r="V23" s="705" t="s">
        <v>14</v>
      </c>
      <c r="W23" s="706">
        <f>J23</f>
        <v>100</v>
      </c>
      <c r="X23" s="3447"/>
      <c r="Y23" s="3721"/>
      <c r="Z23" s="3448" t="str">
        <f>Q23</f>
        <v>环境质量</v>
      </c>
      <c r="AA23" s="3446">
        <f t="shared" si="3"/>
        <v>1</v>
      </c>
      <c r="AB23" s="3446">
        <f t="shared" si="4"/>
        <v>1</v>
      </c>
      <c r="AC23" s="1957">
        <f t="shared" si="5"/>
        <v>1</v>
      </c>
    </row>
    <row r="24" spans="1:29" ht="15">
      <c r="A24" s="379"/>
      <c r="B24" s="581"/>
      <c r="C24" s="1900" t="s">
        <v>3406</v>
      </c>
      <c r="D24" s="399"/>
      <c r="E24" s="1900" t="s">
        <v>3406</v>
      </c>
      <c r="F24" s="399"/>
      <c r="G24" s="1900" t="s">
        <v>3406</v>
      </c>
      <c r="H24" s="399"/>
      <c r="I24" s="1900" t="s">
        <v>3406</v>
      </c>
      <c r="J24" s="399"/>
      <c r="K24" s="564"/>
      <c r="L24" s="2715"/>
      <c r="M24" s="2709"/>
      <c r="N24" s="2709"/>
      <c r="O24" s="2709"/>
      <c r="P24" s="3719"/>
      <c r="Q24" s="3445"/>
      <c r="R24" s="705"/>
      <c r="S24" s="706"/>
      <c r="T24" s="705"/>
      <c r="U24" s="706"/>
      <c r="V24" s="705"/>
      <c r="W24" s="706"/>
      <c r="X24" s="3447"/>
      <c r="Y24" s="3721"/>
      <c r="Z24" s="3448"/>
      <c r="AA24" s="3446">
        <v>1</v>
      </c>
      <c r="AB24" s="3446">
        <v>1</v>
      </c>
      <c r="AC24" s="1957">
        <v>1</v>
      </c>
    </row>
    <row r="25" spans="1:29" ht="27" hidden="1">
      <c r="A25" s="358"/>
      <c r="B25" s="579" t="s">
        <v>1810</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9"/>
      <c r="Q25" s="3445" t="str">
        <f>B25</f>
        <v>毗邻道路的类型与等级</v>
      </c>
      <c r="R25" s="705" t="s">
        <v>14</v>
      </c>
      <c r="S25" s="706">
        <f>F25</f>
        <v>100</v>
      </c>
      <c r="T25" s="705" t="s">
        <v>14</v>
      </c>
      <c r="U25" s="706">
        <f>H25</f>
        <v>100</v>
      </c>
      <c r="V25" s="705" t="s">
        <v>14</v>
      </c>
      <c r="W25" s="706">
        <f>J25</f>
        <v>100</v>
      </c>
      <c r="X25" s="3447"/>
      <c r="Y25" s="3721"/>
      <c r="Z25" s="3448" t="str">
        <f>Q25</f>
        <v>毗邻道路的类型与等级</v>
      </c>
      <c r="AA25" s="3446">
        <f t="shared" si="3"/>
        <v>1</v>
      </c>
      <c r="AB25" s="3446">
        <f t="shared" si="4"/>
        <v>1</v>
      </c>
      <c r="AC25" s="1957">
        <f t="shared" si="5"/>
        <v>1</v>
      </c>
    </row>
    <row r="26" spans="1:29" ht="15" hidden="1">
      <c r="A26" s="358"/>
      <c r="B26" s="580"/>
      <c r="C26" s="582"/>
      <c r="D26" s="386"/>
      <c r="E26" s="565"/>
      <c r="F26" s="386"/>
      <c r="G26" s="582"/>
      <c r="H26" s="386"/>
      <c r="I26" s="565"/>
      <c r="J26" s="386"/>
      <c r="K26" s="564"/>
      <c r="L26" s="2715"/>
      <c r="M26" s="2709"/>
      <c r="N26" s="2709"/>
      <c r="O26" s="2709"/>
      <c r="P26" s="3719"/>
      <c r="Q26" s="3445"/>
      <c r="R26" s="705"/>
      <c r="S26" s="706"/>
      <c r="T26" s="705"/>
      <c r="U26" s="706"/>
      <c r="V26" s="705"/>
      <c r="W26" s="706"/>
      <c r="X26" s="3447"/>
      <c r="Y26" s="3721"/>
      <c r="Z26" s="3448"/>
      <c r="AA26" s="3446">
        <v>1</v>
      </c>
      <c r="AB26" s="3446">
        <v>1</v>
      </c>
      <c r="AC26" s="1957">
        <v>1</v>
      </c>
    </row>
    <row r="27" spans="1:29" ht="15.75" thickBot="1">
      <c r="A27" s="379"/>
      <c r="B27" s="580" t="s">
        <v>1778</v>
      </c>
      <c r="C27" s="582" t="s">
        <v>3420</v>
      </c>
      <c r="D27" s="386">
        <v>100</v>
      </c>
      <c r="E27" s="565" t="s">
        <v>3420</v>
      </c>
      <c r="F27" s="386">
        <f>SUMIF(89:89,E27,90:90)-SUMIF(89:89,C27,90:90)+100</f>
        <v>100</v>
      </c>
      <c r="G27" s="582" t="s">
        <v>3417</v>
      </c>
      <c r="H27" s="386">
        <f>SUMIF(89:89,G27,90:90)-SUMIF(89:89,C27,90:90)+100</f>
        <v>104</v>
      </c>
      <c r="I27" s="565" t="s">
        <v>3420</v>
      </c>
      <c r="J27" s="386">
        <f>SUMIF(89:89,I27,90:90)-SUMIF(89:89,C27,90:90)+100</f>
        <v>100</v>
      </c>
      <c r="K27" s="561">
        <v>2</v>
      </c>
      <c r="L27" s="2715"/>
      <c r="M27" s="2709"/>
      <c r="N27" s="2709"/>
      <c r="O27" s="2709"/>
      <c r="P27" s="3719"/>
      <c r="Q27" s="3445" t="str">
        <f t="shared" ref="Q27:Q47" si="11">B27</f>
        <v>楼层</v>
      </c>
      <c r="R27" s="705" t="s">
        <v>14</v>
      </c>
      <c r="S27" s="706">
        <f>F27</f>
        <v>100</v>
      </c>
      <c r="T27" s="705" t="s">
        <v>14</v>
      </c>
      <c r="U27" s="706">
        <f>H27</f>
        <v>104</v>
      </c>
      <c r="V27" s="705" t="s">
        <v>14</v>
      </c>
      <c r="W27" s="706">
        <f>J27</f>
        <v>100</v>
      </c>
      <c r="X27" s="3447"/>
      <c r="Y27" s="3721"/>
      <c r="Z27" s="3448" t="str">
        <f>Q27</f>
        <v>楼层</v>
      </c>
      <c r="AA27" s="3446">
        <f t="shared" si="3"/>
        <v>1</v>
      </c>
      <c r="AB27" s="3446">
        <f t="shared" si="4"/>
        <v>0.96153846153846156</v>
      </c>
      <c r="AC27" s="1957">
        <f t="shared" si="5"/>
        <v>1</v>
      </c>
    </row>
    <row r="28" spans="1:29" s="108" customFormat="1" ht="15.75" hidden="1" thickBot="1">
      <c r="A28" s="382"/>
      <c r="B28" s="579" t="s">
        <v>1811</v>
      </c>
      <c r="C28" s="1960"/>
      <c r="D28" s="413">
        <v>100</v>
      </c>
      <c r="E28" s="1952"/>
      <c r="F28" s="413">
        <f>SUMIF(91:91,E28,92:92)-SUMIF(91:91,C28,92:92)+100</f>
        <v>100</v>
      </c>
      <c r="G28" s="1960"/>
      <c r="H28" s="413">
        <f>SUMIF(91:91,G28,92:92)-SUMIF(91:91,C28,92:92)+100</f>
        <v>100</v>
      </c>
      <c r="I28" s="1952"/>
      <c r="J28" s="413">
        <f>SUMIF(91:91,I28,92:92)-SUMIF(91:91,C28,92:92)+100</f>
        <v>100</v>
      </c>
      <c r="K28" s="561"/>
      <c r="L28" s="2710"/>
      <c r="M28" s="2711"/>
      <c r="N28" s="2711"/>
      <c r="O28" s="2711"/>
      <c r="P28" s="3719"/>
      <c r="Q28" s="3443" t="str">
        <f t="shared" si="11"/>
        <v>朝向</v>
      </c>
      <c r="R28" s="701" t="s">
        <v>14</v>
      </c>
      <c r="S28" s="702">
        <f>F28</f>
        <v>100</v>
      </c>
      <c r="T28" s="701" t="s">
        <v>14</v>
      </c>
      <c r="U28" s="702">
        <f>H28</f>
        <v>100</v>
      </c>
      <c r="V28" s="701" t="s">
        <v>14</v>
      </c>
      <c r="W28" s="702">
        <f>J28</f>
        <v>100</v>
      </c>
      <c r="X28" s="703"/>
      <c r="Y28" s="3721"/>
      <c r="Z28" s="3442" t="str">
        <f>Q28</f>
        <v>朝向</v>
      </c>
      <c r="AA28" s="3446">
        <f>D28/F28</f>
        <v>1</v>
      </c>
      <c r="AB28" s="3446">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5"/>
      <c r="M29" s="2709"/>
      <c r="N29" s="2709"/>
      <c r="O29" s="2709"/>
      <c r="P29" s="3719"/>
      <c r="Q29" s="3445">
        <f t="shared" si="11"/>
        <v>111</v>
      </c>
      <c r="R29" s="705" t="s">
        <v>14</v>
      </c>
      <c r="S29" s="706">
        <f t="shared" ref="S29:S47" si="12">F29</f>
        <v>100</v>
      </c>
      <c r="T29" s="705" t="s">
        <v>14</v>
      </c>
      <c r="U29" s="706">
        <f t="shared" ref="U29:U47" si="13">H29</f>
        <v>100</v>
      </c>
      <c r="V29" s="705" t="s">
        <v>14</v>
      </c>
      <c r="W29" s="706">
        <f t="shared" ref="W29:W47" si="14">J29</f>
        <v>100</v>
      </c>
      <c r="X29" s="3447"/>
      <c r="Y29" s="3721"/>
      <c r="Z29" s="3448">
        <f t="shared" ref="Z29:Z47" si="15">Q29</f>
        <v>111</v>
      </c>
      <c r="AA29" s="3446">
        <f t="shared" si="3"/>
        <v>1</v>
      </c>
      <c r="AB29" s="3446">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19"/>
      <c r="Q30" s="3445">
        <f t="shared" si="11"/>
        <v>111</v>
      </c>
      <c r="R30" s="705" t="s">
        <v>14</v>
      </c>
      <c r="S30" s="706">
        <f t="shared" si="12"/>
        <v>100</v>
      </c>
      <c r="T30" s="705" t="s">
        <v>14</v>
      </c>
      <c r="U30" s="706">
        <f t="shared" si="13"/>
        <v>100</v>
      </c>
      <c r="V30" s="705" t="s">
        <v>14</v>
      </c>
      <c r="W30" s="706">
        <f t="shared" si="14"/>
        <v>100</v>
      </c>
      <c r="X30" s="3447"/>
      <c r="Y30" s="3721"/>
      <c r="Z30" s="3448">
        <f t="shared" si="15"/>
        <v>111</v>
      </c>
      <c r="AA30" s="3446">
        <f t="shared" si="3"/>
        <v>1</v>
      </c>
      <c r="AB30" s="3446">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19"/>
      <c r="Q31" s="3445">
        <f t="shared" si="11"/>
        <v>111</v>
      </c>
      <c r="R31" s="705" t="s">
        <v>14</v>
      </c>
      <c r="S31" s="706">
        <f t="shared" si="12"/>
        <v>100</v>
      </c>
      <c r="T31" s="705" t="s">
        <v>14</v>
      </c>
      <c r="U31" s="706">
        <f t="shared" si="13"/>
        <v>100</v>
      </c>
      <c r="V31" s="705" t="s">
        <v>14</v>
      </c>
      <c r="W31" s="706">
        <f t="shared" si="14"/>
        <v>100</v>
      </c>
      <c r="X31" s="3447"/>
      <c r="Y31" s="3721"/>
      <c r="Z31" s="3448">
        <f t="shared" si="15"/>
        <v>111</v>
      </c>
      <c r="AA31" s="3446">
        <f t="shared" si="3"/>
        <v>1</v>
      </c>
      <c r="AB31" s="3446">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19"/>
      <c r="Q32" s="3445">
        <f t="shared" si="11"/>
        <v>111</v>
      </c>
      <c r="R32" s="705" t="s">
        <v>14</v>
      </c>
      <c r="S32" s="706">
        <f t="shared" si="12"/>
        <v>100</v>
      </c>
      <c r="T32" s="705" t="s">
        <v>14</v>
      </c>
      <c r="U32" s="706">
        <f t="shared" si="13"/>
        <v>100</v>
      </c>
      <c r="V32" s="705" t="s">
        <v>14</v>
      </c>
      <c r="W32" s="706">
        <f t="shared" si="14"/>
        <v>100</v>
      </c>
      <c r="X32" s="3447"/>
      <c r="Y32" s="3721"/>
      <c r="Z32" s="3448">
        <f t="shared" si="15"/>
        <v>111</v>
      </c>
      <c r="AA32" s="3446">
        <f t="shared" si="3"/>
        <v>1</v>
      </c>
      <c r="AB32" s="3446">
        <f t="shared" si="4"/>
        <v>1</v>
      </c>
      <c r="AC32" s="1957">
        <f t="shared" si="5"/>
        <v>1</v>
      </c>
    </row>
    <row r="33" spans="1:29" ht="15">
      <c r="A33" s="391" t="s">
        <v>1689</v>
      </c>
      <c r="B33" s="63" t="s">
        <v>1812</v>
      </c>
      <c r="C33" s="1962" t="s">
        <v>3392</v>
      </c>
      <c r="D33" s="418">
        <v>100</v>
      </c>
      <c r="E33" s="1962" t="s">
        <v>3392</v>
      </c>
      <c r="F33" s="412">
        <f>SUMIF(101:101,E33,102:102)-SUMIF(101:101,C33,102:102)+100</f>
        <v>100</v>
      </c>
      <c r="G33" s="1962" t="s">
        <v>3392</v>
      </c>
      <c r="H33" s="386">
        <f>SUMIF(101:101,G33,102:102)-SUMIF(101:101,C33,102:102)+100</f>
        <v>100</v>
      </c>
      <c r="I33" s="1962" t="s">
        <v>3392</v>
      </c>
      <c r="J33" s="418">
        <f>SUMIF(101:101,I33,102:102)-SUMIF(101:101,C33,102:102)+100</f>
        <v>100</v>
      </c>
      <c r="K33" s="561">
        <v>2</v>
      </c>
      <c r="L33" s="2715"/>
      <c r="M33" s="2709"/>
      <c r="N33" s="2709"/>
      <c r="O33" s="2709"/>
      <c r="P33" s="3722" t="s">
        <v>1691</v>
      </c>
      <c r="Q33" s="3445" t="str">
        <f t="shared" si="11"/>
        <v>建筑类型</v>
      </c>
      <c r="R33" s="705" t="s">
        <v>14</v>
      </c>
      <c r="S33" s="706">
        <f t="shared" si="12"/>
        <v>100</v>
      </c>
      <c r="T33" s="705" t="s">
        <v>14</v>
      </c>
      <c r="U33" s="706">
        <f t="shared" si="13"/>
        <v>100</v>
      </c>
      <c r="V33" s="705" t="s">
        <v>14</v>
      </c>
      <c r="W33" s="706">
        <f t="shared" si="14"/>
        <v>100</v>
      </c>
      <c r="X33" s="3447"/>
      <c r="Y33" s="3725" t="s">
        <v>1691</v>
      </c>
      <c r="Z33" s="3448" t="str">
        <f t="shared" si="15"/>
        <v>建筑类型</v>
      </c>
      <c r="AA33" s="3446">
        <f t="shared" si="3"/>
        <v>1</v>
      </c>
      <c r="AB33" s="3446">
        <f t="shared" si="4"/>
        <v>1</v>
      </c>
      <c r="AC33" s="1957">
        <f t="shared" si="5"/>
        <v>1</v>
      </c>
    </row>
    <row r="34" spans="1:29" s="422" customFormat="1" ht="15">
      <c r="A34" s="419"/>
      <c r="B34" s="375" t="s">
        <v>1692</v>
      </c>
      <c r="C34" s="420">
        <f>D3</f>
        <v>218.26</v>
      </c>
      <c r="D34" s="127">
        <v>100</v>
      </c>
      <c r="E34" s="381">
        <v>1432.25</v>
      </c>
      <c r="F34" s="376">
        <f>LOOKUP(E34,104:104,105:105)-LOOKUP(C34,104:104,105:105)+100</f>
        <v>98</v>
      </c>
      <c r="G34" s="380">
        <v>111</v>
      </c>
      <c r="H34" s="127">
        <f>LOOKUP(G34,104:104,105:105)-LOOKUP(C34,104:104,105:105)+100</f>
        <v>100</v>
      </c>
      <c r="I34" s="380">
        <v>99</v>
      </c>
      <c r="J34" s="127">
        <f>LOOKUP(I34,104:104,105:105)-LOOKUP(C34,104:104,105:105)+100</f>
        <v>99</v>
      </c>
      <c r="K34" s="562"/>
      <c r="L34" s="2714"/>
      <c r="M34" s="2716"/>
      <c r="N34" s="2716"/>
      <c r="O34" s="2716"/>
      <c r="P34" s="3723"/>
      <c r="Q34" s="707" t="str">
        <f t="shared" si="11"/>
        <v>项目建筑规模</v>
      </c>
      <c r="R34" s="708" t="s">
        <v>14</v>
      </c>
      <c r="S34" s="709">
        <f t="shared" si="12"/>
        <v>98</v>
      </c>
      <c r="T34" s="708" t="s">
        <v>14</v>
      </c>
      <c r="U34" s="709">
        <f t="shared" si="13"/>
        <v>100</v>
      </c>
      <c r="V34" s="708" t="s">
        <v>14</v>
      </c>
      <c r="W34" s="709">
        <f t="shared" si="14"/>
        <v>99</v>
      </c>
      <c r="X34" s="710"/>
      <c r="Y34" s="3725"/>
      <c r="Z34" s="711" t="str">
        <f t="shared" si="15"/>
        <v>项目建筑规模</v>
      </c>
      <c r="AA34" s="3446">
        <f t="shared" si="3"/>
        <v>1.0204081632653061</v>
      </c>
      <c r="AB34" s="3446">
        <f t="shared" si="4"/>
        <v>1</v>
      </c>
      <c r="AC34" s="1957">
        <f t="shared" si="5"/>
        <v>1.0101010101010102</v>
      </c>
    </row>
    <row r="35" spans="1:29" ht="15">
      <c r="A35" s="423"/>
      <c r="B35" s="375" t="s">
        <v>1693</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1</v>
      </c>
      <c r="L35" s="2715"/>
      <c r="M35" s="2709"/>
      <c r="N35" s="2709"/>
      <c r="O35" s="2709"/>
      <c r="P35" s="3723"/>
      <c r="Q35" s="3445" t="str">
        <f t="shared" si="11"/>
        <v>建筑结构</v>
      </c>
      <c r="R35" s="705" t="s">
        <v>14</v>
      </c>
      <c r="S35" s="706">
        <f t="shared" si="12"/>
        <v>100</v>
      </c>
      <c r="T35" s="705" t="s">
        <v>14</v>
      </c>
      <c r="U35" s="706">
        <f t="shared" si="13"/>
        <v>100</v>
      </c>
      <c r="V35" s="705" t="s">
        <v>14</v>
      </c>
      <c r="W35" s="706">
        <f t="shared" si="14"/>
        <v>100</v>
      </c>
      <c r="X35" s="3447"/>
      <c r="Y35" s="3725"/>
      <c r="Z35" s="3448" t="str">
        <f t="shared" si="15"/>
        <v>建筑结构</v>
      </c>
      <c r="AA35" s="3446">
        <f t="shared" si="3"/>
        <v>1</v>
      </c>
      <c r="AB35" s="3446">
        <f t="shared" si="4"/>
        <v>1</v>
      </c>
      <c r="AC35" s="1957">
        <f t="shared" si="5"/>
        <v>1</v>
      </c>
    </row>
    <row r="36" spans="1:29" ht="15">
      <c r="A36" s="423"/>
      <c r="B36" s="375" t="s">
        <v>1780</v>
      </c>
      <c r="C36" s="411" t="s">
        <v>3395</v>
      </c>
      <c r="D36" s="386">
        <v>100</v>
      </c>
      <c r="E36" s="411" t="s">
        <v>3395</v>
      </c>
      <c r="F36" s="412">
        <f>SUMIF(108:108,E36,109:109)-SUMIF(108:108,C36,109:109)+100</f>
        <v>100</v>
      </c>
      <c r="G36" s="411" t="s">
        <v>3395</v>
      </c>
      <c r="H36" s="386">
        <f>SUMIF(108:108,G36,109:109)-SUMIF(108:108,C36,109:109)+100</f>
        <v>100</v>
      </c>
      <c r="I36" s="411" t="s">
        <v>3395</v>
      </c>
      <c r="J36" s="386">
        <f>SUMIF(108:108,I36,109:109)-SUMIF(108:108,C36,109:109)+100</f>
        <v>100</v>
      </c>
      <c r="K36" s="561">
        <v>2</v>
      </c>
      <c r="L36" s="2715"/>
      <c r="M36" s="2709"/>
      <c r="N36" s="2709"/>
      <c r="O36" s="2709"/>
      <c r="P36" s="3723"/>
      <c r="Q36" s="3445" t="str">
        <f t="shared" si="11"/>
        <v>公共部分装修</v>
      </c>
      <c r="R36" s="705" t="s">
        <v>14</v>
      </c>
      <c r="S36" s="706">
        <f t="shared" si="12"/>
        <v>100</v>
      </c>
      <c r="T36" s="705" t="s">
        <v>14</v>
      </c>
      <c r="U36" s="706">
        <f t="shared" si="13"/>
        <v>100</v>
      </c>
      <c r="V36" s="705" t="s">
        <v>14</v>
      </c>
      <c r="W36" s="706">
        <f t="shared" si="14"/>
        <v>100</v>
      </c>
      <c r="X36" s="3447"/>
      <c r="Y36" s="3725"/>
      <c r="Z36" s="3448" t="str">
        <f t="shared" si="15"/>
        <v>公共部分装修</v>
      </c>
      <c r="AA36" s="3446">
        <f t="shared" si="3"/>
        <v>1</v>
      </c>
      <c r="AB36" s="3446">
        <f t="shared" si="4"/>
        <v>1</v>
      </c>
      <c r="AC36" s="1957">
        <f t="shared" si="5"/>
        <v>1</v>
      </c>
    </row>
    <row r="37" spans="1:29" ht="15">
      <c r="A37" s="423"/>
      <c r="B37" s="375" t="s">
        <v>1781</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1</v>
      </c>
      <c r="L37" s="2715"/>
      <c r="M37" s="2709"/>
      <c r="N37" s="2709"/>
      <c r="O37" s="2709"/>
      <c r="P37" s="3723"/>
      <c r="Q37" s="3445" t="str">
        <f t="shared" si="11"/>
        <v>成新度</v>
      </c>
      <c r="R37" s="705" t="s">
        <v>14</v>
      </c>
      <c r="S37" s="706">
        <f t="shared" si="12"/>
        <v>100</v>
      </c>
      <c r="T37" s="705" t="s">
        <v>14</v>
      </c>
      <c r="U37" s="706">
        <f t="shared" si="13"/>
        <v>100</v>
      </c>
      <c r="V37" s="705" t="s">
        <v>14</v>
      </c>
      <c r="W37" s="706">
        <f t="shared" si="14"/>
        <v>100</v>
      </c>
      <c r="X37" s="3447"/>
      <c r="Y37" s="3725"/>
      <c r="Z37" s="3448" t="str">
        <f t="shared" si="15"/>
        <v>成新度</v>
      </c>
      <c r="AA37" s="3446">
        <f t="shared" si="3"/>
        <v>1</v>
      </c>
      <c r="AB37" s="3446">
        <f t="shared" si="4"/>
        <v>1</v>
      </c>
      <c r="AC37" s="1957">
        <f t="shared" si="5"/>
        <v>1</v>
      </c>
    </row>
    <row r="38" spans="1:29" s="108" customFormat="1" ht="15">
      <c r="A38" s="424"/>
      <c r="B38" s="375" t="s">
        <v>1813</v>
      </c>
      <c r="C38" s="411" t="s">
        <v>3403</v>
      </c>
      <c r="D38" s="127">
        <v>100</v>
      </c>
      <c r="E38" s="411" t="s">
        <v>3403</v>
      </c>
      <c r="F38" s="412">
        <f>SUMIF(113:113,E38,114:114)-SUMIF(113:113,C38,114:114)+100</f>
        <v>100</v>
      </c>
      <c r="G38" s="411" t="s">
        <v>3403</v>
      </c>
      <c r="H38" s="386">
        <f>SUMIF(113:113,G38,114:114)-SUMIF(113:113,C38,114:114)+100</f>
        <v>100</v>
      </c>
      <c r="I38" s="411" t="s">
        <v>3403</v>
      </c>
      <c r="J38" s="386">
        <f>SUMIF(113:113,I38,114:114)-SUMIF(113:113,C38,114:114)+100</f>
        <v>100</v>
      </c>
      <c r="K38" s="561">
        <v>2</v>
      </c>
      <c r="L38" s="2710"/>
      <c r="M38" s="2711"/>
      <c r="N38" s="2711"/>
      <c r="O38" s="2711"/>
      <c r="P38" s="3723"/>
      <c r="Q38" s="3443" t="str">
        <f t="shared" si="11"/>
        <v>写字楼等级</v>
      </c>
      <c r="R38" s="701" t="s">
        <v>14</v>
      </c>
      <c r="S38" s="702">
        <f t="shared" si="12"/>
        <v>100</v>
      </c>
      <c r="T38" s="701" t="s">
        <v>14</v>
      </c>
      <c r="U38" s="702">
        <f t="shared" si="13"/>
        <v>100</v>
      </c>
      <c r="V38" s="701" t="s">
        <v>14</v>
      </c>
      <c r="W38" s="702">
        <f t="shared" si="14"/>
        <v>100</v>
      </c>
      <c r="X38" s="703"/>
      <c r="Y38" s="3725"/>
      <c r="Z38" s="3442" t="str">
        <f t="shared" si="15"/>
        <v>写字楼等级</v>
      </c>
      <c r="AA38" s="704">
        <f t="shared" si="3"/>
        <v>1</v>
      </c>
      <c r="AB38" s="704">
        <f t="shared" si="4"/>
        <v>1</v>
      </c>
      <c r="AC38" s="1954">
        <f t="shared" si="5"/>
        <v>1</v>
      </c>
    </row>
    <row r="39" spans="1:29" ht="15">
      <c r="A39" s="423"/>
      <c r="B39" s="375" t="s">
        <v>1814</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v>1</v>
      </c>
      <c r="L39" s="2715"/>
      <c r="M39" s="2709"/>
      <c r="N39" s="2709"/>
      <c r="O39" s="2709"/>
      <c r="P39" s="3723" t="s">
        <v>1691</v>
      </c>
      <c r="Q39" s="3445" t="str">
        <f t="shared" si="11"/>
        <v>物业管理</v>
      </c>
      <c r="R39" s="705" t="s">
        <v>14</v>
      </c>
      <c r="S39" s="706">
        <f t="shared" si="12"/>
        <v>100</v>
      </c>
      <c r="T39" s="705" t="s">
        <v>14</v>
      </c>
      <c r="U39" s="706">
        <f t="shared" si="13"/>
        <v>100</v>
      </c>
      <c r="V39" s="705" t="s">
        <v>14</v>
      </c>
      <c r="W39" s="706">
        <f t="shared" si="14"/>
        <v>100</v>
      </c>
      <c r="X39" s="3447"/>
      <c r="Y39" s="3725" t="s">
        <v>1691</v>
      </c>
      <c r="Z39" s="3448" t="str">
        <f t="shared" si="15"/>
        <v>物业管理</v>
      </c>
      <c r="AA39" s="3446">
        <f t="shared" si="3"/>
        <v>1</v>
      </c>
      <c r="AB39" s="3446">
        <f t="shared" si="4"/>
        <v>1</v>
      </c>
      <c r="AC39" s="1957">
        <f t="shared" si="5"/>
        <v>1</v>
      </c>
    </row>
    <row r="40" spans="1:29" ht="15">
      <c r="A40" s="423"/>
      <c r="B40" s="375" t="s">
        <v>1782</v>
      </c>
      <c r="C40" s="411" t="s">
        <v>3412</v>
      </c>
      <c r="D40" s="386">
        <v>100</v>
      </c>
      <c r="E40" s="411" t="s">
        <v>3412</v>
      </c>
      <c r="F40" s="412">
        <f>SUMIF(117:117,E40,118:118)-SUMIF(117:117,C40,118:118)+100</f>
        <v>100</v>
      </c>
      <c r="G40" s="411" t="s">
        <v>3412</v>
      </c>
      <c r="H40" s="386">
        <f>SUMIF(117:117,G40,118:118)-SUMIF(117:117,C40,118:118)+100</f>
        <v>100</v>
      </c>
      <c r="I40" s="411" t="s">
        <v>3412</v>
      </c>
      <c r="J40" s="386">
        <f>SUMIF(117:117,I40,118:118)-SUMIF(117:117,C40,118:118)+100</f>
        <v>100</v>
      </c>
      <c r="K40" s="561">
        <v>1</v>
      </c>
      <c r="L40" s="2715"/>
      <c r="M40" s="2709"/>
      <c r="N40" s="2709"/>
      <c r="O40" s="2709"/>
      <c r="P40" s="3723"/>
      <c r="Q40" s="3445" t="str">
        <f t="shared" si="11"/>
        <v>市政基础设施</v>
      </c>
      <c r="R40" s="705" t="s">
        <v>14</v>
      </c>
      <c r="S40" s="706">
        <f t="shared" si="12"/>
        <v>100</v>
      </c>
      <c r="T40" s="705" t="s">
        <v>14</v>
      </c>
      <c r="U40" s="706">
        <f t="shared" si="13"/>
        <v>100</v>
      </c>
      <c r="V40" s="705" t="s">
        <v>14</v>
      </c>
      <c r="W40" s="706">
        <f t="shared" si="14"/>
        <v>100</v>
      </c>
      <c r="X40" s="3447"/>
      <c r="Y40" s="3725"/>
      <c r="Z40" s="3448" t="str">
        <f t="shared" si="15"/>
        <v>市政基础设施</v>
      </c>
      <c r="AA40" s="3446">
        <f t="shared" si="3"/>
        <v>1</v>
      </c>
      <c r="AB40" s="3446">
        <f t="shared" si="4"/>
        <v>1</v>
      </c>
      <c r="AC40" s="1957">
        <f t="shared" si="5"/>
        <v>1</v>
      </c>
    </row>
    <row r="41" spans="1:29" ht="15">
      <c r="A41" s="423"/>
      <c r="B41" s="375" t="s">
        <v>1784</v>
      </c>
      <c r="C41" s="565" t="s">
        <v>3415</v>
      </c>
      <c r="D41" s="386">
        <v>100</v>
      </c>
      <c r="E41" s="565" t="s">
        <v>3415</v>
      </c>
      <c r="F41" s="412">
        <f>SUMIF(119:119,E41,120:120)-SUMIF(119:119,C41,120:120)+100</f>
        <v>100</v>
      </c>
      <c r="G41" s="565" t="s">
        <v>3415</v>
      </c>
      <c r="H41" s="386">
        <f>SUMIF(119:119,G41,120:120)-SUMIF(119:119,C41,120:120)+100</f>
        <v>100</v>
      </c>
      <c r="I41" s="565" t="s">
        <v>3415</v>
      </c>
      <c r="J41" s="386">
        <f>SUMIF(119:119,I41,120:120)-SUMIF(119:119,C41,120:120)+100</f>
        <v>100</v>
      </c>
      <c r="K41" s="561">
        <v>2</v>
      </c>
      <c r="L41" s="2715"/>
      <c r="M41" s="2709"/>
      <c r="N41" s="2709"/>
      <c r="O41" s="2709"/>
      <c r="P41" s="3723"/>
      <c r="Q41" s="3445" t="str">
        <f t="shared" si="11"/>
        <v>层高</v>
      </c>
      <c r="R41" s="705" t="s">
        <v>14</v>
      </c>
      <c r="S41" s="706">
        <f t="shared" si="12"/>
        <v>100</v>
      </c>
      <c r="T41" s="705" t="s">
        <v>14</v>
      </c>
      <c r="U41" s="706">
        <f t="shared" si="13"/>
        <v>100</v>
      </c>
      <c r="V41" s="705" t="s">
        <v>14</v>
      </c>
      <c r="W41" s="706">
        <f t="shared" si="14"/>
        <v>100</v>
      </c>
      <c r="X41" s="3447"/>
      <c r="Y41" s="3725"/>
      <c r="Z41" s="3448" t="str">
        <f t="shared" si="15"/>
        <v>层高</v>
      </c>
      <c r="AA41" s="3446">
        <f t="shared" si="3"/>
        <v>1</v>
      </c>
      <c r="AB41" s="3446">
        <f t="shared" si="4"/>
        <v>1</v>
      </c>
      <c r="AC41" s="1957">
        <f t="shared" si="5"/>
        <v>1</v>
      </c>
    </row>
    <row r="42" spans="1:29" s="422" customFormat="1" ht="15" hidden="1">
      <c r="A42" s="419"/>
      <c r="B42" s="344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3446">
        <f t="shared" si="3"/>
        <v>1</v>
      </c>
      <c r="AB42" s="3446">
        <f t="shared" si="4"/>
        <v>1</v>
      </c>
      <c r="AC42" s="1957">
        <f t="shared" si="5"/>
        <v>1</v>
      </c>
    </row>
    <row r="43" spans="1:29" ht="15">
      <c r="A43" s="423"/>
      <c r="B43" s="375" t="s">
        <v>1787</v>
      </c>
      <c r="C43" s="411" t="s">
        <v>3397</v>
      </c>
      <c r="D43" s="386">
        <v>100</v>
      </c>
      <c r="E43" s="411" t="s">
        <v>3397</v>
      </c>
      <c r="F43" s="412">
        <f>SUMIF(123:123,E43,124:124)-SUMIF(123:123,C43,124:124)+100</f>
        <v>100</v>
      </c>
      <c r="G43" s="411" t="s">
        <v>3397</v>
      </c>
      <c r="H43" s="386">
        <f>SUMIF(123:123,G43,124:124)-SUMIF(123:123,C43,124:124)+100</f>
        <v>100</v>
      </c>
      <c r="I43" s="411" t="s">
        <v>3397</v>
      </c>
      <c r="J43" s="386">
        <f>SUMIF(123:123,I43,124:124)-SUMIF(123:123,C43,124:124)+100</f>
        <v>100</v>
      </c>
      <c r="K43" s="561">
        <v>2</v>
      </c>
      <c r="L43" s="2715"/>
      <c r="M43" s="2709"/>
      <c r="N43" s="2709"/>
      <c r="O43" s="2709"/>
      <c r="P43" s="3723"/>
      <c r="Q43" s="3445" t="str">
        <f t="shared" si="11"/>
        <v>内部装修</v>
      </c>
      <c r="R43" s="705" t="s">
        <v>14</v>
      </c>
      <c r="S43" s="706">
        <f t="shared" si="12"/>
        <v>100</v>
      </c>
      <c r="T43" s="705" t="s">
        <v>14</v>
      </c>
      <c r="U43" s="706">
        <f t="shared" si="13"/>
        <v>100</v>
      </c>
      <c r="V43" s="705" t="s">
        <v>14</v>
      </c>
      <c r="W43" s="706">
        <f t="shared" si="14"/>
        <v>100</v>
      </c>
      <c r="X43" s="3447"/>
      <c r="Y43" s="3725"/>
      <c r="Z43" s="3448" t="str">
        <f t="shared" si="15"/>
        <v>内部装修</v>
      </c>
      <c r="AA43" s="3446">
        <f t="shared" si="3"/>
        <v>1</v>
      </c>
      <c r="AB43" s="3446">
        <f t="shared" si="4"/>
        <v>1</v>
      </c>
      <c r="AC43" s="1957">
        <f t="shared" si="5"/>
        <v>1</v>
      </c>
    </row>
    <row r="44" spans="1:29" ht="15.75" thickBot="1">
      <c r="A44" s="423"/>
      <c r="B44" s="375" t="s">
        <v>1702</v>
      </c>
      <c r="C44" s="411" t="s">
        <v>3406</v>
      </c>
      <c r="D44" s="386">
        <v>100</v>
      </c>
      <c r="E44" s="411" t="s">
        <v>3406</v>
      </c>
      <c r="F44" s="412">
        <f>SUMIF(125:125,E44,126:126)-SUMIF(125:125,C44,126:126)+100</f>
        <v>100</v>
      </c>
      <c r="G44" s="411" t="s">
        <v>3406</v>
      </c>
      <c r="H44" s="386">
        <f>SUMIF(125:125,G44,126:126)-SUMIF(125:125,C44,126:126)+100</f>
        <v>100</v>
      </c>
      <c r="I44" s="411" t="s">
        <v>3406</v>
      </c>
      <c r="J44" s="386">
        <f>SUMIF(125:125,I44,126:126)-SUMIF(125:125,C44,126:126)+100</f>
        <v>100</v>
      </c>
      <c r="K44" s="561">
        <v>1</v>
      </c>
      <c r="L44" s="2715"/>
      <c r="M44" s="2709"/>
      <c r="N44" s="2709"/>
      <c r="O44" s="2709"/>
      <c r="P44" s="3723"/>
      <c r="Q44" s="3445" t="str">
        <f t="shared" si="11"/>
        <v>内部装修维护情况</v>
      </c>
      <c r="R44" s="705" t="s">
        <v>14</v>
      </c>
      <c r="S44" s="706">
        <f t="shared" si="12"/>
        <v>100</v>
      </c>
      <c r="T44" s="705" t="s">
        <v>14</v>
      </c>
      <c r="U44" s="706">
        <f t="shared" si="13"/>
        <v>100</v>
      </c>
      <c r="V44" s="705" t="s">
        <v>14</v>
      </c>
      <c r="W44" s="706">
        <f t="shared" si="14"/>
        <v>100</v>
      </c>
      <c r="X44" s="3447"/>
      <c r="Y44" s="3725"/>
      <c r="Z44" s="3448" t="str">
        <f t="shared" si="15"/>
        <v>内部装修维护情况</v>
      </c>
      <c r="AA44" s="3446">
        <f t="shared" si="3"/>
        <v>1</v>
      </c>
      <c r="AB44" s="3446">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3"/>
      <c r="Q45" s="3443">
        <f t="shared" si="11"/>
        <v>111</v>
      </c>
      <c r="R45" s="701" t="s">
        <v>14</v>
      </c>
      <c r="S45" s="702">
        <f t="shared" si="12"/>
        <v>100</v>
      </c>
      <c r="T45" s="701" t="s">
        <v>14</v>
      </c>
      <c r="U45" s="702">
        <f t="shared" si="13"/>
        <v>100</v>
      </c>
      <c r="V45" s="701" t="s">
        <v>14</v>
      </c>
      <c r="W45" s="702">
        <f t="shared" si="14"/>
        <v>100</v>
      </c>
      <c r="X45" s="703"/>
      <c r="Y45" s="3725"/>
      <c r="Z45" s="3442">
        <f t="shared" si="15"/>
        <v>111</v>
      </c>
      <c r="AA45" s="704">
        <f t="shared" si="3"/>
        <v>1</v>
      </c>
      <c r="AB45" s="704">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3"/>
      <c r="Q46" s="3445">
        <f t="shared" si="11"/>
        <v>111</v>
      </c>
      <c r="R46" s="705" t="s">
        <v>14</v>
      </c>
      <c r="S46" s="706">
        <f t="shared" si="12"/>
        <v>100</v>
      </c>
      <c r="T46" s="705" t="s">
        <v>14</v>
      </c>
      <c r="U46" s="706">
        <f t="shared" si="13"/>
        <v>100</v>
      </c>
      <c r="V46" s="705" t="s">
        <v>14</v>
      </c>
      <c r="W46" s="706">
        <f t="shared" si="14"/>
        <v>100</v>
      </c>
      <c r="X46" s="3447"/>
      <c r="Y46" s="3725"/>
      <c r="Z46" s="3448">
        <f t="shared" si="15"/>
        <v>111</v>
      </c>
      <c r="AA46" s="3446">
        <f t="shared" si="3"/>
        <v>1</v>
      </c>
      <c r="AB46" s="3446">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4"/>
      <c r="Q47" s="3445">
        <f t="shared" si="11"/>
        <v>111</v>
      </c>
      <c r="R47" s="705" t="s">
        <v>14</v>
      </c>
      <c r="S47" s="706">
        <f t="shared" si="12"/>
        <v>100</v>
      </c>
      <c r="T47" s="705" t="s">
        <v>14</v>
      </c>
      <c r="U47" s="706">
        <f t="shared" si="13"/>
        <v>100</v>
      </c>
      <c r="V47" s="705" t="s">
        <v>14</v>
      </c>
      <c r="W47" s="706">
        <f t="shared" si="14"/>
        <v>100</v>
      </c>
      <c r="X47" s="3447"/>
      <c r="Y47" s="3726"/>
      <c r="Z47" s="3448">
        <f t="shared" si="15"/>
        <v>111</v>
      </c>
      <c r="AA47" s="3446">
        <f t="shared" si="3"/>
        <v>1</v>
      </c>
      <c r="AB47" s="3446">
        <f t="shared" si="4"/>
        <v>1</v>
      </c>
      <c r="AC47" s="1957">
        <f t="shared" si="5"/>
        <v>1</v>
      </c>
    </row>
    <row r="48" spans="1:29" ht="15">
      <c r="A48" s="430" t="s">
        <v>1703</v>
      </c>
      <c r="B48" s="431"/>
      <c r="C48" s="1150" t="s">
        <v>0</v>
      </c>
      <c r="D48" s="1151"/>
      <c r="E48" s="1152">
        <v>27998</v>
      </c>
      <c r="F48" s="1153"/>
      <c r="G48" s="1154">
        <v>29730</v>
      </c>
      <c r="H48" s="1155"/>
      <c r="I48" s="1152">
        <v>25758</v>
      </c>
      <c r="J48" s="436"/>
      <c r="K48" s="714"/>
      <c r="L48" s="2717"/>
      <c r="M48" s="2709"/>
      <c r="N48" s="2709"/>
      <c r="O48" s="2709"/>
      <c r="P48" s="3717" t="str">
        <f>A48</f>
        <v>成交单价（元/平方米）</v>
      </c>
      <c r="Q48" s="3727"/>
      <c r="R48" s="3728">
        <f>E48</f>
        <v>27998</v>
      </c>
      <c r="S48" s="3728"/>
      <c r="T48" s="3728">
        <f>G48</f>
        <v>29730</v>
      </c>
      <c r="U48" s="3728"/>
      <c r="V48" s="3728">
        <f>I48</f>
        <v>25758</v>
      </c>
      <c r="W48" s="3728"/>
      <c r="X48" s="397"/>
      <c r="Y48" s="712"/>
      <c r="Z48" s="397"/>
      <c r="AA48" s="397"/>
      <c r="AB48" s="397"/>
      <c r="AC48" s="578"/>
    </row>
    <row r="49" spans="1:29" ht="15.75" thickBot="1">
      <c r="A49" s="437" t="s">
        <v>1704</v>
      </c>
      <c r="B49" s="438"/>
      <c r="C49" s="1156">
        <f>R50</f>
        <v>27181</v>
      </c>
      <c r="D49" s="2312" t="s">
        <v>2133</v>
      </c>
      <c r="E49" s="1157">
        <f>R49</f>
        <v>28009</v>
      </c>
      <c r="F49" s="2313"/>
      <c r="G49" s="1156">
        <f>T49</f>
        <v>28026</v>
      </c>
      <c r="H49" s="2313"/>
      <c r="I49" s="1157">
        <f>V49</f>
        <v>25508</v>
      </c>
      <c r="J49" s="2313"/>
      <c r="K49" s="2315">
        <f>F49+H49+J49</f>
        <v>0</v>
      </c>
      <c r="L49" s="2717"/>
      <c r="M49" s="2709"/>
      <c r="N49" s="2709"/>
      <c r="O49" s="2709"/>
      <c r="P49" s="3717" t="str">
        <f>A49</f>
        <v>比较价值（元/平方米）</v>
      </c>
      <c r="Q49" s="3727"/>
      <c r="R49" s="3728">
        <f>IF(F1="售价",ROUND(PRODUCT(R48,AA7:AA47),0),ROUND(PRODUCT(R48,AA7:AA47),1))</f>
        <v>28009</v>
      </c>
      <c r="S49" s="3728"/>
      <c r="T49" s="3728">
        <f>IF(F1="售价",ROUND(PRODUCT(T48,AB7:AB47),0),ROUND(PRODUCT(T48,AB7:AB47),1))</f>
        <v>28026</v>
      </c>
      <c r="U49" s="3728"/>
      <c r="V49" s="3728">
        <f>IF(F1="售价",ROUND(PRODUCT(V48,AC7:AC47),0),ROUND(PRODUCT(V48,AC7:AC47),1))</f>
        <v>25508</v>
      </c>
      <c r="W49" s="3728"/>
      <c r="X49" s="397"/>
      <c r="Y49" s="397"/>
      <c r="Z49" s="397"/>
      <c r="AA49" s="397"/>
      <c r="AB49" s="397"/>
      <c r="AC49" s="578"/>
    </row>
    <row r="50" spans="1:29" ht="15.75" thickBot="1">
      <c r="A50" s="441" t="s">
        <v>1705</v>
      </c>
      <c r="B50" s="442"/>
      <c r="C50" s="1159">
        <f>R50</f>
        <v>27181</v>
      </c>
      <c r="D50" s="1159"/>
      <c r="E50" s="1159"/>
      <c r="F50" s="1159"/>
      <c r="G50" s="1159"/>
      <c r="H50" s="1159"/>
      <c r="I50" s="1159"/>
      <c r="J50" s="443"/>
      <c r="K50" s="715"/>
      <c r="L50" s="2717"/>
      <c r="M50" s="2709"/>
      <c r="N50" s="2709"/>
      <c r="O50" s="2709"/>
      <c r="P50" s="3729" t="str">
        <f>A50</f>
        <v>估价对象XX用房的比较价值（楼面单价，元/平方米）</v>
      </c>
      <c r="Q50" s="3730"/>
      <c r="R50" s="3731">
        <f>IF(F1="售价",ROUND(IF(D49="简单平均",AVERAGE(R49:V49),R49*F49+T49*H49+V49*J49),0),ROUND(IF(D49="简单平均",AVERAGE(R49:V49),R49*F49+T49*H49+V49*J49),1))</f>
        <v>27181</v>
      </c>
      <c r="S50" s="3731"/>
      <c r="T50" s="3731"/>
      <c r="U50" s="3731"/>
      <c r="V50" s="3731"/>
      <c r="W50" s="3731"/>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1706</v>
      </c>
      <c r="D53" s="447"/>
      <c r="E53" s="448">
        <f>IF(E48&lt;E49,E49/E48-1,E48/E49-1)</f>
        <v>3.9288520608615762E-4</v>
      </c>
      <c r="F53" s="449" t="str">
        <f>IF(OR(E53&gt;=0.3,E53&lt;=-0.3),"超过30%","")</f>
        <v/>
      </c>
      <c r="G53" s="448">
        <f>IF(G48&lt;G49,G49/G48-1,G48/G49-1)</f>
        <v>6.0800685078141736E-2</v>
      </c>
      <c r="H53" s="449" t="str">
        <f>IF(OR(G53&gt;=0.3,G53&lt;=-0.3),"超过30%","")</f>
        <v/>
      </c>
      <c r="I53" s="448">
        <f>IF(I48&lt;I49,I49/I48-1,I48/I49-1)</f>
        <v>9.8008467931629539E-3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1707</v>
      </c>
      <c r="D54" s="450"/>
      <c r="E54" s="448">
        <f>IF(E49&lt;G49,G49/E49-1,E49/G49-1)</f>
        <v>6.0694776678915652E-4</v>
      </c>
      <c r="F54" s="449" t="str">
        <f>IF(OR(E54&gt;=0.2,E54&lt;=-0.2),"超过20%","")</f>
        <v/>
      </c>
      <c r="G54" s="448">
        <f>IF(G49&lt;I49,I49/G49-1,G49/I49-1)</f>
        <v>9.8714128900736942E-2</v>
      </c>
      <c r="H54" s="449" t="str">
        <f>IF(OR(G54&gt;=0.2,G54&lt;=-0.2),"超过20%","")</f>
        <v/>
      </c>
      <c r="I54" s="448">
        <f>IF(I49&lt;E49,E49/I49-1,I49/E49-1)</f>
        <v>9.8047671318801877E-2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1708</v>
      </c>
      <c r="D55" s="450"/>
      <c r="E55" s="448">
        <f>IF(E48&lt;G48,G48/E48-1,E48/G48-1)</f>
        <v>6.1861561540109911E-2</v>
      </c>
      <c r="F55" s="449" t="str">
        <f>IF(OR(E55&gt;=0.3,E55&lt;=-0.3),"超过30%","")</f>
        <v/>
      </c>
      <c r="G55" s="448">
        <f>IF(G48&lt;I48,I48/G48-1,G48/I48-1)</f>
        <v>0.15420451898439325</v>
      </c>
      <c r="H55" s="449" t="str">
        <f>IF(OR(G55&gt;=0.3,G55&lt;=-0.3),"超过30%","")</f>
        <v/>
      </c>
      <c r="I55" s="448">
        <f>IF(I48&lt;E48,E48/I48-1,I48/E48-1)</f>
        <v>8.6963273546082798E-2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1709</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0" t="str">
        <f>YEAR(C7)&amp;"-"&amp;MONTH(C7)</f>
        <v>2023-4</v>
      </c>
      <c r="D59" s="1181">
        <f>EDATE(C59,-1)</f>
        <v>44986</v>
      </c>
      <c r="E59" s="1181">
        <f>EDATE(D59,-1)</f>
        <v>44958</v>
      </c>
      <c r="F59" s="1181">
        <f t="shared" ref="F59:O59" si="16">EDATE(E59,-1)</f>
        <v>44927</v>
      </c>
      <c r="G59" s="1181">
        <f t="shared" si="16"/>
        <v>44896</v>
      </c>
      <c r="H59" s="1181">
        <f t="shared" si="16"/>
        <v>44866</v>
      </c>
      <c r="I59" s="1181">
        <f t="shared" si="16"/>
        <v>44835</v>
      </c>
      <c r="J59" s="1181">
        <f t="shared" si="16"/>
        <v>44805</v>
      </c>
      <c r="K59" s="1181">
        <f t="shared" si="16"/>
        <v>44774</v>
      </c>
      <c r="L59" s="1181">
        <f t="shared" si="16"/>
        <v>44743</v>
      </c>
      <c r="M59" s="1181">
        <f t="shared" si="16"/>
        <v>44713</v>
      </c>
      <c r="N59" s="1181">
        <f t="shared" si="16"/>
        <v>44682</v>
      </c>
      <c r="O59" s="1181">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1713</v>
      </c>
      <c r="D62" s="3450" t="s">
        <v>3390</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t="s">
        <v>3391</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52" t="s">
        <v>3418</v>
      </c>
      <c r="D89" s="3452" t="s">
        <v>3419</v>
      </c>
      <c r="E89" s="3452" t="s">
        <v>3421</v>
      </c>
      <c r="F89" s="1923"/>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51" t="s">
        <v>3393</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1732</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1200(含)-1500</v>
      </c>
      <c r="I103" s="527" t="str">
        <f t="shared" si="23"/>
        <v>1500(含)-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800</v>
      </c>
      <c r="H104" s="544">
        <v>1200</v>
      </c>
      <c r="I104" s="544">
        <v>1500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52" t="s">
        <v>3394</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52" t="s">
        <v>3396</v>
      </c>
      <c r="D108" s="3452" t="s">
        <v>3398</v>
      </c>
      <c r="E108" s="3452" t="s">
        <v>3400</v>
      </c>
      <c r="F108" s="3453" t="s">
        <v>3402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3452" t="s">
        <v>3404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3405</v>
      </c>
      <c r="D115" s="503" t="s">
        <v>3406</v>
      </c>
      <c r="E115" s="532" t="s">
        <v>3407</v>
      </c>
      <c r="F115" s="532" t="s">
        <v>3408</v>
      </c>
      <c r="G115" s="532" t="s">
        <v>3409</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3410</v>
      </c>
      <c r="D117" s="503" t="s">
        <v>3411</v>
      </c>
      <c r="E117" s="503" t="s">
        <v>3412</v>
      </c>
      <c r="F117" s="503" t="s">
        <v>3413</v>
      </c>
      <c r="G117" s="503" t="s">
        <v>3414</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53" t="s">
        <v>3416</v>
      </c>
      <c r="D119" s="532"/>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503" t="s">
        <v>3395</v>
      </c>
      <c r="D123" s="503" t="s">
        <v>3397</v>
      </c>
      <c r="E123" s="503" t="s">
        <v>3399</v>
      </c>
      <c r="F123" s="532" t="s">
        <v>3401</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31" priority="20" stopIfTrue="1" operator="containsText" text="超过">
      <formula>NOT(ISERROR(SEARCH("超过",F53)))</formula>
    </cfRule>
  </conditionalFormatting>
  <conditionalFormatting sqref="H55">
    <cfRule type="containsText" dxfId="230" priority="19" stopIfTrue="1" operator="containsText" text="超过">
      <formula>NOT(ISERROR(SEARCH("超过",H55)))</formula>
    </cfRule>
  </conditionalFormatting>
  <conditionalFormatting sqref="F55">
    <cfRule type="containsText" dxfId="229" priority="18" stopIfTrue="1" operator="containsText" text="超过">
      <formula>NOT(ISERROR(SEARCH("超过",F55)))</formula>
    </cfRule>
  </conditionalFormatting>
  <conditionalFormatting sqref="F54 H54">
    <cfRule type="containsText" dxfId="228" priority="17" stopIfTrue="1" operator="containsText" text="超过">
      <formula>NOT(ISERROR(SEARCH("超过",F54)))</formula>
    </cfRule>
  </conditionalFormatting>
  <conditionalFormatting sqref="E53">
    <cfRule type="expression" dxfId="227" priority="16" stopIfTrue="1">
      <formula>$F$53="超过30%"</formula>
    </cfRule>
  </conditionalFormatting>
  <conditionalFormatting sqref="E54">
    <cfRule type="expression" dxfId="226" priority="15" stopIfTrue="1">
      <formula>$F$54="超过20%"</formula>
    </cfRule>
  </conditionalFormatting>
  <conditionalFormatting sqref="E55">
    <cfRule type="expression" dxfId="225" priority="14" stopIfTrue="1">
      <formula>$F$55="超过30%"</formula>
    </cfRule>
  </conditionalFormatting>
  <conditionalFormatting sqref="G55">
    <cfRule type="expression" dxfId="224" priority="13" stopIfTrue="1">
      <formula>$H$55="超过30%"</formula>
    </cfRule>
  </conditionalFormatting>
  <conditionalFormatting sqref="G53">
    <cfRule type="expression" dxfId="223" priority="12" stopIfTrue="1">
      <formula>$H$53="超过30%"</formula>
    </cfRule>
  </conditionalFormatting>
  <conditionalFormatting sqref="G54">
    <cfRule type="expression" dxfId="222" priority="11" stopIfTrue="1">
      <formula>$H$54="超过20%"</formula>
    </cfRule>
  </conditionalFormatting>
  <conditionalFormatting sqref="J53">
    <cfRule type="containsText" dxfId="221" priority="10" stopIfTrue="1" operator="containsText" text="超过">
      <formula>NOT(ISERROR(SEARCH("超过",J53)))</formula>
    </cfRule>
  </conditionalFormatting>
  <conditionalFormatting sqref="J55">
    <cfRule type="containsText" dxfId="220" priority="9" stopIfTrue="1" operator="containsText" text="超过">
      <formula>NOT(ISERROR(SEARCH("超过",J55)))</formula>
    </cfRule>
  </conditionalFormatting>
  <conditionalFormatting sqref="J54">
    <cfRule type="containsText" dxfId="219" priority="8" stopIfTrue="1" operator="containsText" text="超过">
      <formula>NOT(ISERROR(SEARCH("超过",J54)))</formula>
    </cfRule>
  </conditionalFormatting>
  <conditionalFormatting sqref="I53">
    <cfRule type="expression" dxfId="218" priority="7" stopIfTrue="1">
      <formula>$J$53="超过30%"</formula>
    </cfRule>
  </conditionalFormatting>
  <conditionalFormatting sqref="I54">
    <cfRule type="expression" dxfId="217" priority="6" stopIfTrue="1">
      <formula>$J$53+$J$54="超过20%"</formula>
    </cfRule>
  </conditionalFormatting>
  <conditionalFormatting sqref="I55">
    <cfRule type="expression" dxfId="216" priority="5" stopIfTrue="1">
      <formula>$J$55="超过30%"</formula>
    </cfRule>
  </conditionalFormatting>
  <conditionalFormatting sqref="F49">
    <cfRule type="expression" dxfId="215" priority="4">
      <formula>$D$49="简单平均"</formula>
    </cfRule>
  </conditionalFormatting>
  <conditionalFormatting sqref="H49">
    <cfRule type="expression" dxfId="214" priority="3">
      <formula>$D$49="简单平均"</formula>
    </cfRule>
  </conditionalFormatting>
  <conditionalFormatting sqref="J49">
    <cfRule type="expression" dxfId="213" priority="2">
      <formula>$D$49="简单平均"</formula>
    </cfRule>
  </conditionalFormatting>
  <conditionalFormatting sqref="F7:F47 H7:H47 J7:J47">
    <cfRule type="cellIs" dxfId="2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3"/>
      <c r="C1" s="1375">
        <v>501</v>
      </c>
      <c r="D1" s="1358" t="s">
        <v>43</v>
      </c>
      <c r="E1" s="1359" t="s">
        <v>674</v>
      </c>
      <c r="F1" s="1058">
        <f ca="1">J53</f>
        <v>26.42</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874</v>
      </c>
      <c r="B2" s="3418">
        <f ca="1">ROUND(D2/10000,4)</f>
        <v>443.40690000000001</v>
      </c>
      <c r="C2" s="1383" t="s">
        <v>875</v>
      </c>
      <c r="D2" s="1467">
        <f ca="1">C40+J29+L46</f>
        <v>4434069</v>
      </c>
      <c r="E2" s="1384" t="s">
        <v>876</v>
      </c>
      <c r="F2" s="1385"/>
      <c r="G2" s="2699"/>
      <c r="H2" s="2688"/>
      <c r="I2" s="2688"/>
      <c r="J2" s="2688"/>
      <c r="K2" s="2689"/>
      <c r="L2" s="2688"/>
      <c r="M2" s="2688"/>
    </row>
    <row r="3" spans="1:37" ht="18" customHeight="1" thickBot="1">
      <c r="A3" s="1386" t="s">
        <v>877</v>
      </c>
      <c r="B3" s="1387">
        <f ca="1">IF(ISERROR(D2/F43),0,ROUND(D2/F43,0))</f>
        <v>20316</v>
      </c>
      <c r="C3" s="1383" t="s">
        <v>878</v>
      </c>
      <c r="D3" s="1383"/>
      <c r="E3" s="1384"/>
      <c r="F3" s="1385"/>
      <c r="G3" s="2699"/>
      <c r="H3" s="683" t="s">
        <v>872</v>
      </c>
      <c r="I3" s="1378"/>
      <c r="J3" s="1378"/>
      <c r="K3" s="1379"/>
      <c r="L3" s="1378"/>
      <c r="M3" s="1378"/>
    </row>
    <row r="4" spans="1:37" ht="18" customHeight="1">
      <c r="A4" s="295" t="s">
        <v>879</v>
      </c>
      <c r="B4" s="296" t="s">
        <v>880</v>
      </c>
      <c r="C4" s="296" t="s">
        <v>881</v>
      </c>
      <c r="D4" s="296" t="s">
        <v>882</v>
      </c>
      <c r="E4" s="297" t="s">
        <v>883</v>
      </c>
      <c r="F4" s="298"/>
      <c r="G4" s="1380"/>
      <c r="H4" s="295" t="s">
        <v>879</v>
      </c>
      <c r="I4" s="296" t="s">
        <v>880</v>
      </c>
      <c r="J4" s="296" t="s">
        <v>881</v>
      </c>
      <c r="K4" s="296" t="s">
        <v>882</v>
      </c>
      <c r="L4" s="297" t="s">
        <v>883</v>
      </c>
      <c r="M4" s="298"/>
    </row>
    <row r="5" spans="1:37" ht="18" customHeight="1">
      <c r="A5" s="299">
        <v>1</v>
      </c>
      <c r="B5" s="300" t="s">
        <v>884</v>
      </c>
      <c r="C5" s="1066">
        <f ca="1">C6+C10+C12</f>
        <v>251258</v>
      </c>
      <c r="D5" s="1360" t="s">
        <v>885</v>
      </c>
      <c r="E5" s="1067"/>
      <c r="F5" s="1068"/>
      <c r="G5" s="1380"/>
      <c r="H5" s="299">
        <v>1</v>
      </c>
      <c r="I5" s="300" t="s">
        <v>884</v>
      </c>
      <c r="J5" s="1066">
        <f ca="1">J6+J10+J12</f>
        <v>0</v>
      </c>
      <c r="K5" s="1360" t="s">
        <v>885</v>
      </c>
      <c r="L5" s="1067"/>
      <c r="M5" s="1068"/>
    </row>
    <row r="6" spans="1:37" ht="18" customHeight="1">
      <c r="A6" s="1065" t="s">
        <v>398</v>
      </c>
      <c r="B6" s="3680" t="s">
        <v>690</v>
      </c>
      <c r="C6" s="1070">
        <f ca="1">ROUND(F6*F8*F7*(1-F9),0)</f>
        <v>250944</v>
      </c>
      <c r="D6" s="155" t="s">
        <v>2101</v>
      </c>
      <c r="E6" s="302" t="s">
        <v>692</v>
      </c>
      <c r="F6" s="303">
        <f ca="1">INDIRECT("'数据-取费表'!u"&amp;$G$1)</f>
        <v>3.5</v>
      </c>
      <c r="G6" s="1380"/>
      <c r="H6" s="1065" t="s">
        <v>398</v>
      </c>
      <c r="I6" s="3680" t="s">
        <v>690</v>
      </c>
      <c r="J6" s="301">
        <f ca="1">ROUND(M6*M8*M7*(1-M9),0)</f>
        <v>0</v>
      </c>
      <c r="K6" s="1372" t="s">
        <v>2102</v>
      </c>
      <c r="L6" s="302" t="s">
        <v>692</v>
      </c>
      <c r="M6" s="303">
        <f ca="1">INDIRECT("'数据-取费表'!z"&amp;$G$1)</f>
        <v>0</v>
      </c>
    </row>
    <row r="7" spans="1:37" ht="18" customHeight="1">
      <c r="A7" s="1069"/>
      <c r="B7" s="3681"/>
      <c r="C7" s="1071"/>
      <c r="D7" s="307"/>
      <c r="E7" s="1072" t="s">
        <v>693</v>
      </c>
      <c r="F7" s="303">
        <f ca="1">IF(INDIRECT("'数据-取费表'!ah"&amp;$G$1)="",INDIRECT("'数据-取费表'!k"&amp;$G$1),INDIRECT("'数据-取费表'!ah"&amp;$G$1))</f>
        <v>218.26</v>
      </c>
      <c r="G7" s="1380"/>
      <c r="H7" s="304"/>
      <c r="I7" s="3681"/>
      <c r="J7" s="306"/>
      <c r="K7" s="307"/>
      <c r="L7" s="302" t="s">
        <v>693</v>
      </c>
      <c r="M7" s="303">
        <f ca="1">F7</f>
        <v>218.26</v>
      </c>
    </row>
    <row r="8" spans="1:37" ht="18" customHeight="1">
      <c r="A8" s="304"/>
      <c r="B8" s="3681"/>
      <c r="C8" s="306"/>
      <c r="D8" s="307"/>
      <c r="E8" s="302" t="s">
        <v>694</v>
      </c>
      <c r="F8" s="303">
        <f ca="1">INDIRECT("'数据-取费表'!ai"&amp;$G$1)</f>
        <v>365</v>
      </c>
      <c r="G8" s="1380"/>
      <c r="H8" s="304"/>
      <c r="I8" s="3681"/>
      <c r="J8" s="306"/>
      <c r="K8" s="307"/>
      <c r="L8" s="302" t="s">
        <v>694</v>
      </c>
      <c r="M8" s="303">
        <f ca="1">INDIRECT("'数据-取费表'!ai"&amp;$G$1)</f>
        <v>365</v>
      </c>
    </row>
    <row r="9" spans="1:37" ht="18" customHeight="1">
      <c r="A9" s="304"/>
      <c r="B9" s="3682"/>
      <c r="C9" s="306"/>
      <c r="D9" s="307"/>
      <c r="E9" s="302" t="s">
        <v>695</v>
      </c>
      <c r="F9" s="312">
        <f ca="1">INDIRECT("'数据-取费表'!w"&amp;$G$1)</f>
        <v>0.1</v>
      </c>
      <c r="G9" s="1380"/>
      <c r="H9" s="304"/>
      <c r="I9" s="3682"/>
      <c r="J9" s="306"/>
      <c r="K9" s="307"/>
      <c r="L9" s="313" t="s">
        <v>695</v>
      </c>
      <c r="M9" s="314">
        <f ca="1">INDIRECT("'数据-取费表'!ab"&amp;$G$1)</f>
        <v>0</v>
      </c>
    </row>
    <row r="10" spans="1:37" ht="18" customHeight="1">
      <c r="A10" s="1065" t="s">
        <v>402</v>
      </c>
      <c r="B10" s="1361" t="s">
        <v>696</v>
      </c>
      <c r="C10" s="316">
        <f ca="1">ROUND(IF(F10="押一",C6/12*F11,IF(F10="押二",C6/12*2*F11,IF(F10="押三",C6/12*3*F11,C11*F11))),0)</f>
        <v>314</v>
      </c>
      <c r="D10" s="1362" t="s">
        <v>2111</v>
      </c>
      <c r="E10" s="313" t="s">
        <v>697</v>
      </c>
      <c r="F10" s="1112" t="s">
        <v>3383</v>
      </c>
      <c r="G10" s="1380"/>
      <c r="H10" s="1065" t="s">
        <v>402</v>
      </c>
      <c r="I10" s="1361" t="s">
        <v>696</v>
      </c>
      <c r="J10" s="301">
        <f ca="1">ROUND(IF(M10="押一",J6/12*M11,IF(M10="押二",J6/12*2*M11,IF(M10="押三",J6/12*3*M11,J11*M11))),0)</f>
        <v>0</v>
      </c>
      <c r="K10" s="1373" t="s">
        <v>2113</v>
      </c>
      <c r="L10" s="313" t="s">
        <v>697</v>
      </c>
      <c r="M10" s="1112"/>
    </row>
    <row r="11" spans="1:37" ht="18" customHeight="1">
      <c r="A11" s="308"/>
      <c r="B11" s="1363" t="s">
        <v>886</v>
      </c>
      <c r="C11" s="955"/>
      <c r="D11" s="307"/>
      <c r="E11" s="313" t="s">
        <v>698</v>
      </c>
      <c r="F11" s="314">
        <f ca="1">'数据-取费表'!B39</f>
        <v>1.4999999999999999E-2</v>
      </c>
      <c r="G11" s="1380"/>
      <c r="H11" s="1073"/>
      <c r="I11" s="1363" t="s">
        <v>887</v>
      </c>
      <c r="J11" s="955"/>
      <c r="K11" s="684"/>
      <c r="L11" s="313"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981129</v>
      </c>
      <c r="D13" s="1077" t="s">
        <v>701</v>
      </c>
      <c r="E13" s="1077" t="s">
        <v>702</v>
      </c>
      <c r="F13" s="1078">
        <f ca="1">INDIRECT("'数据-取费表'!y"&amp;$G$1)</f>
        <v>0.87</v>
      </c>
      <c r="G13" s="1380"/>
      <c r="H13" s="1075">
        <v>2</v>
      </c>
      <c r="I13" s="1076" t="s">
        <v>700</v>
      </c>
      <c r="J13" s="1064">
        <f ca="1">ROUND(J14*J15,0)</f>
        <v>0</v>
      </c>
      <c r="K13" s="1083" t="s">
        <v>701</v>
      </c>
      <c r="L13" s="1388"/>
      <c r="M13" s="1389"/>
    </row>
    <row r="14" spans="1:37" ht="18" customHeight="1">
      <c r="A14" s="978" t="s">
        <v>397</v>
      </c>
      <c r="B14" s="302" t="s">
        <v>703</v>
      </c>
      <c r="C14" s="318">
        <f ca="1">ROUND(INDIRECT("'数据-取费表'!l"&amp;$G$1)*F43+'数据-取费表'!L14*INDIRECT("'数据-取费表'!S"&amp;$G$1),0)</f>
        <v>763910</v>
      </c>
      <c r="D14" s="1341" t="s">
        <v>704</v>
      </c>
      <c r="E14" s="1338"/>
      <c r="F14" s="319"/>
      <c r="G14" s="1380"/>
      <c r="H14" s="978" t="s">
        <v>398</v>
      </c>
      <c r="I14" s="302" t="s">
        <v>705</v>
      </c>
      <c r="J14" s="21">
        <f ca="1">C29</f>
        <v>1127734</v>
      </c>
      <c r="K14" s="12"/>
      <c r="L14" s="803"/>
      <c r="M14" s="804"/>
    </row>
    <row r="15" spans="1:37" s="1393" customFormat="1" ht="18" customHeight="1" thickBot="1">
      <c r="A15" s="978" t="s">
        <v>399</v>
      </c>
      <c r="B15" s="302" t="s">
        <v>706</v>
      </c>
      <c r="C15" s="21">
        <f ca="1">ROUND(C14*F15,0)</f>
        <v>38196</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80"/>
      <c r="H16" s="1075" t="s">
        <v>393</v>
      </c>
      <c r="I16" s="1076" t="s">
        <v>710</v>
      </c>
      <c r="J16" s="310">
        <f ca="1">ROUND(J17+J22+J23+J24,0)</f>
        <v>11277</v>
      </c>
      <c r="K16" s="1083" t="s">
        <v>711</v>
      </c>
      <c r="L16" s="1084"/>
      <c r="M16" s="1068"/>
    </row>
    <row r="17" spans="1:37" s="1393" customFormat="1" ht="18" customHeight="1">
      <c r="A17" s="978" t="s">
        <v>677</v>
      </c>
      <c r="B17" s="302" t="s">
        <v>712</v>
      </c>
      <c r="C17" s="21">
        <f ca="1">ROUND(F17*(F43+INDIRECT("'数据-取费表'!S"&amp;$G$1)),0)</f>
        <v>43652</v>
      </c>
      <c r="D17" s="302" t="s">
        <v>713</v>
      </c>
      <c r="E17" s="302" t="s">
        <v>714</v>
      </c>
      <c r="F17" s="23">
        <f>'数据-取费表'!B35</f>
        <v>200</v>
      </c>
      <c r="G17" s="1392"/>
      <c r="H17" s="978" t="s">
        <v>398</v>
      </c>
      <c r="I17" s="302" t="s">
        <v>715</v>
      </c>
      <c r="J17" s="2311">
        <f ca="1">ROUND(IF(AND(项目基本情况!B11="自然人",项目基本情况!B10="北京市"),J6*M17/(1+'数据-取费表'!C42),J18+J19+J20),0)</f>
        <v>0</v>
      </c>
      <c r="K17" s="1341" t="s">
        <v>716</v>
      </c>
      <c r="L17" s="1340" t="s">
        <v>717</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2" t="s">
        <v>718</v>
      </c>
      <c r="C18" s="21">
        <f ca="1">ROUND(C14*F18,0)</f>
        <v>11459</v>
      </c>
      <c r="D18" s="302" t="s">
        <v>707</v>
      </c>
      <c r="E18" s="302" t="s">
        <v>708</v>
      </c>
      <c r="F18" s="322">
        <f>'数据-取费表'!B36</f>
        <v>1.4999999999999999E-2</v>
      </c>
      <c r="G18" s="1392"/>
      <c r="H18" s="978" t="s">
        <v>397</v>
      </c>
      <c r="I18" s="302" t="s">
        <v>719</v>
      </c>
      <c r="J18" s="21">
        <f ca="1">ROUND(J6*M18/(1+'数据-取费表'!C42),0)</f>
        <v>0</v>
      </c>
      <c r="K18" s="1340" t="s">
        <v>720</v>
      </c>
      <c r="L18" s="302" t="s">
        <v>708</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721</v>
      </c>
      <c r="C19" s="21">
        <f ca="1">SUM(C14:C18)</f>
        <v>857217</v>
      </c>
      <c r="D19" s="131" t="s">
        <v>722</v>
      </c>
      <c r="E19" s="1356"/>
      <c r="F19" s="23"/>
      <c r="G19" s="1380"/>
      <c r="H19" s="978" t="s">
        <v>399</v>
      </c>
      <c r="I19" s="302" t="s">
        <v>723</v>
      </c>
      <c r="J19" s="21">
        <f ca="1">IF(K19="按租金收入计税",ROUND(J6*M19/(1+'数据-取费表'!C42),0),ROUND(C29*M19*0.7,0))</f>
        <v>0</v>
      </c>
      <c r="K19" s="1366" t="s">
        <v>3338</v>
      </c>
      <c r="L19" s="302" t="s">
        <v>708</v>
      </c>
      <c r="M19" s="322">
        <f>IF(K19="按租金收入计税",'数据-取费表'!B51,'数据-取费表'!B50)</f>
        <v>0.12</v>
      </c>
    </row>
    <row r="20" spans="1:37" s="1393" customFormat="1" ht="18" customHeight="1">
      <c r="A20" s="978" t="s">
        <v>402</v>
      </c>
      <c r="B20" s="302" t="s">
        <v>724</v>
      </c>
      <c r="C20" s="21">
        <f ca="1">ROUND(C19*F20,0)</f>
        <v>17144</v>
      </c>
      <c r="D20" s="323" t="s">
        <v>725</v>
      </c>
      <c r="E20" s="302" t="s">
        <v>708</v>
      </c>
      <c r="F20" s="322">
        <f>'数据-取费表'!B37</f>
        <v>0.02</v>
      </c>
      <c r="G20" s="1392"/>
      <c r="H20" s="978" t="s">
        <v>676</v>
      </c>
      <c r="I20" s="155" t="s">
        <v>726</v>
      </c>
      <c r="J20" s="22">
        <f ca="1">ROUND(M20*M21,0)</f>
        <v>0</v>
      </c>
      <c r="K20" s="324" t="s">
        <v>727</v>
      </c>
      <c r="L20" s="302" t="s">
        <v>728</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729</v>
      </c>
      <c r="C21" s="21" t="s">
        <v>0</v>
      </c>
      <c r="D21" s="323" t="s">
        <v>730</v>
      </c>
      <c r="E21" s="302" t="s">
        <v>731</v>
      </c>
      <c r="F21" s="322">
        <f>'数据-取费表'!B38</f>
        <v>0.02</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6"/>
      <c r="F22" s="23"/>
      <c r="G22" s="1380"/>
      <c r="H22" s="978" t="s">
        <v>402</v>
      </c>
      <c r="I22" s="302" t="s">
        <v>734</v>
      </c>
      <c r="J22" s="21">
        <f ca="1">ROUND(J14*M22,0)</f>
        <v>11277</v>
      </c>
      <c r="K22" s="1340" t="s">
        <v>735</v>
      </c>
      <c r="L22" s="302" t="s">
        <v>708</v>
      </c>
      <c r="M22" s="328">
        <f ca="1">INDIRECT("'数据-取费表'!Ak"&amp;$G$1)</f>
        <v>0.01</v>
      </c>
    </row>
    <row r="23" spans="1:37" s="1393" customFormat="1" ht="18" customHeight="1">
      <c r="A23" s="978" t="s">
        <v>397</v>
      </c>
      <c r="B23" s="302" t="s">
        <v>736</v>
      </c>
      <c r="C23" s="21">
        <f ca="1">IF('数据-取费表'!B22&lt;=1,ROUND(C19*F24*F23/2,0)+ROUND(C20*F24*F23/2,0),ROUND(C19*(POWER((1+F24),F23/2)-1),0)+ROUND(C20*(POWER((1+F24),F23/2)-1),0))</f>
        <v>36286</v>
      </c>
      <c r="D23" s="329" t="str">
        <f>IF(F23&lt;=1,"(建造成本+管理费用)×利率×(建设周期÷2)","(建造成本+管理费用)×((1+利率)^(建设周期÷2)-1)")</f>
        <v>(建造成本+管理费用)×((1+利率)^(建设周期÷2)-1)</v>
      </c>
      <c r="E23" s="302" t="s">
        <v>737</v>
      </c>
      <c r="F23" s="325">
        <f>'数据-取费表'!B20</f>
        <v>2</v>
      </c>
      <c r="G23" s="1392"/>
      <c r="H23" s="978" t="s">
        <v>437</v>
      </c>
      <c r="I23" s="302" t="s">
        <v>738</v>
      </c>
      <c r="J23" s="21">
        <f ca="1">ROUND(J13*M23,0)</f>
        <v>0</v>
      </c>
      <c r="K23" s="1340" t="s">
        <v>739</v>
      </c>
      <c r="L23" s="302" t="s">
        <v>740</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2" t="s">
        <v>742</v>
      </c>
      <c r="C24" s="21">
        <f ca="1">ROUND(IF('数据-取费表'!B22&lt;=1,F21*F24*F23/2,F21*(POWER((1+F24),F23/2)-1)),4)</f>
        <v>8.0000000000000004E-4</v>
      </c>
      <c r="D24" s="329" t="str">
        <f>IF(F23&lt;=1,"销售费用×利率×(建设周期÷2)","销售费用×((1+利率)^(建设周期÷2)-1)")</f>
        <v>销售费用×((1+利率)^(建设周期÷2)-1)</v>
      </c>
      <c r="E24" s="302" t="s">
        <v>743</v>
      </c>
      <c r="F24" s="331">
        <f ca="1">'数据-取费表'!B40</f>
        <v>4.1499999999999995E-2</v>
      </c>
      <c r="G24" s="1392"/>
      <c r="H24" s="1085" t="s">
        <v>680</v>
      </c>
      <c r="I24" s="1086" t="s">
        <v>724</v>
      </c>
      <c r="J24" s="1087">
        <f ca="1">ROUND(J5*M24,0)</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2" t="s">
        <v>746</v>
      </c>
      <c r="C25" s="21"/>
      <c r="D25" s="131" t="s">
        <v>747</v>
      </c>
      <c r="E25" s="1356"/>
      <c r="F25" s="23"/>
      <c r="G25" s="1380"/>
      <c r="H25" s="1075" t="s">
        <v>394</v>
      </c>
      <c r="I25" s="1090" t="s">
        <v>748</v>
      </c>
      <c r="J25" s="310">
        <f ca="1">J5-J16</f>
        <v>-11277</v>
      </c>
      <c r="K25" s="1091" t="s">
        <v>749</v>
      </c>
      <c r="L25" s="1092"/>
      <c r="M25" s="1093"/>
    </row>
    <row r="26" spans="1:37" ht="18" customHeight="1">
      <c r="A26" s="978" t="s">
        <v>397</v>
      </c>
      <c r="B26" s="302" t="s">
        <v>750</v>
      </c>
      <c r="C26" s="21">
        <f ca="1">ROUND((C19+C20)*F26,0)</f>
        <v>131154</v>
      </c>
      <c r="D26" s="323" t="s">
        <v>751</v>
      </c>
      <c r="E26" s="313" t="s">
        <v>752</v>
      </c>
      <c r="F26" s="312">
        <f ca="1">INDIRECT("'数据-取费表'!q"&amp;$G$1)</f>
        <v>0.15</v>
      </c>
      <c r="G26" s="1380"/>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80"/>
      <c r="H27" s="304"/>
      <c r="I27" s="305"/>
      <c r="J27" s="306"/>
      <c r="K27" s="332" t="s">
        <v>758</v>
      </c>
      <c r="L27" s="302" t="s">
        <v>759</v>
      </c>
      <c r="M27" s="333">
        <f ca="1">INDIRECT("'数据-取费表'!ag"&amp;$G$1)</f>
        <v>0</v>
      </c>
    </row>
    <row r="28" spans="1:37" s="1393" customFormat="1" ht="18" customHeight="1">
      <c r="A28" s="978" t="s">
        <v>400</v>
      </c>
      <c r="B28" s="302" t="s">
        <v>760</v>
      </c>
      <c r="C28" s="21">
        <f>ROUND(F28/(1+'数据-取费表'!C42),4)</f>
        <v>5.2400000000000002E-2</v>
      </c>
      <c r="D28" s="323" t="s">
        <v>761</v>
      </c>
      <c r="E28" s="302" t="s">
        <v>708</v>
      </c>
      <c r="F28" s="322">
        <f>'数据-取费表'!B41</f>
        <v>5.5000000000000007E-2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1127734</v>
      </c>
      <c r="D29" s="1088"/>
      <c r="E29" s="1086"/>
      <c r="F29" s="1089"/>
      <c r="G29" s="1392"/>
      <c r="H29" s="334" t="s">
        <v>396</v>
      </c>
      <c r="I29" s="335" t="s">
        <v>764</v>
      </c>
      <c r="J29" s="336">
        <f ca="1">ROUND(J26/(1+F40)^F41,0)</f>
        <v>0</v>
      </c>
      <c r="K29" s="337" t="s">
        <v>765</v>
      </c>
      <c r="L29" s="338"/>
      <c r="M29" s="339">
        <f ca="1">INDIRECT("'数据-取费表'!k"&amp;$G$1)</f>
        <v>218.26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31992</v>
      </c>
      <c r="D30" s="1083" t="s">
        <v>711</v>
      </c>
      <c r="E30" s="1084"/>
      <c r="F30" s="1068"/>
      <c r="G30" s="1380"/>
      <c r="H30" s="2690"/>
      <c r="I30" s="1394"/>
      <c r="J30" s="1395"/>
      <c r="K30" s="2469"/>
      <c r="L30" s="2691"/>
      <c r="M30" s="2692"/>
    </row>
    <row r="31" spans="1:37" ht="18" customHeight="1">
      <c r="A31" s="978" t="s">
        <v>398</v>
      </c>
      <c r="B31" s="302" t="s">
        <v>715</v>
      </c>
      <c r="C31" s="2311">
        <f ca="1">ROUND(IF(AND(项目基本情况!B11="自然人",项目基本情况!B10="北京市"),C6*F31/(1+'数据-取费表'!C42),C32+C33+C34),0)</f>
        <v>16730</v>
      </c>
      <c r="D31" s="1341" t="s">
        <v>716</v>
      </c>
      <c r="E31" s="1340" t="s">
        <v>766</v>
      </c>
      <c r="F31" s="2310">
        <f ca="1">IF(项目基本情况!B11="企业","——",IF(M47="住宅",IF(F6*F7*F8/12/(1+'数据-取费表'!F30)&gt;100000,4%,2.5%),IF(F6*F7*F8/12/(1+'数据-取费表'!F30)&gt;100000,12%,7%)))</f>
        <v>7.0000000000000007E-2</v>
      </c>
      <c r="G31" s="1380"/>
      <c r="H31" s="2801" t="s">
        <v>2305</v>
      </c>
      <c r="I31" s="1394"/>
      <c r="J31" s="1395"/>
      <c r="K31" s="2469"/>
      <c r="L31" s="2691"/>
      <c r="M31" s="2692"/>
    </row>
    <row r="32" spans="1:37" ht="18" customHeight="1">
      <c r="A32" s="978" t="s">
        <v>397</v>
      </c>
      <c r="B32" s="302" t="s">
        <v>719</v>
      </c>
      <c r="C32" s="21" t="str">
        <f>IF(项目基本情况!B11="自然人","——",ROUND(C6*F32/(1+'数据-取费表'!C42),0))</f>
        <v>——</v>
      </c>
      <c r="D32" s="1340" t="s">
        <v>720</v>
      </c>
      <c r="E32" s="302" t="s">
        <v>708</v>
      </c>
      <c r="F32" s="331">
        <f>'数据-取费表'!B41</f>
        <v>5.5000000000000007E-2</v>
      </c>
      <c r="G32" s="1380"/>
      <c r="H32" s="2690"/>
      <c r="I32" s="1394"/>
      <c r="J32" s="1395"/>
      <c r="K32" s="2469"/>
      <c r="L32" s="2691"/>
      <c r="M32" s="2692"/>
    </row>
    <row r="33" spans="1:18" ht="18" customHeight="1">
      <c r="A33" s="978" t="s">
        <v>399</v>
      </c>
      <c r="B33" s="302" t="s">
        <v>723</v>
      </c>
      <c r="C33" s="21" t="str">
        <f ca="1">IF(项目基本情况!B11="自然人","——",IF(D33="按租金收入计税",ROUND(C6*F33/(1+'数据-取费表'!C42),0),IF(D33="按房产原值计税",ROUND(C29*F33*0.7,0),INDIRECT("'数据-取费表'!Aj"&amp;$G$1))))</f>
        <v>——</v>
      </c>
      <c r="D33" s="1366" t="s">
        <v>3338</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t="str">
        <f>IF(项目基本情况!B11="自然人","——",ROUND(F34*F35,0))</f>
        <v>——</v>
      </c>
      <c r="D34" s="324" t="s">
        <v>727</v>
      </c>
      <c r="E34" s="302" t="s">
        <v>728</v>
      </c>
      <c r="F34" s="325">
        <f>'数据-取费表'!B52</f>
        <v>1.5</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ROUND(C29*F36,0)</f>
        <v>11277</v>
      </c>
      <c r="D36" s="1340" t="s">
        <v>767</v>
      </c>
      <c r="E36" s="302" t="s">
        <v>708</v>
      </c>
      <c r="F36" s="328">
        <f ca="1">INDIRECT("'数据-取费表'!Ak"&amp;$G$1)</f>
        <v>0.01</v>
      </c>
      <c r="G36" s="1380"/>
      <c r="H36" s="2693"/>
      <c r="I36" s="1394"/>
      <c r="J36" s="1395"/>
      <c r="K36" s="2538"/>
      <c r="L36" s="2693"/>
      <c r="M36" s="2693"/>
    </row>
    <row r="37" spans="1:18" ht="18" customHeight="1">
      <c r="A37" s="978" t="s">
        <v>437</v>
      </c>
      <c r="B37" s="302" t="s">
        <v>738</v>
      </c>
      <c r="C37" s="21">
        <f ca="1">ROUND(C13*F37,0)</f>
        <v>1472</v>
      </c>
      <c r="D37" s="1340" t="s">
        <v>739</v>
      </c>
      <c r="E37" s="302" t="s">
        <v>740</v>
      </c>
      <c r="F37" s="330">
        <f ca="1">INDIRECT("'数据-取费表'!Al"&amp;$G$1)</f>
        <v>1.5E-3</v>
      </c>
      <c r="G37" s="1380"/>
      <c r="H37" s="2693"/>
      <c r="I37" s="1394"/>
      <c r="J37" s="1395"/>
      <c r="K37" s="2538"/>
      <c r="L37" s="2693"/>
      <c r="M37" s="2693"/>
    </row>
    <row r="38" spans="1:18" ht="18" customHeight="1" thickBot="1">
      <c r="A38" s="1085" t="s">
        <v>680</v>
      </c>
      <c r="B38" s="1086" t="s">
        <v>724</v>
      </c>
      <c r="C38" s="1087">
        <f ca="1">ROUND(C5*F38,0)</f>
        <v>2513</v>
      </c>
      <c r="D38" s="1088" t="s">
        <v>744</v>
      </c>
      <c r="E38" s="1086" t="s">
        <v>740</v>
      </c>
      <c r="F38" s="1082">
        <f ca="1">INDIRECT("'数据-取费表'!Am"&amp;$G$1)</f>
        <v>0.01</v>
      </c>
      <c r="G38" s="1380"/>
      <c r="H38" s="2693"/>
      <c r="I38" s="1394"/>
      <c r="J38" s="1395"/>
      <c r="K38" s="2697"/>
      <c r="L38" s="2693"/>
      <c r="M38" s="2693"/>
    </row>
    <row r="39" spans="1:18" ht="24.6" customHeight="1" thickTop="1">
      <c r="A39" s="1075" t="s">
        <v>394</v>
      </c>
      <c r="B39" s="1090" t="s">
        <v>768</v>
      </c>
      <c r="C39" s="310">
        <f ca="1">C5-C30</f>
        <v>219266</v>
      </c>
      <c r="D39" s="1091" t="s">
        <v>769</v>
      </c>
      <c r="E39" s="1092"/>
      <c r="F39" s="1093"/>
      <c r="G39" s="1380"/>
      <c r="H39" s="2693"/>
      <c r="I39" s="1394"/>
      <c r="J39" s="1395"/>
      <c r="K39" s="2697"/>
      <c r="L39" s="2693"/>
      <c r="M39" s="2693"/>
    </row>
    <row r="40" spans="1:18" ht="18" customHeight="1">
      <c r="A40" s="299" t="s">
        <v>395</v>
      </c>
      <c r="B40" s="300" t="s">
        <v>770</v>
      </c>
      <c r="C40" s="301">
        <f ca="1">ROUND(C39*(1-((1+F42)/(1+F40))^F41)/(F40-F42),0)</f>
        <v>4367318</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26.42</v>
      </c>
      <c r="G41" s="1380"/>
      <c r="H41" s="1187"/>
      <c r="I41" s="1394"/>
      <c r="J41" s="1395"/>
      <c r="K41" s="2538"/>
      <c r="L41" s="1187"/>
      <c r="M41" s="1187"/>
    </row>
    <row r="42" spans="1:18" ht="18" customHeight="1">
      <c r="A42" s="308"/>
      <c r="B42" s="309"/>
      <c r="C42" s="310"/>
      <c r="D42" s="327"/>
      <c r="E42" s="302" t="s">
        <v>762</v>
      </c>
      <c r="F42" s="312">
        <f ca="1">INDIRECT("'数据-取费表'!v"&amp;$G$1)</f>
        <v>0.03</v>
      </c>
      <c r="G42" s="1380"/>
      <c r="H42" s="1187"/>
      <c r="I42" s="1394"/>
      <c r="J42" s="1395"/>
      <c r="K42" s="2538"/>
      <c r="L42" s="1187"/>
      <c r="M42" s="1187"/>
    </row>
    <row r="43" spans="1:18" ht="18" customHeight="1" thickBot="1">
      <c r="A43" s="334" t="s">
        <v>396</v>
      </c>
      <c r="B43" s="335" t="s">
        <v>772</v>
      </c>
      <c r="C43" s="336">
        <f ca="1">ROUND(C40/F43,0)</f>
        <v>20010</v>
      </c>
      <c r="D43" s="337" t="s">
        <v>773</v>
      </c>
      <c r="E43" s="338" t="s">
        <v>774</v>
      </c>
      <c r="F43" s="339">
        <f ca="1">INDIRECT("'数据-取费表'!k"&amp;$G$1)</f>
        <v>218.26</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3" t="s">
        <v>3354</v>
      </c>
      <c r="B45" s="1396"/>
      <c r="C45" s="1468">
        <f ca="1">ROUND((C68-C40)/10000,4)</f>
        <v>-455.20420000000001</v>
      </c>
      <c r="D45" s="3424" t="s">
        <v>3355</v>
      </c>
      <c r="E45" s="1396"/>
      <c r="F45" s="1396"/>
      <c r="O45" s="1399" t="s">
        <v>804</v>
      </c>
      <c r="P45" s="1457"/>
      <c r="Q45" s="1457"/>
      <c r="R45" s="1457"/>
    </row>
    <row r="46" spans="1:18" s="1380" customFormat="1" ht="13.5" thickBot="1">
      <c r="A46" s="1400" t="s">
        <v>805</v>
      </c>
      <c r="C46" s="1401">
        <f ca="1">ROUND(C45,0)</f>
        <v>-455</v>
      </c>
      <c r="D46" s="1402" t="str">
        <f>C2</f>
        <v>万元</v>
      </c>
      <c r="I46" s="1403" t="s">
        <v>806</v>
      </c>
      <c r="J46" s="1404"/>
      <c r="K46" s="1405"/>
      <c r="L46" s="1406">
        <f ca="1">IF(M47="住宅",0,IF(L48&gt;J51,L60,J60))</f>
        <v>66751</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2"/>
      <c r="I47" s="1410" t="s">
        <v>811</v>
      </c>
      <c r="J47" s="1411" t="s">
        <v>3384</v>
      </c>
      <c r="K47" s="1412" t="s">
        <v>812</v>
      </c>
      <c r="L47" s="1413">
        <f ca="1">INDIRECT("'数据-取费表'!d"&amp;$G$1)</f>
        <v>50</v>
      </c>
      <c r="M47" s="1376" t="str">
        <f>IF(ISNUMBER(FIND("住宅",C1)),"住宅","非住宅")</f>
        <v>非住宅</v>
      </c>
      <c r="O47" s="1414" t="s">
        <v>403</v>
      </c>
      <c r="P47" s="1415" t="s">
        <v>813</v>
      </c>
      <c r="Q47" s="1416">
        <f ca="1">C40+J29</f>
        <v>4367318</v>
      </c>
      <c r="R47" s="1416" t="s">
        <v>814</v>
      </c>
    </row>
    <row r="48" spans="1:18" s="1380" customFormat="1" ht="28.5" thickBot="1">
      <c r="A48" s="1106" t="s">
        <v>438</v>
      </c>
      <c r="B48" s="300" t="s">
        <v>688</v>
      </c>
      <c r="C48" s="1355">
        <f ca="1">C49+C53+C55</f>
        <v>0</v>
      </c>
      <c r="D48" s="1108"/>
      <c r="E48" s="1109"/>
      <c r="F48" s="958"/>
      <c r="G48" s="722"/>
      <c r="H48" s="723"/>
      <c r="I48" s="1417" t="s">
        <v>815</v>
      </c>
      <c r="J48" s="1418" t="s">
        <v>3385</v>
      </c>
      <c r="K48" s="1419" t="s">
        <v>816</v>
      </c>
      <c r="L48" s="1420">
        <f ca="1">INDIRECT("'数据-取费表'!f"&amp;$G$1)</f>
        <v>26.42</v>
      </c>
      <c r="O48" s="1414" t="s">
        <v>404</v>
      </c>
      <c r="P48" s="1415" t="s">
        <v>817</v>
      </c>
      <c r="Q48" s="1416">
        <f ca="1">J60</f>
        <v>66751</v>
      </c>
      <c r="R48" s="1416" t="s">
        <v>818</v>
      </c>
    </row>
    <row r="49" spans="1:18" s="1380" customFormat="1" ht="13.5" thickBot="1">
      <c r="A49" s="971" t="s">
        <v>439</v>
      </c>
      <c r="B49" s="1367" t="s">
        <v>775</v>
      </c>
      <c r="C49" s="1110">
        <f ca="1">ROUND(F49*F51*F50*(1-F52),0)</f>
        <v>0</v>
      </c>
      <c r="D49" s="1051" t="s">
        <v>691</v>
      </c>
      <c r="E49" s="1368" t="s">
        <v>776</v>
      </c>
      <c r="F49" s="1056"/>
      <c r="G49" s="1421"/>
      <c r="H49" s="723"/>
      <c r="I49" s="1417" t="s">
        <v>819</v>
      </c>
      <c r="J49" s="1422">
        <v>2013</v>
      </c>
      <c r="K49" s="1419" t="s">
        <v>820</v>
      </c>
      <c r="L49" s="1423"/>
      <c r="O49" s="1424" t="s">
        <v>405</v>
      </c>
      <c r="P49" s="1415" t="s">
        <v>821</v>
      </c>
      <c r="Q49" s="1416">
        <f ca="1">C29</f>
        <v>1127734</v>
      </c>
      <c r="R49" s="1416" t="s">
        <v>814</v>
      </c>
    </row>
    <row r="50" spans="1:18" s="1380" customFormat="1" ht="13.5" thickBot="1">
      <c r="A50" s="972"/>
      <c r="B50" s="975"/>
      <c r="C50" s="976"/>
      <c r="D50" s="949"/>
      <c r="E50" s="1052" t="s">
        <v>693</v>
      </c>
      <c r="F50" s="1053">
        <f ca="1">F7</f>
        <v>218.26</v>
      </c>
      <c r="H50" s="723"/>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3">
        <f ca="1">F8</f>
        <v>365</v>
      </c>
      <c r="I51" s="1428" t="s">
        <v>825</v>
      </c>
      <c r="J51" s="1429">
        <f>IF(J49="",J50,J49+J50-YEAR('数据-取费表'!B2))</f>
        <v>50</v>
      </c>
      <c r="K51" s="1430" t="s">
        <v>826</v>
      </c>
      <c r="L51" s="1431">
        <f ca="1">ROUND(-PV(INDIRECT("'数据-取费表'!h"&amp;$G$1),J51,(C39-C13*C76),0),0)</f>
        <v>2975901</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26.42</v>
      </c>
      <c r="R52" s="1416" t="s">
        <v>831</v>
      </c>
    </row>
    <row r="53" spans="1:18" s="1380" customFormat="1" ht="30.75" customHeight="1" thickBot="1">
      <c r="A53" s="1107" t="s">
        <v>440</v>
      </c>
      <c r="B53" s="323" t="s">
        <v>696</v>
      </c>
      <c r="C53" s="316">
        <f ca="1">ROUND(IF(F53="押一",C49/12*F11,IF(F53="押二",C49/12*2*F11,IF(F53="押三",C49/12*3*F11,C54*F11))),0)</f>
        <v>0</v>
      </c>
      <c r="D53" s="1362" t="s">
        <v>2114</v>
      </c>
      <c r="E53" s="313" t="s">
        <v>697</v>
      </c>
      <c r="F53" s="1112"/>
      <c r="I53" s="1435" t="s">
        <v>832</v>
      </c>
      <c r="J53" s="2163">
        <f ca="1">IF(M47="住宅",IF(D1="——",MAX(J51,L48),MAX(J51,L48-'数据-取费表'!B24)),IF(D1="——",MIN(J51,L48),MIN(J51,L48-'数据-取费表'!B24)))</f>
        <v>26.42</v>
      </c>
      <c r="K53" s="3678" t="s">
        <v>833</v>
      </c>
      <c r="L53" s="3679"/>
      <c r="O53" s="1414" t="s">
        <v>409</v>
      </c>
      <c r="P53" s="1415" t="s">
        <v>834</v>
      </c>
      <c r="Q53" s="1416">
        <f ca="1">Q47+Q48</f>
        <v>4434069</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0.39300000000000002</v>
      </c>
      <c r="K55" s="1441" t="s">
        <v>837</v>
      </c>
      <c r="L55" s="1442"/>
      <c r="O55" s="1407" t="s">
        <v>807</v>
      </c>
      <c r="P55" s="1408" t="s">
        <v>808</v>
      </c>
      <c r="Q55" s="1409" t="s">
        <v>809</v>
      </c>
      <c r="R55" s="1409" t="s">
        <v>810</v>
      </c>
    </row>
    <row r="56" spans="1:18" s="1380" customFormat="1" ht="36" customHeight="1" thickTop="1" thickBot="1">
      <c r="A56" s="953">
        <v>2</v>
      </c>
      <c r="B56" s="954" t="s">
        <v>700</v>
      </c>
      <c r="C56" s="232">
        <f ca="1">C13</f>
        <v>981129</v>
      </c>
      <c r="D56" s="1443"/>
      <c r="E56" s="1444"/>
      <c r="F56" s="1436"/>
      <c r="I56" s="1445" t="s">
        <v>838</v>
      </c>
      <c r="J56" s="1446" t="s">
        <v>3386</v>
      </c>
      <c r="K56" s="1417" t="s">
        <v>839</v>
      </c>
      <c r="L56" s="1420" t="str">
        <f ca="1">IF(L48&lt;J51,"——",L48-J51)</f>
        <v>——</v>
      </c>
      <c r="O56" s="1414" t="s">
        <v>403</v>
      </c>
      <c r="P56" s="1415" t="s">
        <v>813</v>
      </c>
      <c r="Q56" s="1416">
        <f ca="1">C40+J29</f>
        <v>4367318</v>
      </c>
      <c r="R56" s="1416" t="s">
        <v>814</v>
      </c>
    </row>
    <row r="57" spans="1:18" s="1380" customFormat="1" ht="24.75" thickBot="1">
      <c r="A57" s="1447"/>
      <c r="B57" s="946" t="s">
        <v>763</v>
      </c>
      <c r="C57" s="238">
        <f ca="1">C29</f>
        <v>1127734</v>
      </c>
      <c r="D57" s="1448"/>
      <c r="E57" s="1449"/>
      <c r="F57" s="1450"/>
      <c r="I57" s="1451" t="s">
        <v>840</v>
      </c>
      <c r="J57" s="1452">
        <f ca="1">IF(OR(M47="住宅",J51&lt;L48,J56="是"),"——",J51-L48)</f>
        <v>23.58</v>
      </c>
      <c r="K57" s="1417" t="s">
        <v>888</v>
      </c>
      <c r="L57" s="1420" t="str">
        <f ca="1">IF(L48&lt;J51,"——",IF(L55="比较法",L49,IF(L55="基准地价",L50,L51)))</f>
        <v>——</v>
      </c>
      <c r="O57" s="1414" t="s">
        <v>404</v>
      </c>
      <c r="P57" s="1415" t="s">
        <v>889</v>
      </c>
      <c r="Q57" s="1416">
        <f ca="1">L60</f>
        <v>0</v>
      </c>
      <c r="R57" s="1416" t="s">
        <v>890</v>
      </c>
    </row>
    <row r="58" spans="1:18" s="1380" customFormat="1" ht="24.75" thickBot="1">
      <c r="A58" s="315" t="s">
        <v>393</v>
      </c>
      <c r="B58" s="954" t="s">
        <v>710</v>
      </c>
      <c r="C58" s="316">
        <f ca="1">ROUND(C59+C64+C65+C66,0)</f>
        <v>12749</v>
      </c>
      <c r="D58" s="956" t="s">
        <v>711</v>
      </c>
      <c r="E58" s="957"/>
      <c r="F58" s="958"/>
      <c r="I58" s="1451" t="s">
        <v>844</v>
      </c>
      <c r="J58" s="1453">
        <f ca="1">IF(J55&lt;0.4,0.4,J55)</f>
        <v>0.4</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1">
        <f ca="1">ROUND(IF(AND(项目基本情况!B11="自然人",项目基本情况!B10="北京市"),C49*F59/(1+'数据-取费表'!C42),C60+C61+C62),0)</f>
        <v>0</v>
      </c>
      <c r="D59" s="959" t="s">
        <v>716</v>
      </c>
      <c r="E59" s="960" t="s">
        <v>717</v>
      </c>
      <c r="F59" s="2310">
        <f ca="1">IF(项目基本情况!B11="企业","——",IF('数据-取费表'!B10="住宅",IF(F49*F50*F51/12/(1+'数据-取费表'!F30)&gt;100000,4%,2.5%),IF(F49*F50*F51/12/(1+'数据-取费表'!F30)&gt;100000,12%,7%)))</f>
        <v>7.0000000000000007E-2</v>
      </c>
      <c r="I59" s="1451" t="s">
        <v>847</v>
      </c>
      <c r="J59" s="1452">
        <f ca="1">IF(OR(M47="住宅",J51&lt;L48,J56="是"),"——",ROUND(C29*J58,0))</f>
        <v>451094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t="str">
        <f>IF(项目基本情况!B11="自然人","——",ROUND(C48*F60/(1+'数据-取费表'!C42),0))</f>
        <v>——</v>
      </c>
      <c r="D60" s="960" t="s">
        <v>720</v>
      </c>
      <c r="E60" s="946" t="s">
        <v>708</v>
      </c>
      <c r="F60" s="331">
        <f t="shared" ref="F60:F66" si="0">F32</f>
        <v>5.5000000000000007E-2</v>
      </c>
      <c r="I60" s="1454" t="s">
        <v>849</v>
      </c>
      <c r="J60" s="1455">
        <f ca="1">IF(OR(M47="住宅",J51&lt;L48,J56="是"),"0",ROUND(J59/(1+J52)^J53,0))</f>
        <v>66751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t="str">
        <f ca="1">IF(项目基本情况!B11="自然人","——",IF(D61="按租金收入计税",ROUND(C49*F61/(1+'数据-取费表'!C42),0),IF(D61="按房产原值计税",ROUND(C57*F61*0.7,0),INDIRECT("'数据-取费表'!Aj"&amp;$G$1))))</f>
        <v>——</v>
      </c>
      <c r="D61" s="1366" t="s">
        <v>3338</v>
      </c>
      <c r="E61" s="946"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t="str">
        <f>IF(项目基本情况!B11="自然人","——",ROUND(F62*F63,0))</f>
        <v>——</v>
      </c>
      <c r="D62" s="961" t="s">
        <v>782</v>
      </c>
      <c r="E62" s="946" t="s">
        <v>783</v>
      </c>
      <c r="F62" s="325">
        <f t="shared" si="0"/>
        <v>1.5</v>
      </c>
      <c r="I62" s="1458" t="s">
        <v>854</v>
      </c>
      <c r="J62" s="1459" t="s">
        <v>855</v>
      </c>
      <c r="K62" s="1459" t="s">
        <v>856</v>
      </c>
      <c r="L62" s="1459" t="s">
        <v>857</v>
      </c>
      <c r="M62" s="1460" t="s">
        <v>858</v>
      </c>
      <c r="O62" s="1414" t="s">
        <v>409</v>
      </c>
      <c r="P62" s="1415" t="s">
        <v>859</v>
      </c>
      <c r="Q62" s="1416">
        <f ca="1">Q56+Q57</f>
        <v>4367318</v>
      </c>
      <c r="R62" s="1416" t="s">
        <v>410</v>
      </c>
    </row>
    <row r="63" spans="1:18" s="1380" customFormat="1" ht="13.5" thickBot="1">
      <c r="A63" s="326"/>
      <c r="B63" s="952"/>
      <c r="C63" s="26"/>
      <c r="D63" s="962"/>
      <c r="E63" s="946"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11277</v>
      </c>
      <c r="D64" s="960" t="s">
        <v>787</v>
      </c>
      <c r="E64" s="946" t="s">
        <v>779</v>
      </c>
      <c r="F64" s="328">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1472</v>
      </c>
      <c r="D65" s="960" t="s">
        <v>739</v>
      </c>
      <c r="E65" s="946" t="s">
        <v>740</v>
      </c>
      <c r="F65" s="330">
        <f t="shared" ca="1" si="0"/>
        <v>1.5E-3</v>
      </c>
      <c r="I65" s="1458" t="s">
        <v>863</v>
      </c>
      <c r="J65" s="1459">
        <v>40</v>
      </c>
      <c r="K65" s="1459">
        <v>30</v>
      </c>
      <c r="L65" s="1459">
        <v>50</v>
      </c>
      <c r="M65" s="1461">
        <v>0.02</v>
      </c>
      <c r="O65" s="1414" t="s">
        <v>403</v>
      </c>
      <c r="P65" s="1415" t="s">
        <v>864</v>
      </c>
      <c r="Q65" s="1416">
        <f ca="1">C40+J29</f>
        <v>4367318</v>
      </c>
      <c r="R65" s="1416" t="s">
        <v>814</v>
      </c>
    </row>
    <row r="66" spans="1:18" s="1380" customFormat="1" ht="16.5" thickBot="1">
      <c r="A66" s="978" t="s">
        <v>789</v>
      </c>
      <c r="B66" s="946" t="s">
        <v>724</v>
      </c>
      <c r="C66" s="21">
        <f ca="1">ROUND(C48*F66,0)</f>
        <v>0</v>
      </c>
      <c r="D66" s="960" t="s">
        <v>790</v>
      </c>
      <c r="E66" s="946" t="s">
        <v>708</v>
      </c>
      <c r="F66" s="312">
        <f t="shared" ca="1" si="0"/>
        <v>0.01</v>
      </c>
      <c r="O66" s="1414" t="s">
        <v>404</v>
      </c>
      <c r="P66" s="1415" t="s">
        <v>842</v>
      </c>
      <c r="Q66" s="1416">
        <f ca="1">L60</f>
        <v>0</v>
      </c>
      <c r="R66" s="1416" t="s">
        <v>865</v>
      </c>
    </row>
    <row r="67" spans="1:18" s="1380" customFormat="1" ht="16.5" thickBot="1">
      <c r="A67" s="953" t="s">
        <v>394</v>
      </c>
      <c r="B67" s="963" t="s">
        <v>748</v>
      </c>
      <c r="C67" s="316">
        <f ca="1">C48-C58</f>
        <v>-12749</v>
      </c>
      <c r="D67" s="959" t="s">
        <v>749</v>
      </c>
      <c r="E67" s="964"/>
      <c r="F67" s="965"/>
      <c r="O67" s="1424" t="s">
        <v>405</v>
      </c>
      <c r="P67" s="1415" t="s">
        <v>846</v>
      </c>
      <c r="Q67" s="1462">
        <f ca="1">L51</f>
        <v>2975901</v>
      </c>
      <c r="R67" s="1416" t="s">
        <v>866</v>
      </c>
    </row>
    <row r="68" spans="1:18" s="1380" customFormat="1" ht="16.5" thickBot="1">
      <c r="A68" s="943" t="s">
        <v>395</v>
      </c>
      <c r="B68" s="944" t="s">
        <v>770</v>
      </c>
      <c r="C68" s="301">
        <f ca="1">ROUND(C67*(1-((1+F70)/(1+F68))^F69)/(F68-F70),0)</f>
        <v>-184724</v>
      </c>
      <c r="D68" s="961" t="s">
        <v>754</v>
      </c>
      <c r="E68" s="946" t="s">
        <v>755</v>
      </c>
      <c r="F68" s="312">
        <f ca="1">F40</f>
        <v>0.05</v>
      </c>
      <c r="O68" s="1424" t="s">
        <v>406</v>
      </c>
      <c r="P68" s="1463" t="s">
        <v>867</v>
      </c>
      <c r="Q68" s="1416">
        <f ca="1">ROUND(Q69-Q70*Q71,0)</f>
        <v>150587</v>
      </c>
      <c r="R68" s="1416" t="s">
        <v>414</v>
      </c>
    </row>
    <row r="69" spans="1:18" s="1380" customFormat="1" ht="13.5" thickBot="1">
      <c r="A69" s="947"/>
      <c r="B69" s="948"/>
      <c r="C69" s="306"/>
      <c r="D69" s="966" t="s">
        <v>758</v>
      </c>
      <c r="E69" s="946" t="s">
        <v>759</v>
      </c>
      <c r="F69" s="333">
        <f ca="1">F41</f>
        <v>26.42</v>
      </c>
      <c r="O69" s="1424" t="s">
        <v>411</v>
      </c>
      <c r="P69" s="1463" t="s">
        <v>868</v>
      </c>
      <c r="Q69" s="1416">
        <f ca="1">C39</f>
        <v>219266</v>
      </c>
      <c r="R69" s="1416" t="s">
        <v>814</v>
      </c>
    </row>
    <row r="70" spans="1:18" s="1380" customFormat="1" ht="13.5" thickBot="1">
      <c r="A70" s="950"/>
      <c r="B70" s="951"/>
      <c r="C70" s="310"/>
      <c r="D70" s="962"/>
      <c r="E70" s="946" t="s">
        <v>762</v>
      </c>
      <c r="F70" s="1050"/>
      <c r="O70" s="1424" t="s">
        <v>412</v>
      </c>
      <c r="P70" s="1463" t="s">
        <v>869</v>
      </c>
      <c r="Q70" s="1416">
        <f ca="1">C13</f>
        <v>981129</v>
      </c>
      <c r="R70" s="1416" t="s">
        <v>814</v>
      </c>
    </row>
    <row r="71" spans="1:18" s="1380" customFormat="1" ht="13.5" thickBot="1">
      <c r="A71" s="967" t="s">
        <v>396</v>
      </c>
      <c r="B71" s="968" t="s">
        <v>772</v>
      </c>
      <c r="C71" s="336">
        <f ca="1">ROUND(C68/F71,0)</f>
        <v>-846</v>
      </c>
      <c r="D71" s="969" t="s">
        <v>773</v>
      </c>
      <c r="E71" s="970" t="s">
        <v>774</v>
      </c>
      <c r="F71" s="339">
        <f ca="1">F43</f>
        <v>218.26</v>
      </c>
      <c r="O71" s="1424" t="s">
        <v>413</v>
      </c>
      <c r="P71" s="1463" t="s">
        <v>870</v>
      </c>
      <c r="Q71" s="1427">
        <f ca="1">C76</f>
        <v>7.0000000000000007E-2</v>
      </c>
      <c r="R71" s="1416"/>
    </row>
    <row r="72" spans="1:18" s="1380" customFormat="1" ht="13.5" thickBot="1">
      <c r="B72" s="726"/>
      <c r="C72" s="726"/>
      <c r="O72" s="1424" t="s">
        <v>407</v>
      </c>
      <c r="P72" s="1415" t="s">
        <v>848</v>
      </c>
      <c r="Q72" s="1427">
        <f>L52</f>
        <v>0</v>
      </c>
      <c r="R72" s="1416"/>
    </row>
    <row r="73" spans="1:18" ht="16.5" thickBot="1">
      <c r="A73" s="1380"/>
      <c r="B73" s="726"/>
      <c r="C73" s="726"/>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68679</v>
      </c>
      <c r="D75" s="1380"/>
      <c r="E75" s="1380"/>
      <c r="F75" s="1380"/>
      <c r="K75" s="1398"/>
      <c r="L75" s="1380"/>
      <c r="O75" s="1414" t="s">
        <v>409</v>
      </c>
      <c r="P75" s="1415" t="s">
        <v>834</v>
      </c>
      <c r="Q75" s="1416">
        <f ca="1">Q65+Q66</f>
        <v>4367318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0.68700000000000006</v>
      </c>
    </row>
    <row r="80" spans="1:18">
      <c r="B80" s="340" t="s">
        <v>796</v>
      </c>
      <c r="C80" s="274">
        <f ca="1">ROUND(C75/C39,3)</f>
        <v>0.313</v>
      </c>
    </row>
    <row r="81" spans="2:3">
      <c r="B81" s="270" t="s">
        <v>797</v>
      </c>
      <c r="C81" s="238"/>
    </row>
    <row r="82" spans="2:3">
      <c r="B82" s="273" t="s">
        <v>798</v>
      </c>
      <c r="C82" s="275">
        <f ca="1">1-C83</f>
        <v>0.77500000000000002</v>
      </c>
    </row>
    <row r="83" spans="2:3">
      <c r="B83" s="273" t="s">
        <v>799</v>
      </c>
      <c r="C83" s="274">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1" priority="4">
      <formula>$L$48&gt;$J$51</formula>
    </cfRule>
  </conditionalFormatting>
  <conditionalFormatting sqref="I55 I60">
    <cfRule type="expression" dxfId="210" priority="5">
      <formula>$J$51&gt;$L$48</formula>
    </cfRule>
  </conditionalFormatting>
  <conditionalFormatting sqref="C11">
    <cfRule type="expression" dxfId="209" priority="3">
      <formula>$F$10="自定义"</formula>
    </cfRule>
  </conditionalFormatting>
  <conditionalFormatting sqref="J11">
    <cfRule type="expression" dxfId="208" priority="2">
      <formula>$M$10="自定义"</formula>
    </cfRule>
  </conditionalFormatting>
  <conditionalFormatting sqref="C54">
    <cfRule type="expression" dxfId="2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2433</v>
      </c>
      <c r="B1" s="2825"/>
      <c r="C1" s="2837"/>
      <c r="D1" s="2837"/>
      <c r="E1" s="2826"/>
      <c r="F1" s="2827"/>
      <c r="G1" s="2828"/>
      <c r="J1" s="2831" t="s">
        <v>2312</v>
      </c>
      <c r="K1" s="2832"/>
      <c r="L1" s="2832"/>
      <c r="M1" s="2832"/>
      <c r="N1" s="2832"/>
      <c r="O1" s="2832"/>
      <c r="P1" s="2832"/>
      <c r="Q1" s="2832"/>
      <c r="R1" s="2833"/>
      <c r="S1" s="2834"/>
      <c r="T1" s="2834"/>
      <c r="U1" s="2834"/>
    </row>
    <row r="2" spans="1:22" s="2846" customFormat="1" ht="13.15" customHeight="1">
      <c r="A2" s="1381" t="s">
        <v>2313</v>
      </c>
      <c r="B2" s="2836" t="e">
        <f>IF(D2="——",C40,C40+E2)</f>
        <v>#DIV/0!</v>
      </c>
      <c r="C2" s="2837" t="s">
        <v>2314</v>
      </c>
      <c r="D2" s="3435" t="s">
        <v>3361</v>
      </c>
      <c r="E2" s="3436"/>
      <c r="F2" s="2839"/>
      <c r="G2" s="2840"/>
      <c r="H2" s="2841"/>
      <c r="I2" s="2842"/>
      <c r="J2" s="3732" t="s">
        <v>2315</v>
      </c>
      <c r="K2" s="3733"/>
      <c r="L2" s="2843" t="s">
        <v>2316</v>
      </c>
      <c r="M2" s="2843" t="s">
        <v>2317</v>
      </c>
      <c r="N2" s="2843" t="s">
        <v>2318</v>
      </c>
      <c r="O2" s="2843" t="s">
        <v>2319</v>
      </c>
      <c r="P2" s="2843" t="s">
        <v>2320</v>
      </c>
      <c r="Q2" s="2844" t="s">
        <v>2321</v>
      </c>
      <c r="R2" s="2845" t="s">
        <v>2322</v>
      </c>
      <c r="S2" s="2834"/>
      <c r="T2" s="2834"/>
      <c r="U2" s="2834"/>
      <c r="V2" s="2842"/>
    </row>
    <row r="3" spans="1:22" s="2846" customFormat="1" ht="13.15" customHeight="1">
      <c r="A3" s="2847" t="s">
        <v>2323</v>
      </c>
      <c r="B3" s="2848" t="e">
        <f>ROUND(B2*10000/B4,0)</f>
        <v>#DIV/0!</v>
      </c>
      <c r="C3" s="2837" t="s">
        <v>2324</v>
      </c>
      <c r="D3" s="2837"/>
      <c r="E3" s="2838"/>
      <c r="F3" s="2839"/>
      <c r="G3" s="2840"/>
      <c r="H3" s="2841"/>
      <c r="I3" s="2842"/>
      <c r="J3" s="3734" t="s">
        <v>2325</v>
      </c>
      <c r="K3" s="3735"/>
      <c r="L3" s="2849"/>
      <c r="M3" s="2849"/>
      <c r="N3" s="2849"/>
      <c r="O3" s="2849"/>
      <c r="P3" s="2849"/>
      <c r="Q3" s="2850"/>
      <c r="R3" s="2851">
        <f>SUM(L3:Q3)</f>
        <v>0</v>
      </c>
      <c r="S3" s="2834"/>
      <c r="T3" s="2834"/>
      <c r="U3" s="2834"/>
      <c r="V3" s="2842"/>
    </row>
    <row r="4" spans="1:22" s="2846" customFormat="1" ht="13.15" customHeight="1">
      <c r="A4" s="2852" t="s">
        <v>2326</v>
      </c>
      <c r="B4" s="2853"/>
      <c r="C4" s="2837"/>
      <c r="D4" s="2837"/>
      <c r="E4" s="2838"/>
      <c r="F4" s="2839"/>
      <c r="G4" s="2840"/>
      <c r="H4" s="2841"/>
      <c r="I4" s="2842"/>
      <c r="J4" s="3734" t="s">
        <v>2327</v>
      </c>
      <c r="K4" s="3735"/>
      <c r="L4" s="2854"/>
      <c r="M4" s="2854"/>
      <c r="N4" s="2854"/>
      <c r="O4" s="2854"/>
      <c r="P4" s="2854"/>
      <c r="Q4" s="2855"/>
      <c r="R4" s="2856">
        <f>SUM(L4:Q4)</f>
        <v>0</v>
      </c>
      <c r="S4" s="2834"/>
      <c r="T4" s="2834"/>
      <c r="U4" s="2834"/>
      <c r="V4" s="2842"/>
    </row>
    <row r="5" spans="1:22" s="2846" customFormat="1" ht="13.15" customHeight="1" thickBot="1">
      <c r="A5" s="2857" t="s">
        <v>2328</v>
      </c>
      <c r="B5" s="2858"/>
      <c r="C5" s="2837"/>
      <c r="D5" s="2859"/>
      <c r="E5" s="2839"/>
      <c r="F5" s="2839"/>
      <c r="G5" s="2840"/>
      <c r="H5" s="2841"/>
      <c r="I5" s="2842"/>
      <c r="J5" s="2860" t="s">
        <v>2329</v>
      </c>
      <c r="K5" s="2861"/>
      <c r="L5" s="2861"/>
      <c r="M5" s="2862"/>
      <c r="N5" s="2862"/>
      <c r="O5" s="2862"/>
      <c r="P5" s="2862"/>
      <c r="Q5" s="2862"/>
      <c r="R5" s="2845">
        <f>SUM(R14,R19,R24,R25,R27,R28)</f>
        <v>0</v>
      </c>
      <c r="S5" s="2834"/>
      <c r="T5" s="2834" t="s">
        <v>2330</v>
      </c>
      <c r="U5" s="2834" t="e">
        <f>ROUND(R5*10000/365/R3,1)</f>
        <v>#DIV/0!</v>
      </c>
      <c r="V5" s="2842"/>
    </row>
    <row r="6" spans="1:22" s="2846" customFormat="1" ht="13.15" customHeight="1" thickBot="1">
      <c r="A6" s="3736" t="s">
        <v>2331</v>
      </c>
      <c r="B6" s="3737"/>
      <c r="C6" s="3738"/>
      <c r="D6" s="2863"/>
      <c r="E6" s="2864"/>
      <c r="F6" s="2865"/>
      <c r="G6" s="2866"/>
      <c r="H6" s="2841"/>
      <c r="I6" s="2842"/>
      <c r="J6" s="3739">
        <v>1</v>
      </c>
      <c r="K6" s="3740" t="s">
        <v>2332</v>
      </c>
      <c r="L6" s="2867" t="s">
        <v>2333</v>
      </c>
      <c r="M6" s="2868" t="s">
        <v>2334</v>
      </c>
      <c r="N6" s="2868" t="s">
        <v>2335</v>
      </c>
      <c r="O6" s="2868" t="s">
        <v>2336</v>
      </c>
      <c r="P6" s="2868" t="s">
        <v>2337</v>
      </c>
      <c r="Q6" s="2868" t="s">
        <v>2338</v>
      </c>
      <c r="R6" s="2851" t="s">
        <v>2339</v>
      </c>
      <c r="S6" s="2834"/>
      <c r="T6" s="2834" t="s">
        <v>2340</v>
      </c>
      <c r="U6" s="2834"/>
      <c r="V6" s="2842"/>
    </row>
    <row r="7" spans="1:22" s="2846" customFormat="1" ht="13.15" customHeight="1">
      <c r="A7" s="2869" t="s">
        <v>2341</v>
      </c>
      <c r="B7" s="2870"/>
      <c r="C7" s="2871"/>
      <c r="D7" s="2872">
        <f>SUM(D9,D10,D11,D17,0)</f>
        <v>0</v>
      </c>
      <c r="E7" s="2873" t="e">
        <f>E9+E10+E11+E17</f>
        <v>#DIV/0!</v>
      </c>
      <c r="F7" s="2874"/>
      <c r="G7" s="2875"/>
      <c r="H7" s="2841"/>
      <c r="I7" s="2842"/>
      <c r="J7" s="3739"/>
      <c r="K7" s="3741"/>
      <c r="L7" s="2876" t="s">
        <v>2342</v>
      </c>
      <c r="M7" s="2877"/>
      <c r="N7" s="2853"/>
      <c r="O7" s="2878"/>
      <c r="P7" s="2878"/>
      <c r="Q7" s="2879">
        <v>365</v>
      </c>
      <c r="R7" s="2880">
        <f>ROUND(M7*N7*O7*P7*Q7/10000,0)</f>
        <v>0</v>
      </c>
      <c r="S7" s="2834"/>
      <c r="T7" s="2834" t="s">
        <v>2343</v>
      </c>
      <c r="U7" s="2834"/>
      <c r="V7" s="2842"/>
    </row>
    <row r="8" spans="1:22" s="2846" customFormat="1" ht="13.15" customHeight="1">
      <c r="A8" s="2881" t="s">
        <v>2344</v>
      </c>
      <c r="B8" s="3743" t="s">
        <v>2345</v>
      </c>
      <c r="C8" s="3744"/>
      <c r="D8" s="2882" t="s">
        <v>2346</v>
      </c>
      <c r="E8" s="2883" t="s">
        <v>2347</v>
      </c>
      <c r="F8" s="2884" t="s">
        <v>2348</v>
      </c>
      <c r="G8" s="2885"/>
      <c r="H8" s="2841"/>
      <c r="I8" s="2842"/>
      <c r="J8" s="3739"/>
      <c r="K8" s="3741"/>
      <c r="L8" s="2876" t="s">
        <v>2349</v>
      </c>
      <c r="M8" s="2877"/>
      <c r="N8" s="2853"/>
      <c r="O8" s="2878"/>
      <c r="P8" s="2878"/>
      <c r="Q8" s="2879">
        <v>365</v>
      </c>
      <c r="R8" s="2880">
        <f t="shared" ref="R8:R13" si="0">ROUND(M8*N8*O8*P8*Q8/10000,0)</f>
        <v>0</v>
      </c>
      <c r="S8" s="2834"/>
      <c r="T8" s="2834" t="s">
        <v>2350</v>
      </c>
      <c r="U8" s="2834"/>
      <c r="V8" s="2842"/>
    </row>
    <row r="9" spans="1:22" s="2846" customFormat="1" ht="13.15" customHeight="1">
      <c r="A9" s="2881">
        <v>1</v>
      </c>
      <c r="B9" s="3743" t="s">
        <v>2351</v>
      </c>
      <c r="C9" s="3744"/>
      <c r="D9" s="2882">
        <f>ROUND(D6*E9,0)</f>
        <v>0</v>
      </c>
      <c r="E9" s="2886"/>
      <c r="F9" s="2887" t="s">
        <v>2352</v>
      </c>
      <c r="G9" s="2866"/>
      <c r="H9" s="2841"/>
      <c r="I9" s="2842"/>
      <c r="J9" s="3739"/>
      <c r="K9" s="3741"/>
      <c r="L9" s="2876" t="s">
        <v>2353</v>
      </c>
      <c r="M9" s="2877"/>
      <c r="N9" s="2853"/>
      <c r="O9" s="2878"/>
      <c r="P9" s="2878"/>
      <c r="Q9" s="2879">
        <v>365</v>
      </c>
      <c r="R9" s="2880">
        <f t="shared" si="0"/>
        <v>0</v>
      </c>
      <c r="S9" s="2834"/>
      <c r="T9" s="2834"/>
      <c r="U9" s="2834"/>
      <c r="V9" s="2842"/>
    </row>
    <row r="10" spans="1:22" s="2846" customFormat="1" ht="13.15" customHeight="1">
      <c r="A10" s="2881">
        <v>2</v>
      </c>
      <c r="B10" s="3743" t="s">
        <v>2354</v>
      </c>
      <c r="C10" s="3744"/>
      <c r="D10" s="2882">
        <f>ROUND(D6*E10,0)</f>
        <v>0</v>
      </c>
      <c r="E10" s="2886"/>
      <c r="F10" s="2887" t="s">
        <v>2355</v>
      </c>
      <c r="G10" s="2866"/>
      <c r="H10" s="2841"/>
      <c r="I10" s="2842"/>
      <c r="J10" s="3739"/>
      <c r="K10" s="3741"/>
      <c r="L10" s="2876" t="s">
        <v>2356</v>
      </c>
      <c r="M10" s="2877"/>
      <c r="N10" s="2853"/>
      <c r="O10" s="2878"/>
      <c r="P10" s="2878"/>
      <c r="Q10" s="2879">
        <v>365</v>
      </c>
      <c r="R10" s="2880">
        <f t="shared" si="0"/>
        <v>0</v>
      </c>
      <c r="S10" s="2834"/>
      <c r="T10" s="2834"/>
      <c r="U10" s="2834"/>
      <c r="V10" s="2842"/>
    </row>
    <row r="11" spans="1:22" s="2846" customFormat="1" ht="13.15" customHeight="1">
      <c r="A11" s="2881">
        <v>3</v>
      </c>
      <c r="B11" s="3743" t="s">
        <v>2357</v>
      </c>
      <c r="C11" s="3744"/>
      <c r="D11" s="2882">
        <f>D12+D14+D15+D16</f>
        <v>0</v>
      </c>
      <c r="E11" s="2888" t="e">
        <f>D11/D6</f>
        <v>#DIV/0!</v>
      </c>
      <c r="F11" s="2884"/>
      <c r="G11" s="2885"/>
      <c r="H11" s="2841"/>
      <c r="I11" s="2842"/>
      <c r="J11" s="3739"/>
      <c r="K11" s="3741"/>
      <c r="L11" s="2876" t="s">
        <v>2358</v>
      </c>
      <c r="M11" s="2877"/>
      <c r="N11" s="2853"/>
      <c r="O11" s="2878"/>
      <c r="P11" s="2878"/>
      <c r="Q11" s="2879">
        <v>365</v>
      </c>
      <c r="R11" s="2880">
        <f t="shared" si="0"/>
        <v>0</v>
      </c>
      <c r="S11" s="2834"/>
      <c r="T11" s="2834"/>
      <c r="U11" s="2834"/>
      <c r="V11" s="2842"/>
    </row>
    <row r="12" spans="1:22" s="2846" customFormat="1" ht="13.15" customHeight="1">
      <c r="A12" s="2889" t="s">
        <v>2359</v>
      </c>
      <c r="B12" s="3745" t="s">
        <v>2360</v>
      </c>
      <c r="C12" s="3746"/>
      <c r="D12" s="2890">
        <f>ROUND(D13*1.2%*(1-30%),0)</f>
        <v>0</v>
      </c>
      <c r="E12" s="2891">
        <v>1.2E-2</v>
      </c>
      <c r="F12" s="2884" t="s">
        <v>2361</v>
      </c>
      <c r="G12" s="2885"/>
      <c r="H12" s="2841"/>
      <c r="I12" s="2842"/>
      <c r="J12" s="3739"/>
      <c r="K12" s="3741"/>
      <c r="L12" s="2876" t="s">
        <v>2362</v>
      </c>
      <c r="M12" s="2877"/>
      <c r="N12" s="2853"/>
      <c r="O12" s="2878"/>
      <c r="P12" s="2878"/>
      <c r="Q12" s="2879">
        <v>365</v>
      </c>
      <c r="R12" s="2880">
        <f t="shared" si="0"/>
        <v>0</v>
      </c>
      <c r="S12" s="2834"/>
      <c r="T12" s="2834"/>
      <c r="U12" s="2834"/>
      <c r="V12" s="2842"/>
    </row>
    <row r="13" spans="1:22" s="2846" customFormat="1" ht="13.15" customHeight="1">
      <c r="A13" s="2889"/>
      <c r="B13" s="2892"/>
      <c r="C13" s="2893" t="s">
        <v>2363</v>
      </c>
      <c r="D13" s="2894"/>
      <c r="E13" s="2895"/>
      <c r="F13" s="2884"/>
      <c r="G13" s="2885"/>
      <c r="H13" s="2841"/>
      <c r="I13" s="2842"/>
      <c r="J13" s="3739"/>
      <c r="K13" s="3741"/>
      <c r="L13" s="2876" t="s">
        <v>2364</v>
      </c>
      <c r="M13" s="2877"/>
      <c r="N13" s="2853"/>
      <c r="O13" s="2878"/>
      <c r="P13" s="2878"/>
      <c r="Q13" s="2879">
        <v>365</v>
      </c>
      <c r="R13" s="2880">
        <f t="shared" si="0"/>
        <v>0</v>
      </c>
      <c r="S13" s="2834"/>
      <c r="T13" s="2834"/>
      <c r="U13" s="2834"/>
      <c r="V13" s="2842"/>
    </row>
    <row r="14" spans="1:22" s="2846" customFormat="1" ht="13.15" customHeight="1">
      <c r="A14" s="2889" t="s">
        <v>2365</v>
      </c>
      <c r="B14" s="3745" t="s">
        <v>2366</v>
      </c>
      <c r="C14" s="3746"/>
      <c r="D14" s="2890">
        <f>ROUND(E14*B5/10000,0)</f>
        <v>0</v>
      </c>
      <c r="E14" s="2879"/>
      <c r="F14" s="2884" t="s">
        <v>2367</v>
      </c>
      <c r="G14" s="2885"/>
      <c r="H14" s="2841"/>
      <c r="I14" s="2842"/>
      <c r="J14" s="3739"/>
      <c r="K14" s="3742"/>
      <c r="L14" s="2896" t="s">
        <v>2368</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2369</v>
      </c>
      <c r="B15" s="3745" t="s">
        <v>2370</v>
      </c>
      <c r="C15" s="3746"/>
      <c r="D15" s="2890">
        <f>ROUND(D6*E15,0)</f>
        <v>0</v>
      </c>
      <c r="E15" s="2891">
        <v>5.5E-2</v>
      </c>
      <c r="F15" s="2884" t="s">
        <v>2371</v>
      </c>
      <c r="G15" s="2866"/>
      <c r="H15" s="2841"/>
      <c r="I15" s="2842"/>
      <c r="J15" s="3739">
        <v>2</v>
      </c>
      <c r="K15" s="3740" t="s">
        <v>2372</v>
      </c>
      <c r="L15" s="2876" t="s">
        <v>2373</v>
      </c>
      <c r="M15" s="2877" t="s">
        <v>2374</v>
      </c>
      <c r="N15" s="2877" t="s">
        <v>2375</v>
      </c>
      <c r="O15" s="2878" t="s">
        <v>2376</v>
      </c>
      <c r="P15" s="2878" t="s">
        <v>2338</v>
      </c>
      <c r="Q15" s="2853" t="s">
        <v>2377</v>
      </c>
      <c r="R15" s="2900" t="s">
        <v>2339</v>
      </c>
      <c r="S15" s="2834"/>
      <c r="T15" s="2834"/>
      <c r="U15" s="2834"/>
      <c r="V15" s="2842"/>
    </row>
    <row r="16" spans="1:22" s="2846" customFormat="1" ht="13.15" customHeight="1">
      <c r="A16" s="2889" t="s">
        <v>2378</v>
      </c>
      <c r="B16" s="3745" t="s">
        <v>2379</v>
      </c>
      <c r="C16" s="3746"/>
      <c r="D16" s="2901">
        <f>D6*E16</f>
        <v>0</v>
      </c>
      <c r="E16" s="2902"/>
      <c r="F16" s="2887" t="s">
        <v>2380</v>
      </c>
      <c r="G16" s="2866"/>
      <c r="H16" s="2841"/>
      <c r="I16" s="2842"/>
      <c r="J16" s="3739"/>
      <c r="K16" s="3741"/>
      <c r="L16" s="2876" t="s">
        <v>2381</v>
      </c>
      <c r="M16" s="2877"/>
      <c r="N16" s="2877"/>
      <c r="O16" s="2878"/>
      <c r="P16" s="2879">
        <v>365</v>
      </c>
      <c r="Q16" s="2853"/>
      <c r="R16" s="2900">
        <f>ROUND(M16*N16*O16*P16/10000,0)</f>
        <v>0</v>
      </c>
      <c r="S16" s="2834"/>
      <c r="T16" s="2834"/>
      <c r="U16" s="2834"/>
      <c r="V16" s="2842"/>
    </row>
    <row r="17" spans="1:22" s="2846" customFormat="1" ht="13.15" customHeight="1" thickBot="1">
      <c r="A17" s="2903">
        <v>4</v>
      </c>
      <c r="B17" s="3747" t="s">
        <v>2382</v>
      </c>
      <c r="C17" s="3748"/>
      <c r="D17" s="2904">
        <f>ROUND(D6*E17,0)</f>
        <v>0</v>
      </c>
      <c r="E17" s="2905"/>
      <c r="F17" s="2906" t="s">
        <v>2383</v>
      </c>
      <c r="G17" s="2866"/>
      <c r="H17" s="2841"/>
      <c r="I17" s="2842"/>
      <c r="J17" s="3739"/>
      <c r="K17" s="3741"/>
      <c r="L17" s="2876" t="s">
        <v>2384</v>
      </c>
      <c r="M17" s="2877"/>
      <c r="N17" s="2877"/>
      <c r="O17" s="2878"/>
      <c r="P17" s="2879">
        <v>365</v>
      </c>
      <c r="Q17" s="2853"/>
      <c r="R17" s="2900">
        <f>ROUND(M17*N17*O17*P17/10000,0)</f>
        <v>0</v>
      </c>
      <c r="S17" s="2834"/>
      <c r="T17" s="2834"/>
      <c r="U17" s="2834"/>
      <c r="V17" s="2842"/>
    </row>
    <row r="18" spans="1:22" s="2846" customFormat="1" ht="13.15" customHeight="1" thickBot="1">
      <c r="A18" s="2869" t="s">
        <v>2385</v>
      </c>
      <c r="B18" s="2870"/>
      <c r="C18" s="2870"/>
      <c r="D18" s="2907">
        <f>ROUND(D6*E18,0)</f>
        <v>0</v>
      </c>
      <c r="E18" s="2908"/>
      <c r="F18" s="2909" t="s">
        <v>2386</v>
      </c>
      <c r="G18" s="2866"/>
      <c r="H18" s="2841"/>
      <c r="I18" s="2842"/>
      <c r="J18" s="3739"/>
      <c r="K18" s="3741"/>
      <c r="L18" s="2876" t="s">
        <v>2387</v>
      </c>
      <c r="M18" s="2877"/>
      <c r="N18" s="2877"/>
      <c r="O18" s="2878"/>
      <c r="P18" s="2879">
        <v>365</v>
      </c>
      <c r="Q18" s="2853"/>
      <c r="R18" s="2900">
        <f>ROUND(M18*N18*O18*P18/10000,0)</f>
        <v>0</v>
      </c>
      <c r="S18" s="2834"/>
      <c r="T18" s="2834"/>
      <c r="U18" s="2834"/>
      <c r="V18" s="2842"/>
    </row>
    <row r="19" spans="1:22" s="2846" customFormat="1" ht="13.15" customHeight="1" thickBot="1">
      <c r="A19" s="2910" t="s">
        <v>2388</v>
      </c>
      <c r="B19" s="2864"/>
      <c r="C19" s="2864"/>
      <c r="D19" s="2864"/>
      <c r="E19" s="2864"/>
      <c r="F19" s="2865"/>
      <c r="G19" s="2885"/>
      <c r="H19" s="2841"/>
      <c r="I19" s="2842"/>
      <c r="J19" s="3739"/>
      <c r="K19" s="3742"/>
      <c r="L19" s="2896" t="s">
        <v>2368</v>
      </c>
      <c r="M19" s="2897"/>
      <c r="N19" s="2897">
        <f>SUM(N16:N18)</f>
        <v>0</v>
      </c>
      <c r="O19" s="2898"/>
      <c r="P19" s="2911" t="s">
        <v>2432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9">
        <v>3</v>
      </c>
      <c r="K20" s="3740" t="s">
        <v>2389</v>
      </c>
      <c r="L20" s="2876" t="s">
        <v>2390</v>
      </c>
      <c r="M20" s="2877" t="s">
        <v>2391</v>
      </c>
      <c r="N20" s="2914" t="s">
        <v>2392</v>
      </c>
      <c r="O20" s="2878" t="s">
        <v>2393</v>
      </c>
      <c r="P20" s="2879" t="s">
        <v>2394</v>
      </c>
      <c r="Q20" s="2853" t="s">
        <v>2395</v>
      </c>
      <c r="R20" s="2900" t="s">
        <v>2396</v>
      </c>
      <c r="S20" s="2915"/>
      <c r="T20" s="2915"/>
      <c r="U20" s="2915"/>
      <c r="V20" s="2842"/>
    </row>
    <row r="21" spans="1:22" s="2846" customFormat="1" ht="13.15" customHeight="1">
      <c r="A21" s="2869"/>
      <c r="B21" s="2870"/>
      <c r="C21" s="2916" t="s">
        <v>2397</v>
      </c>
      <c r="D21" s="2917" t="s">
        <v>2398</v>
      </c>
      <c r="E21" s="2918" t="s">
        <v>2399</v>
      </c>
      <c r="F21" s="2913"/>
      <c r="G21" s="2885"/>
      <c r="H21" s="2841"/>
      <c r="I21" s="2842"/>
      <c r="J21" s="3739"/>
      <c r="K21" s="3741"/>
      <c r="L21" s="2876" t="s">
        <v>2400</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2401</v>
      </c>
      <c r="D22" s="2921" t="s">
        <v>2402</v>
      </c>
      <c r="E22" s="2922" t="s">
        <v>2403</v>
      </c>
      <c r="F22" s="2913"/>
      <c r="G22" s="2923"/>
      <c r="H22" s="2841"/>
      <c r="I22" s="2842"/>
      <c r="J22" s="3739"/>
      <c r="K22" s="3741"/>
      <c r="L22" s="2876" t="s">
        <v>2404</v>
      </c>
      <c r="M22" s="2877"/>
      <c r="N22" s="2877"/>
      <c r="O22" s="2878"/>
      <c r="P22" s="2879">
        <v>365</v>
      </c>
      <c r="Q22" s="2853"/>
      <c r="R22" s="2919">
        <f>ROUND(M22*N22*O22*P22/10000,0)</f>
        <v>0</v>
      </c>
      <c r="S22" s="2915"/>
      <c r="T22" s="2915"/>
      <c r="U22" s="2915"/>
      <c r="V22" s="2842"/>
    </row>
    <row r="23" spans="1:22" s="2846" customFormat="1" ht="13.15" customHeight="1">
      <c r="A23" s="2924">
        <v>1</v>
      </c>
      <c r="B23" s="2925" t="s">
        <v>2405</v>
      </c>
      <c r="C23" s="2926">
        <f>D6</f>
        <v>0</v>
      </c>
      <c r="D23" s="2927">
        <f>C23*(1+D24)</f>
        <v>0</v>
      </c>
      <c r="E23" s="2928">
        <f>D23*(1+E24)</f>
        <v>0</v>
      </c>
      <c r="F23" s="2929"/>
      <c r="G23" s="2930"/>
      <c r="H23" s="2841"/>
      <c r="I23" s="2842"/>
      <c r="J23" s="3739"/>
      <c r="K23" s="3741"/>
      <c r="L23" s="2876" t="s">
        <v>2406</v>
      </c>
      <c r="M23" s="2877"/>
      <c r="N23" s="2877"/>
      <c r="O23" s="2878"/>
      <c r="P23" s="2879">
        <v>365</v>
      </c>
      <c r="Q23" s="2853"/>
      <c r="R23" s="2919">
        <f>ROUND(M23*N23*O23*P23/10000,0)</f>
        <v>0</v>
      </c>
      <c r="S23" s="2834"/>
      <c r="T23" s="2834"/>
      <c r="U23" s="2834"/>
      <c r="V23" s="2842"/>
    </row>
    <row r="24" spans="1:22" s="2846" customFormat="1" ht="13.15" customHeight="1">
      <c r="A24" s="2931"/>
      <c r="B24" s="2932" t="s">
        <v>2407</v>
      </c>
      <c r="C24" s="2933"/>
      <c r="D24" s="2934"/>
      <c r="E24" s="2935"/>
      <c r="F24" s="2936"/>
      <c r="G24" s="2930"/>
      <c r="H24" s="2841"/>
      <c r="I24" s="2842"/>
      <c r="J24" s="3739"/>
      <c r="K24" s="3742"/>
      <c r="L24" s="2896" t="s">
        <v>2368</v>
      </c>
      <c r="M24" s="2897">
        <f>SUM(M21:M23)</f>
        <v>0</v>
      </c>
      <c r="N24" s="2897"/>
      <c r="O24" s="2898"/>
      <c r="P24" s="2911" t="s">
        <v>2432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2408</v>
      </c>
      <c r="L25" s="2939"/>
      <c r="M25" s="2939"/>
      <c r="N25" s="2939"/>
      <c r="O25" s="2939"/>
      <c r="P25" s="2940"/>
      <c r="Q25" s="2941">
        <v>0</v>
      </c>
      <c r="R25" s="2912">
        <f>ROUND(R14*Q25,0)</f>
        <v>0</v>
      </c>
      <c r="S25" s="2834"/>
      <c r="T25" s="2834"/>
      <c r="U25" s="2834"/>
      <c r="V25" s="2942"/>
    </row>
    <row r="26" spans="1:22" s="2943" customFormat="1" ht="13.15" customHeight="1">
      <c r="A26" s="2924">
        <v>2</v>
      </c>
      <c r="B26" s="2925" t="s">
        <v>2409</v>
      </c>
      <c r="C26" s="2926">
        <f>D7</f>
        <v>0</v>
      </c>
      <c r="D26" s="2927">
        <f>D23*D27</f>
        <v>0</v>
      </c>
      <c r="E26" s="2928">
        <f>E23*E27</f>
        <v>0</v>
      </c>
      <c r="F26" s="2929"/>
      <c r="G26" s="2930"/>
      <c r="H26" s="2841"/>
      <c r="I26" s="2842"/>
      <c r="J26" s="3749">
        <v>5</v>
      </c>
      <c r="K26" s="2944" t="s">
        <v>2410</v>
      </c>
      <c r="L26" s="2945"/>
      <c r="M26" s="2946"/>
      <c r="N26" s="2947" t="s">
        <v>2411</v>
      </c>
      <c r="O26" s="2947" t="s">
        <v>2412</v>
      </c>
      <c r="P26" s="2948" t="s">
        <v>2413</v>
      </c>
      <c r="Q26" s="2948" t="s">
        <v>2414</v>
      </c>
      <c r="R26" s="2851" t="s">
        <v>2339</v>
      </c>
      <c r="S26" s="2949"/>
      <c r="T26" s="2949"/>
      <c r="U26" s="2949"/>
      <c r="V26" s="2942"/>
    </row>
    <row r="27" spans="1:22" s="2846" customFormat="1" ht="13.15" customHeight="1">
      <c r="A27" s="2931"/>
      <c r="B27" s="2932" t="s">
        <v>2415</v>
      </c>
      <c r="C27" s="2950" t="e">
        <f>E7</f>
        <v>#DIV/0!</v>
      </c>
      <c r="D27" s="2934"/>
      <c r="E27" s="2935"/>
      <c r="F27" s="2936"/>
      <c r="G27" s="2930"/>
      <c r="H27" s="2951"/>
      <c r="I27" s="2942"/>
      <c r="J27" s="375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2416</v>
      </c>
      <c r="F28" s="2936"/>
      <c r="G28" s="2923"/>
      <c r="H28" s="2951"/>
      <c r="I28" s="2942"/>
      <c r="J28" s="2957">
        <v>6</v>
      </c>
      <c r="K28" s="2958" t="s">
        <v>2417</v>
      </c>
      <c r="L28" s="2959" t="s">
        <v>2418</v>
      </c>
      <c r="M28" s="2960"/>
      <c r="N28" s="2959" t="s">
        <v>2419</v>
      </c>
      <c r="O28" s="2961"/>
      <c r="P28" s="2959" t="s">
        <v>2420</v>
      </c>
      <c r="Q28" s="2962">
        <v>1.4999999999999999E-2</v>
      </c>
      <c r="R28" s="2963"/>
      <c r="S28" s="2915"/>
      <c r="T28" s="2915"/>
      <c r="U28" s="2915"/>
      <c r="V28" s="2942"/>
    </row>
    <row r="29" spans="1:22" s="2943" customFormat="1" ht="13.15" customHeight="1">
      <c r="A29" s="2924">
        <v>3</v>
      </c>
      <c r="B29" s="2925" t="s">
        <v>2421</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2415</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2422</v>
      </c>
      <c r="K31" s="2832"/>
      <c r="L31" s="2832"/>
      <c r="M31" s="2832"/>
      <c r="N31" s="2832"/>
      <c r="O31" s="2832"/>
      <c r="P31" s="2832"/>
      <c r="Q31" s="2832"/>
      <c r="R31" s="2833"/>
      <c r="S31" s="2915"/>
      <c r="T31" s="2834"/>
      <c r="U31" s="2834"/>
      <c r="V31" s="2942"/>
    </row>
    <row r="32" spans="1:22" s="2943" customFormat="1" ht="13.15" customHeight="1">
      <c r="A32" s="2924">
        <v>4</v>
      </c>
      <c r="B32" s="2925" t="s">
        <v>2423</v>
      </c>
      <c r="C32" s="2926">
        <f>C23-C26-C29</f>
        <v>0</v>
      </c>
      <c r="D32" s="2927">
        <f>D23-D26-D29</f>
        <v>0</v>
      </c>
      <c r="E32" s="2928">
        <f>E23-E26-E29</f>
        <v>0</v>
      </c>
      <c r="F32" s="2929"/>
      <c r="G32" s="2923"/>
      <c r="H32" s="2841"/>
      <c r="I32" s="2842"/>
      <c r="J32" s="3732" t="s">
        <v>2315</v>
      </c>
      <c r="K32" s="3733"/>
      <c r="L32" s="2843" t="s">
        <v>2316</v>
      </c>
      <c r="M32" s="2843" t="s">
        <v>2317</v>
      </c>
      <c r="N32" s="2843" t="s">
        <v>2318</v>
      </c>
      <c r="O32" s="2843" t="s">
        <v>2319</v>
      </c>
      <c r="P32" s="2843" t="s">
        <v>2320</v>
      </c>
      <c r="Q32" s="2844" t="s">
        <v>2321</v>
      </c>
      <c r="R32" s="2966" t="s">
        <v>2322</v>
      </c>
      <c r="S32" s="2915"/>
      <c r="T32" s="2834"/>
      <c r="U32" s="2834"/>
      <c r="V32" s="2942"/>
    </row>
    <row r="33" spans="1:23" s="2846" customFormat="1" ht="13.15" customHeight="1">
      <c r="A33" s="2924"/>
      <c r="B33" s="2925"/>
      <c r="C33" s="2926"/>
      <c r="D33" s="2967"/>
      <c r="E33" s="2968"/>
      <c r="F33" s="2929"/>
      <c r="G33" s="2923"/>
      <c r="H33" s="2951"/>
      <c r="I33" s="2942"/>
      <c r="J33" s="3734" t="s">
        <v>2325</v>
      </c>
      <c r="K33" s="3735"/>
      <c r="L33" s="2849"/>
      <c r="M33" s="2849"/>
      <c r="N33" s="2849"/>
      <c r="O33" s="2849"/>
      <c r="P33" s="2849"/>
      <c r="Q33" s="2850"/>
      <c r="R33" s="2969">
        <f>SUM(L33:Q33)</f>
        <v>0</v>
      </c>
      <c r="S33" s="2915"/>
      <c r="T33" s="2834"/>
      <c r="U33" s="2834"/>
      <c r="V33" s="2842"/>
    </row>
    <row r="34" spans="1:23" s="2846" customFormat="1" ht="13.15" customHeight="1">
      <c r="A34" s="2924">
        <v>5</v>
      </c>
      <c r="B34" s="2925" t="s">
        <v>2424</v>
      </c>
      <c r="C34" s="2970"/>
      <c r="D34" s="2971"/>
      <c r="E34" s="2972"/>
      <c r="F34" s="2929"/>
      <c r="G34" s="2923"/>
      <c r="H34" s="2951"/>
      <c r="I34" s="2942"/>
      <c r="J34" s="3734" t="s">
        <v>2327</v>
      </c>
      <c r="K34" s="373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2425</v>
      </c>
      <c r="C35" s="2974"/>
      <c r="D35" s="2975"/>
      <c r="E35" s="2976"/>
      <c r="F35" s="2929"/>
      <c r="G35" s="2977"/>
      <c r="H35" s="2841"/>
      <c r="I35" s="2942"/>
      <c r="J35" s="2860" t="s">
        <v>2329</v>
      </c>
      <c r="K35" s="2861"/>
      <c r="L35" s="2861"/>
      <c r="M35" s="2862"/>
      <c r="N35" s="2862"/>
      <c r="O35" s="2862"/>
      <c r="P35" s="2862"/>
      <c r="Q35" s="2862"/>
      <c r="R35" s="2978">
        <f>R40+R41+R43</f>
        <v>0</v>
      </c>
      <c r="S35" s="2915"/>
      <c r="T35" s="2834" t="s">
        <v>2330</v>
      </c>
      <c r="U35" s="2834"/>
      <c r="V35" s="2842"/>
    </row>
    <row r="36" spans="1:23" s="2846" customFormat="1" ht="13.15" customHeight="1" thickBot="1">
      <c r="A36" s="2924">
        <v>7</v>
      </c>
      <c r="B36" s="2979" t="s">
        <v>2426</v>
      </c>
      <c r="C36" s="2980"/>
      <c r="D36" s="2981"/>
      <c r="E36" s="2982"/>
      <c r="F36" s="2983">
        <f>C36+D36+E36</f>
        <v>0</v>
      </c>
      <c r="G36" s="2923"/>
      <c r="H36" s="2841"/>
      <c r="I36" s="2842"/>
      <c r="J36" s="3739">
        <v>1</v>
      </c>
      <c r="K36" s="3740" t="s">
        <v>2427</v>
      </c>
      <c r="L36" s="2867"/>
      <c r="M36" s="2868"/>
      <c r="N36" s="2868"/>
      <c r="O36" s="2868"/>
      <c r="P36" s="2868"/>
      <c r="Q36" s="2868"/>
      <c r="R36" s="2851" t="s">
        <v>2339</v>
      </c>
      <c r="S36" s="2915"/>
      <c r="T36" s="2834" t="s">
        <v>2340</v>
      </c>
      <c r="U36" s="2834"/>
      <c r="V36" s="2842"/>
    </row>
    <row r="37" spans="1:23" s="2846" customFormat="1" ht="13.15" customHeight="1">
      <c r="A37" s="2924"/>
      <c r="B37" s="2925"/>
      <c r="C37" s="2925"/>
      <c r="D37" s="2925"/>
      <c r="E37" s="2925"/>
      <c r="F37" s="2929"/>
      <c r="G37" s="2923"/>
      <c r="H37" s="2841"/>
      <c r="I37" s="2842"/>
      <c r="J37" s="3739"/>
      <c r="K37" s="3741"/>
      <c r="L37" s="2876"/>
      <c r="M37" s="2877"/>
      <c r="N37" s="2853"/>
      <c r="O37" s="2878"/>
      <c r="P37" s="2878"/>
      <c r="Q37" s="2879"/>
      <c r="R37" s="2880"/>
      <c r="S37" s="2915"/>
      <c r="T37" s="2834" t="s">
        <v>2343</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9"/>
      <c r="K38" s="3741"/>
      <c r="L38" s="2876"/>
      <c r="M38" s="2877"/>
      <c r="N38" s="2853"/>
      <c r="O38" s="2878"/>
      <c r="P38" s="2878"/>
      <c r="Q38" s="2879"/>
      <c r="R38" s="2880"/>
      <c r="S38" s="2915"/>
      <c r="T38" s="2834" t="s">
        <v>2350</v>
      </c>
      <c r="U38" s="2834"/>
      <c r="V38" s="2842"/>
    </row>
    <row r="39" spans="1:23" s="2846" customFormat="1" ht="13.15" customHeight="1">
      <c r="A39" s="2924">
        <v>9</v>
      </c>
      <c r="B39" s="2925" t="s">
        <v>2428</v>
      </c>
      <c r="C39" s="2890" t="e">
        <f>C38</f>
        <v>#DIV/0!</v>
      </c>
      <c r="D39" s="2925">
        <f>D38/(1+D34)^C36</f>
        <v>0</v>
      </c>
      <c r="E39" s="2925">
        <f>E38/(1+E34)^(C36+D36)</f>
        <v>0</v>
      </c>
      <c r="F39" s="2929"/>
      <c r="G39" s="2984"/>
      <c r="H39" s="2841"/>
      <c r="I39" s="2842"/>
      <c r="J39" s="3739"/>
      <c r="K39" s="3741"/>
      <c r="L39" s="2876"/>
      <c r="M39" s="2877"/>
      <c r="N39" s="2853"/>
      <c r="O39" s="2878"/>
      <c r="P39" s="2878"/>
      <c r="Q39" s="2879"/>
      <c r="R39" s="2880"/>
      <c r="S39" s="2915"/>
      <c r="T39" s="2834"/>
      <c r="U39" s="2834"/>
      <c r="V39" s="2842"/>
    </row>
    <row r="40" spans="1:23" s="2846" customFormat="1" ht="13.15" customHeight="1">
      <c r="A40" s="2985">
        <v>10</v>
      </c>
      <c r="B40" s="2925" t="s">
        <v>2429</v>
      </c>
      <c r="C40" s="2986" t="e">
        <f>C39+D39+E39</f>
        <v>#DIV/0!</v>
      </c>
      <c r="D40" s="2987"/>
      <c r="E40" s="2987"/>
      <c r="F40" s="2988"/>
      <c r="G40" s="2923"/>
      <c r="H40" s="2841"/>
      <c r="I40" s="2842"/>
      <c r="J40" s="3739"/>
      <c r="K40" s="3742"/>
      <c r="L40" s="2896" t="s">
        <v>2368</v>
      </c>
      <c r="M40" s="2897"/>
      <c r="N40" s="2897"/>
      <c r="O40" s="2898"/>
      <c r="P40" s="2898"/>
      <c r="Q40" s="2899"/>
      <c r="R40" s="2845">
        <f>SUM(R37:R39)</f>
        <v>0</v>
      </c>
      <c r="S40" s="2915"/>
      <c r="T40" s="2834"/>
      <c r="U40" s="2834"/>
      <c r="V40" s="2842"/>
    </row>
    <row r="41" spans="1:23" s="2846" customFormat="1" ht="13.15" customHeight="1" thickBot="1">
      <c r="A41" s="2989">
        <v>11</v>
      </c>
      <c r="B41" s="2990" t="s">
        <v>2430</v>
      </c>
      <c r="C41" s="2990" t="e">
        <f>ROUND(C40*10000/B4,0)</f>
        <v>#DIV/0!</v>
      </c>
      <c r="D41" s="2991"/>
      <c r="E41" s="2991"/>
      <c r="F41" s="2992"/>
      <c r="G41" s="2993"/>
      <c r="H41" s="2841"/>
      <c r="I41" s="2842"/>
      <c r="J41" s="2937">
        <v>2</v>
      </c>
      <c r="K41" s="2938" t="s">
        <v>2408</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9">
        <v>3</v>
      </c>
      <c r="K42" s="2944" t="s">
        <v>2410</v>
      </c>
      <c r="L42" s="2945"/>
      <c r="M42" s="2946"/>
      <c r="N42" s="2947" t="s">
        <v>2411</v>
      </c>
      <c r="O42" s="2947" t="s">
        <v>2412</v>
      </c>
      <c r="P42" s="2948" t="s">
        <v>2413</v>
      </c>
      <c r="Q42" s="2948" t="s">
        <v>2414</v>
      </c>
      <c r="R42" s="2851" t="s">
        <v>2339</v>
      </c>
      <c r="S42" s="2949"/>
      <c r="T42" s="2949"/>
      <c r="U42" s="2834"/>
      <c r="V42" s="2842"/>
    </row>
    <row r="43" spans="1:23" ht="13.15" customHeight="1">
      <c r="A43" s="2846"/>
      <c r="B43" s="2846"/>
      <c r="C43" s="2846"/>
      <c r="D43" s="2846"/>
      <c r="E43" s="2846"/>
      <c r="F43" s="2846"/>
      <c r="I43" s="2829"/>
      <c r="J43" s="375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2417</v>
      </c>
      <c r="L44" s="2997" t="s">
        <v>2418</v>
      </c>
      <c r="M44" s="2960"/>
      <c r="N44" s="2997" t="s">
        <v>2419</v>
      </c>
      <c r="O44" s="2960"/>
      <c r="P44" s="2997" t="s">
        <v>2420</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1653</v>
      </c>
      <c r="B1" s="1864"/>
      <c r="C1" s="1864"/>
      <c r="D1" s="1864"/>
      <c r="E1" s="1865"/>
      <c r="F1" s="2700"/>
      <c r="G1" s="1485"/>
      <c r="H1" s="1485"/>
      <c r="I1" s="1485"/>
      <c r="J1" s="1485"/>
      <c r="K1" s="1485"/>
      <c r="L1" s="1485"/>
      <c r="M1" s="1485"/>
      <c r="N1" s="1485"/>
      <c r="O1" s="1485"/>
      <c r="P1" s="1485"/>
      <c r="Q1" s="1485"/>
      <c r="R1" s="1485"/>
      <c r="S1" s="1485"/>
    </row>
    <row r="2" spans="1:22" ht="15.75">
      <c r="A2" s="1866" t="s">
        <v>1457</v>
      </c>
      <c r="B2" s="1867">
        <f ca="1">SUMIF(B6:B13,"&lt;&gt;#ref!",B6:B13)</f>
        <v>1381.5426</v>
      </c>
      <c r="C2" s="1868" t="s">
        <v>1646</v>
      </c>
      <c r="D2" s="1869" t="s">
        <v>1647</v>
      </c>
      <c r="E2" s="2601">
        <f>SUM(E6:E13)</f>
        <v>680.04</v>
      </c>
      <c r="F2" s="2700"/>
      <c r="G2" s="1485"/>
      <c r="H2" s="1485"/>
      <c r="I2" s="1485"/>
      <c r="J2" s="1485"/>
      <c r="K2" s="1485"/>
      <c r="L2" s="1485"/>
      <c r="M2" s="1485"/>
      <c r="N2" s="1485"/>
      <c r="O2" s="1485"/>
      <c r="P2" s="1485"/>
      <c r="Q2" s="1485"/>
      <c r="R2" s="1485"/>
      <c r="S2" s="1485"/>
    </row>
    <row r="3" spans="1:22" ht="15.75">
      <c r="A3" s="1866" t="s">
        <v>682</v>
      </c>
      <c r="B3" s="2595">
        <f ca="1">ROUND(B2*10000/E2,0)</f>
        <v>20316</v>
      </c>
      <c r="C3" s="1868" t="s">
        <v>1654</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7" t="s">
        <v>1648</v>
      </c>
      <c r="B5" s="3751" t="s">
        <v>1649</v>
      </c>
      <c r="C5" s="3752"/>
      <c r="D5" s="2701"/>
      <c r="E5" s="1870" t="s">
        <v>1650</v>
      </c>
      <c r="F5" s="1871" t="s">
        <v>1651</v>
      </c>
      <c r="G5" s="1485"/>
      <c r="H5" s="1485"/>
      <c r="I5" s="1485"/>
      <c r="J5" s="1485"/>
      <c r="K5" s="1485"/>
      <c r="L5" s="1485"/>
      <c r="M5" s="1485"/>
      <c r="N5" s="1485"/>
      <c r="O5" s="1485"/>
      <c r="P5" s="1485"/>
      <c r="Q5" s="1485"/>
      <c r="R5" s="1485"/>
      <c r="S5" s="1485"/>
    </row>
    <row r="6" spans="1:22">
      <c r="A6" s="2598" t="str">
        <f>'数据-取费表'!AN6</f>
        <v>收益法501</v>
      </c>
      <c r="B6" s="2596">
        <f ca="1">IF(F6="是",'数据-取费表'!AO6,0)</f>
        <v>443.40690000000001</v>
      </c>
      <c r="C6" s="1868" t="s">
        <v>1646</v>
      </c>
      <c r="D6" s="2702"/>
      <c r="E6" s="2600">
        <f>IF(OR(A6=0,F6="否"),0,'数据-取费表'!K6+'数据-取费表'!S6)</f>
        <v>218.26</v>
      </c>
      <c r="F6" s="1872" t="s">
        <v>1652</v>
      </c>
      <c r="G6" s="1485"/>
      <c r="H6" s="1485"/>
      <c r="I6" s="1485"/>
      <c r="J6" s="1485"/>
      <c r="K6" s="1485"/>
      <c r="L6" s="1485"/>
      <c r="M6" s="1485"/>
      <c r="N6" s="1485"/>
      <c r="O6" s="1485"/>
      <c r="P6" s="1485"/>
      <c r="Q6" s="1485"/>
      <c r="R6" s="1485"/>
      <c r="S6" s="1485"/>
    </row>
    <row r="7" spans="1:22">
      <c r="A7" s="2598" t="str">
        <f>'数据-取费表'!AN7</f>
        <v>收益法502</v>
      </c>
      <c r="B7" s="2596">
        <f ca="1">IF(F7="是",'数据-取费表'!AO7,0)</f>
        <v>234.2998</v>
      </c>
      <c r="C7" s="1868" t="s">
        <v>1646</v>
      </c>
      <c r="D7" s="2702"/>
      <c r="E7" s="2600">
        <f>IF(OR(A7=0,F7="否"),0,'数据-取费表'!K7+'数据-取费表'!S7)</f>
        <v>115.33</v>
      </c>
      <c r="F7" s="1872" t="s">
        <v>1652</v>
      </c>
      <c r="G7" s="1485"/>
      <c r="H7" s="1485"/>
      <c r="I7" s="1485"/>
      <c r="J7" s="1485"/>
      <c r="K7" s="1485"/>
      <c r="L7" s="1485"/>
      <c r="M7" s="1485"/>
      <c r="N7" s="1485"/>
      <c r="O7" s="1485"/>
      <c r="P7" s="1485"/>
      <c r="Q7" s="1485"/>
      <c r="R7" s="1485"/>
      <c r="S7" s="1485"/>
    </row>
    <row r="8" spans="1:22">
      <c r="A8" s="2598" t="str">
        <f>'数据-取费表'!AN8</f>
        <v>收益法503</v>
      </c>
      <c r="B8" s="2596">
        <f ca="1">IF(F8="是",'数据-取费表'!AO8,0)</f>
        <v>703.83590000000004</v>
      </c>
      <c r="C8" s="1868" t="s">
        <v>1646</v>
      </c>
      <c r="D8" s="2702"/>
      <c r="E8" s="2600">
        <f>IF(OR(A8=0,F8="否"),0,'数据-取费表'!K8+'数据-取费表'!S8)</f>
        <v>346.45</v>
      </c>
      <c r="F8" s="1872" t="s">
        <v>1652</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1646</v>
      </c>
      <c r="D9" s="2702"/>
      <c r="E9" s="2600">
        <f>IF(OR(A9=0,F9="否"),0,'数据-取费表'!K9+'数据-取费表'!S9)</f>
        <v>0</v>
      </c>
      <c r="F9" s="1872" t="s">
        <v>1652</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1646</v>
      </c>
      <c r="D10" s="2702"/>
      <c r="E10" s="2600">
        <f>IF(OR(A10=0,F10="否"),0,'数据-取费表'!K10+'数据-取费表'!S10)</f>
        <v>0</v>
      </c>
      <c r="F10" s="1872" t="s">
        <v>1652</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1646</v>
      </c>
      <c r="D11" s="2702"/>
      <c r="E11" s="2600">
        <f>IF(OR(A11=0,F11="否"),0,'数据-取费表'!K11+'数据-取费表'!S11)</f>
        <v>0</v>
      </c>
      <c r="F11" s="1872" t="s">
        <v>1652</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1646</v>
      </c>
      <c r="D12" s="2702"/>
      <c r="E12" s="2600">
        <f>IF(OR(A12=0,F12="否"),0,'数据-取费表'!K12+'数据-取费表'!S12)</f>
        <v>0</v>
      </c>
      <c r="F12" s="1872" t="s">
        <v>1652</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1646</v>
      </c>
      <c r="D13" s="2703"/>
      <c r="E13" s="2600">
        <f>IF(OR(A13=0,F13="否"),0,'数据-取费表'!K13+'数据-取费表'!S13)</f>
        <v>0</v>
      </c>
      <c r="F13" s="1872" t="s">
        <v>1652</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874" t="s">
        <v>1656</v>
      </c>
      <c r="C1" s="1234" t="s">
        <v>1657</v>
      </c>
      <c r="D1" s="1221"/>
      <c r="E1" s="3419"/>
      <c r="F1" s="1875"/>
      <c r="G1" s="1231" t="s">
        <v>1658</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681</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1659</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682</v>
      </c>
      <c r="B3" s="353">
        <f>IF(C2="——",C49,ROUND(B2*10000/D3,0))</f>
        <v>0</v>
      </c>
      <c r="C3" s="354" t="s">
        <v>1660</v>
      </c>
      <c r="D3" s="353">
        <f>IF(D1="",'数据-汇总表'!E3,SUMIF('数据-汇总表'!$C19:$C33,D1,'数据-汇总表'!$E19:$E33))</f>
        <v>680.04</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1661</v>
      </c>
      <c r="B4" s="356"/>
      <c r="C4" s="3686" t="s">
        <v>1662</v>
      </c>
      <c r="D4" s="3687"/>
      <c r="E4" s="3688" t="s">
        <v>1663</v>
      </c>
      <c r="F4" s="3689"/>
      <c r="G4" s="3686" t="s">
        <v>1664</v>
      </c>
      <c r="H4" s="3687"/>
      <c r="I4" s="3686" t="s">
        <v>1665</v>
      </c>
      <c r="J4" s="3687"/>
      <c r="K4" s="1885" t="s">
        <v>1666</v>
      </c>
      <c r="L4" s="2708"/>
      <c r="M4" s="2709"/>
      <c r="N4" s="2709"/>
      <c r="O4" s="2709"/>
      <c r="P4" s="3759" t="s">
        <v>1667</v>
      </c>
      <c r="Q4" s="3760"/>
      <c r="R4" s="3754" t="s">
        <v>1663</v>
      </c>
      <c r="S4" s="3755"/>
      <c r="T4" s="3754" t="s">
        <v>1664</v>
      </c>
      <c r="U4" s="3755"/>
      <c r="V4" s="3709" t="s">
        <v>1665</v>
      </c>
      <c r="W4" s="3709"/>
      <c r="X4" s="1351"/>
      <c r="Y4" s="3754" t="s">
        <v>1667</v>
      </c>
      <c r="Z4" s="3755"/>
      <c r="AA4" s="3753" t="s">
        <v>1663</v>
      </c>
      <c r="AB4" s="3753" t="s">
        <v>1664</v>
      </c>
      <c r="AC4" s="3753" t="s">
        <v>1665</v>
      </c>
    </row>
    <row r="5" spans="1:29" ht="15">
      <c r="A5" s="358"/>
      <c r="B5" s="359"/>
      <c r="C5" s="3758" t="s">
        <v>1668</v>
      </c>
      <c r="D5" s="3701"/>
      <c r="E5" s="3756" t="s">
        <v>1669</v>
      </c>
      <c r="F5" s="3757"/>
      <c r="G5" s="3758" t="s">
        <v>1670</v>
      </c>
      <c r="H5" s="3701"/>
      <c r="I5" s="3758" t="s">
        <v>1671</v>
      </c>
      <c r="J5" s="3701"/>
      <c r="K5" s="1886"/>
      <c r="L5" s="2708"/>
      <c r="M5" s="2709"/>
      <c r="N5" s="2709"/>
      <c r="O5" s="2709"/>
      <c r="P5" s="3761"/>
      <c r="Q5" s="3693"/>
      <c r="R5" s="3698"/>
      <c r="S5" s="3699"/>
      <c r="T5" s="3698"/>
      <c r="U5" s="3699"/>
      <c r="V5" s="3709"/>
      <c r="W5" s="3709"/>
      <c r="X5" s="1351"/>
      <c r="Y5" s="3698"/>
      <c r="Z5" s="3699"/>
      <c r="AA5" s="3711"/>
      <c r="AB5" s="3711"/>
      <c r="AC5" s="3711"/>
    </row>
    <row r="6" spans="1:29" ht="15.75" thickBot="1">
      <c r="A6" s="360"/>
      <c r="B6" s="361"/>
      <c r="C6" s="3702" t="s">
        <v>1672</v>
      </c>
      <c r="D6" s="3703"/>
      <c r="E6" s="3704" t="s">
        <v>1672</v>
      </c>
      <c r="F6" s="3705"/>
      <c r="G6" s="3702" t="s">
        <v>1672</v>
      </c>
      <c r="H6" s="3703"/>
      <c r="I6" s="3702" t="s">
        <v>1672</v>
      </c>
      <c r="J6" s="3703"/>
      <c r="K6" s="1886" t="s">
        <v>1673</v>
      </c>
      <c r="L6" s="2708"/>
      <c r="M6" s="2709"/>
      <c r="N6" s="2709"/>
      <c r="O6" s="2709"/>
      <c r="P6" s="3762"/>
      <c r="Q6" s="3695"/>
      <c r="R6" s="3698"/>
      <c r="S6" s="3699"/>
      <c r="T6" s="3706"/>
      <c r="U6" s="3707"/>
      <c r="V6" s="3709"/>
      <c r="W6" s="3709"/>
      <c r="X6" s="1351"/>
      <c r="Y6" s="3706"/>
      <c r="Z6" s="3707"/>
      <c r="AA6" s="3712"/>
      <c r="AB6" s="3712"/>
      <c r="AC6" s="3712"/>
    </row>
    <row r="7" spans="1:29" s="108" customFormat="1" ht="15.75" thickBot="1">
      <c r="A7" s="362" t="s">
        <v>1674</v>
      </c>
      <c r="B7" s="363"/>
      <c r="C7" s="364">
        <f>'数据-取费表'!B2</f>
        <v>45034</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16" t="s">
        <v>1675</v>
      </c>
      <c r="Q7" s="3714"/>
      <c r="R7" s="701" t="s">
        <v>20</v>
      </c>
      <c r="S7" s="702">
        <f t="shared" ref="S7:S15" si="0">F7</f>
        <v>0</v>
      </c>
      <c r="T7" s="701" t="s">
        <v>20</v>
      </c>
      <c r="U7" s="702">
        <f t="shared" ref="U7:U15" si="1">H7</f>
        <v>0</v>
      </c>
      <c r="V7" s="701" t="s">
        <v>20</v>
      </c>
      <c r="W7" s="702">
        <f t="shared" ref="W7:W15" si="2">J7</f>
        <v>0</v>
      </c>
      <c r="X7" s="703"/>
      <c r="Y7" s="3716" t="s">
        <v>1675</v>
      </c>
      <c r="Z7" s="3715"/>
      <c r="AA7" s="704" t="e">
        <f>D7/F7</f>
        <v>#DIV/0!</v>
      </c>
      <c r="AB7" s="704" t="e">
        <f>D7/H7</f>
        <v>#DIV/0!</v>
      </c>
      <c r="AC7" s="704" t="e">
        <f>D7/J7</f>
        <v>#DIV/0!</v>
      </c>
    </row>
    <row r="8" spans="1:29" s="108" customFormat="1" ht="15.75" thickBot="1">
      <c r="A8" s="362" t="s">
        <v>1676</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16" t="s">
        <v>1678</v>
      </c>
      <c r="Q8" s="3715"/>
      <c r="R8" s="701" t="s">
        <v>20</v>
      </c>
      <c r="S8" s="702">
        <f t="shared" si="0"/>
        <v>100</v>
      </c>
      <c r="T8" s="701" t="s">
        <v>20</v>
      </c>
      <c r="U8" s="702">
        <f t="shared" si="1"/>
        <v>100</v>
      </c>
      <c r="V8" s="701" t="s">
        <v>20</v>
      </c>
      <c r="W8" s="702">
        <f t="shared" si="2"/>
        <v>100</v>
      </c>
      <c r="X8" s="703"/>
      <c r="Y8" s="3716" t="s">
        <v>1678</v>
      </c>
      <c r="Z8" s="3715"/>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717" t="s">
        <v>1681</v>
      </c>
      <c r="Q9" s="1339" t="str">
        <f t="shared" ref="Q9:Q15" si="6">B9</f>
        <v>用途</v>
      </c>
      <c r="R9" s="701" t="s">
        <v>14</v>
      </c>
      <c r="S9" s="702">
        <f t="shared" si="0"/>
        <v>100</v>
      </c>
      <c r="T9" s="701" t="s">
        <v>14</v>
      </c>
      <c r="U9" s="702">
        <f t="shared" si="1"/>
        <v>100</v>
      </c>
      <c r="V9" s="701" t="s">
        <v>14</v>
      </c>
      <c r="W9" s="702">
        <f t="shared" si="2"/>
        <v>100</v>
      </c>
      <c r="X9" s="703"/>
      <c r="Y9" s="3651" t="s">
        <v>1682</v>
      </c>
      <c r="Z9" s="52" t="str">
        <f t="shared" ref="Z9:Z15" si="7">Q9</f>
        <v>用途</v>
      </c>
      <c r="AA9" s="704">
        <f t="shared" si="3"/>
        <v>1</v>
      </c>
      <c r="AB9" s="704">
        <f t="shared" si="4"/>
        <v>1</v>
      </c>
      <c r="AC9" s="704">
        <f t="shared" si="5"/>
        <v>1</v>
      </c>
    </row>
    <row r="10" spans="1:29" s="378" customFormat="1" ht="27">
      <c r="A10" s="374"/>
      <c r="B10" s="375" t="s">
        <v>1683</v>
      </c>
      <c r="C10" s="3426"/>
      <c r="D10" s="127">
        <v>100</v>
      </c>
      <c r="E10" s="3427"/>
      <c r="F10" s="376">
        <f>SUMIF(65:65,E10,66:66)-SUMIF(65:65,C10,66:66)+100</f>
        <v>100</v>
      </c>
      <c r="G10" s="3426"/>
      <c r="H10" s="127">
        <f>SUMIF(65:65,G10,66:66)-SUMIF(65:65,C10,66:66)+100</f>
        <v>100</v>
      </c>
      <c r="I10" s="3426"/>
      <c r="J10" s="127">
        <f>SUMIF(65:65,I10,66:66)-SUMIF(65:65,C10,66:66)+100</f>
        <v>100</v>
      </c>
      <c r="K10" s="1887"/>
      <c r="L10" s="2712"/>
      <c r="M10" s="2713"/>
      <c r="N10" s="2713"/>
      <c r="O10" s="2713"/>
      <c r="P10" s="3717"/>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7"/>
      <c r="Q11" s="1339"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717"/>
      <c r="Q12" s="1339">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717"/>
      <c r="Q13" s="1339">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717"/>
      <c r="Q14" s="1339">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85.5">
      <c r="A15" s="391" t="s">
        <v>1685</v>
      </c>
      <c r="B15" s="61" t="s">
        <v>1252</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8" t="s">
        <v>1686</v>
      </c>
      <c r="Q15" s="1348" t="str">
        <f t="shared" si="6"/>
        <v>居住社区成熟度</v>
      </c>
      <c r="R15" s="705" t="s">
        <v>18</v>
      </c>
      <c r="S15" s="706">
        <f t="shared" si="0"/>
        <v>100</v>
      </c>
      <c r="T15" s="705" t="s">
        <v>18</v>
      </c>
      <c r="U15" s="706">
        <f t="shared" si="1"/>
        <v>100</v>
      </c>
      <c r="V15" s="705" t="s">
        <v>18</v>
      </c>
      <c r="W15" s="706">
        <f t="shared" si="2"/>
        <v>100</v>
      </c>
      <c r="X15" s="1351"/>
      <c r="Y15" s="3720" t="s">
        <v>1686</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9"/>
      <c r="Q16" s="1348"/>
      <c r="R16" s="705"/>
      <c r="S16" s="706"/>
      <c r="T16" s="705"/>
      <c r="U16" s="706"/>
      <c r="V16" s="705"/>
      <c r="W16" s="706"/>
      <c r="X16" s="1351"/>
      <c r="Y16" s="3721"/>
      <c r="Z16" s="1352"/>
      <c r="AA16" s="1349">
        <v>1</v>
      </c>
      <c r="AB16" s="1349">
        <v>1</v>
      </c>
      <c r="AC16" s="1349">
        <v>1</v>
      </c>
    </row>
    <row r="17" spans="1:29" ht="71.25">
      <c r="A17" s="379"/>
      <c r="B17" s="402" t="s">
        <v>1254</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9"/>
      <c r="Q17" s="1348" t="str">
        <f>B17</f>
        <v>交通便捷度</v>
      </c>
      <c r="R17" s="705" t="s">
        <v>18</v>
      </c>
      <c r="S17" s="706">
        <f>F17</f>
        <v>100</v>
      </c>
      <c r="T17" s="705" t="s">
        <v>18</v>
      </c>
      <c r="U17" s="706">
        <f>H17</f>
        <v>100</v>
      </c>
      <c r="V17" s="705" t="s">
        <v>18</v>
      </c>
      <c r="W17" s="706">
        <f>J17</f>
        <v>100</v>
      </c>
      <c r="X17" s="1351"/>
      <c r="Y17" s="372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9"/>
      <c r="Q18" s="1348"/>
      <c r="R18" s="705"/>
      <c r="S18" s="706"/>
      <c r="T18" s="705"/>
      <c r="U18" s="706"/>
      <c r="V18" s="705"/>
      <c r="W18" s="706"/>
      <c r="X18" s="1351"/>
      <c r="Y18" s="3721"/>
      <c r="Z18" s="1352"/>
      <c r="AA18" s="1349">
        <v>1</v>
      </c>
      <c r="AB18" s="1349">
        <v>1</v>
      </c>
      <c r="AC18" s="1349">
        <v>1</v>
      </c>
    </row>
    <row r="19" spans="1:29" ht="42.75">
      <c r="A19" s="379"/>
      <c r="B19" s="402" t="s">
        <v>1253</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9"/>
      <c r="Q19" s="1348" t="str">
        <f>B19</f>
        <v>公共配套设施</v>
      </c>
      <c r="R19" s="705" t="s">
        <v>18</v>
      </c>
      <c r="S19" s="706">
        <f>F19</f>
        <v>100</v>
      </c>
      <c r="T19" s="705" t="s">
        <v>18</v>
      </c>
      <c r="U19" s="706">
        <f>H19</f>
        <v>100</v>
      </c>
      <c r="V19" s="705" t="s">
        <v>18</v>
      </c>
      <c r="W19" s="706">
        <f>J19</f>
        <v>100</v>
      </c>
      <c r="X19" s="1351"/>
      <c r="Y19" s="372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9"/>
      <c r="Q20" s="1348"/>
      <c r="R20" s="705"/>
      <c r="S20" s="706"/>
      <c r="T20" s="705"/>
      <c r="U20" s="706"/>
      <c r="V20" s="705"/>
      <c r="W20" s="706"/>
      <c r="X20" s="1351"/>
      <c r="Y20" s="3721"/>
      <c r="Z20" s="1352"/>
      <c r="AA20" s="1349">
        <v>1</v>
      </c>
      <c r="AB20" s="1349">
        <v>1</v>
      </c>
      <c r="AC20" s="1349">
        <v>1</v>
      </c>
    </row>
    <row r="21" spans="1:29" ht="28.5">
      <c r="A21" s="379"/>
      <c r="B21" s="1127" t="s">
        <v>1255</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9"/>
      <c r="Q21" s="1348" t="str">
        <f>B21</f>
        <v>基础设施水平</v>
      </c>
      <c r="R21" s="705" t="s">
        <v>14</v>
      </c>
      <c r="S21" s="706">
        <f>F21</f>
        <v>100</v>
      </c>
      <c r="T21" s="705" t="s">
        <v>14</v>
      </c>
      <c r="U21" s="706">
        <f>H21</f>
        <v>100</v>
      </c>
      <c r="V21" s="705" t="s">
        <v>14</v>
      </c>
      <c r="W21" s="706">
        <f>J21</f>
        <v>100</v>
      </c>
      <c r="X21" s="1351"/>
      <c r="Y21" s="372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9"/>
      <c r="Q22" s="1348"/>
      <c r="R22" s="705"/>
      <c r="S22" s="706"/>
      <c r="T22" s="705"/>
      <c r="U22" s="706"/>
      <c r="V22" s="705"/>
      <c r="W22" s="706"/>
      <c r="X22" s="1351"/>
      <c r="Y22" s="3721"/>
      <c r="Z22" s="1352"/>
      <c r="AA22" s="1349">
        <v>1</v>
      </c>
      <c r="AB22" s="1349">
        <v>1</v>
      </c>
      <c r="AC22" s="1349">
        <v>1</v>
      </c>
    </row>
    <row r="23" spans="1:29" ht="42.75">
      <c r="A23" s="379"/>
      <c r="B23" s="402" t="s">
        <v>1256</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9"/>
      <c r="Q23" s="1348" t="str">
        <f>B23</f>
        <v>自然及人文环境</v>
      </c>
      <c r="R23" s="705" t="s">
        <v>18</v>
      </c>
      <c r="S23" s="706">
        <f>F23</f>
        <v>100</v>
      </c>
      <c r="T23" s="705" t="s">
        <v>18</v>
      </c>
      <c r="U23" s="706">
        <f>H23</f>
        <v>100</v>
      </c>
      <c r="V23" s="705" t="s">
        <v>18</v>
      </c>
      <c r="W23" s="706">
        <f>J23</f>
        <v>100</v>
      </c>
      <c r="X23" s="1351"/>
      <c r="Y23" s="372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9"/>
      <c r="Q24" s="1348"/>
      <c r="R24" s="705"/>
      <c r="S24" s="706"/>
      <c r="T24" s="705"/>
      <c r="U24" s="706"/>
      <c r="V24" s="705"/>
      <c r="W24" s="706"/>
      <c r="X24" s="1351"/>
      <c r="Y24" s="3721"/>
      <c r="Z24" s="1352"/>
      <c r="AA24" s="1349">
        <v>1</v>
      </c>
      <c r="AB24" s="1349">
        <v>1</v>
      </c>
      <c r="AC24" s="1349">
        <v>1</v>
      </c>
    </row>
    <row r="25" spans="1:29" ht="15">
      <c r="A25" s="379"/>
      <c r="B25" s="375" t="s">
        <v>1687</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1"/>
      <c r="Z25" s="1352" t="str">
        <f>Q25</f>
        <v>楼层-1</v>
      </c>
      <c r="AA25" s="1349">
        <f t="shared" ref="AA25:AA46" si="15">D25/F25</f>
        <v>1</v>
      </c>
      <c r="AB25" s="1349">
        <f t="shared" ref="AB25:AB46" si="16">D25/H25</f>
        <v>1</v>
      </c>
      <c r="AC25" s="1349">
        <f t="shared" ref="AC25:AC46" si="17">D25/J25</f>
        <v>1</v>
      </c>
    </row>
    <row r="26" spans="1:29" ht="15">
      <c r="A26" s="379"/>
      <c r="B26" s="375" t="s">
        <v>1688</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9"/>
      <c r="Q26" s="1348" t="str">
        <f t="shared" si="11"/>
        <v>朝向</v>
      </c>
      <c r="R26" s="705" t="s">
        <v>18</v>
      </c>
      <c r="S26" s="706">
        <f t="shared" si="12"/>
        <v>100</v>
      </c>
      <c r="T26" s="705" t="s">
        <v>18</v>
      </c>
      <c r="U26" s="706">
        <f t="shared" si="13"/>
        <v>100</v>
      </c>
      <c r="V26" s="705" t="s">
        <v>18</v>
      </c>
      <c r="W26" s="706">
        <f t="shared" si="14"/>
        <v>100</v>
      </c>
      <c r="X26" s="1351"/>
      <c r="Y26" s="3721"/>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9"/>
      <c r="Q27" s="1339">
        <f t="shared" si="11"/>
        <v>111</v>
      </c>
      <c r="R27" s="701" t="s">
        <v>18</v>
      </c>
      <c r="S27" s="702">
        <f t="shared" si="12"/>
        <v>100</v>
      </c>
      <c r="T27" s="701" t="s">
        <v>18</v>
      </c>
      <c r="U27" s="702">
        <f t="shared" si="13"/>
        <v>100</v>
      </c>
      <c r="V27" s="701" t="s">
        <v>18</v>
      </c>
      <c r="W27" s="702">
        <f t="shared" si="14"/>
        <v>100</v>
      </c>
      <c r="X27" s="703"/>
      <c r="Y27" s="3721"/>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9"/>
      <c r="Q28" s="1348">
        <f t="shared" si="11"/>
        <v>111</v>
      </c>
      <c r="R28" s="705" t="s">
        <v>18</v>
      </c>
      <c r="S28" s="706">
        <f t="shared" si="12"/>
        <v>100</v>
      </c>
      <c r="T28" s="705" t="s">
        <v>18</v>
      </c>
      <c r="U28" s="706">
        <f t="shared" si="13"/>
        <v>100</v>
      </c>
      <c r="V28" s="705" t="s">
        <v>18</v>
      </c>
      <c r="W28" s="706">
        <f t="shared" si="14"/>
        <v>100</v>
      </c>
      <c r="X28" s="1351"/>
      <c r="Y28" s="3721"/>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9"/>
      <c r="Q29" s="1348">
        <f t="shared" si="11"/>
        <v>111</v>
      </c>
      <c r="R29" s="705" t="s">
        <v>18</v>
      </c>
      <c r="S29" s="706">
        <f t="shared" si="12"/>
        <v>100</v>
      </c>
      <c r="T29" s="705" t="s">
        <v>18</v>
      </c>
      <c r="U29" s="706">
        <f t="shared" si="13"/>
        <v>100</v>
      </c>
      <c r="V29" s="705" t="s">
        <v>18</v>
      </c>
      <c r="W29" s="706">
        <f t="shared" si="14"/>
        <v>100</v>
      </c>
      <c r="X29" s="1351"/>
      <c r="Y29" s="3721"/>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9"/>
      <c r="Q30" s="1348">
        <f t="shared" si="11"/>
        <v>111</v>
      </c>
      <c r="R30" s="705" t="s">
        <v>18</v>
      </c>
      <c r="S30" s="706">
        <f t="shared" si="12"/>
        <v>100</v>
      </c>
      <c r="T30" s="705" t="s">
        <v>18</v>
      </c>
      <c r="U30" s="706">
        <f t="shared" si="13"/>
        <v>100</v>
      </c>
      <c r="V30" s="705" t="s">
        <v>18</v>
      </c>
      <c r="W30" s="706">
        <f t="shared" si="14"/>
        <v>100</v>
      </c>
      <c r="X30" s="1351"/>
      <c r="Y30" s="3721"/>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9"/>
      <c r="Q31" s="1348">
        <f t="shared" si="11"/>
        <v>111</v>
      </c>
      <c r="R31" s="705" t="s">
        <v>18</v>
      </c>
      <c r="S31" s="706">
        <f t="shared" si="12"/>
        <v>100</v>
      </c>
      <c r="T31" s="705" t="s">
        <v>18</v>
      </c>
      <c r="U31" s="706">
        <f t="shared" si="13"/>
        <v>100</v>
      </c>
      <c r="V31" s="705" t="s">
        <v>18</v>
      </c>
      <c r="W31" s="706">
        <f t="shared" si="14"/>
        <v>100</v>
      </c>
      <c r="X31" s="1351"/>
      <c r="Y31" s="3721"/>
      <c r="Z31" s="1352">
        <f t="shared" si="18"/>
        <v>111</v>
      </c>
      <c r="AA31" s="1349">
        <f t="shared" si="15"/>
        <v>1</v>
      </c>
      <c r="AB31" s="1349">
        <f t="shared" si="16"/>
        <v>1</v>
      </c>
      <c r="AC31" s="1349">
        <f t="shared" si="17"/>
        <v>1</v>
      </c>
    </row>
    <row r="32" spans="1:29" ht="15">
      <c r="A32" s="391" t="s">
        <v>1689</v>
      </c>
      <c r="B32" s="63" t="s">
        <v>1690</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2" t="s">
        <v>1691</v>
      </c>
      <c r="Q32" s="1348" t="str">
        <f t="shared" si="11"/>
        <v>建筑类型</v>
      </c>
      <c r="R32" s="705" t="s">
        <v>18</v>
      </c>
      <c r="S32" s="706">
        <f t="shared" si="12"/>
        <v>100</v>
      </c>
      <c r="T32" s="705" t="s">
        <v>18</v>
      </c>
      <c r="U32" s="706">
        <f t="shared" si="13"/>
        <v>100</v>
      </c>
      <c r="V32" s="705" t="s">
        <v>18</v>
      </c>
      <c r="W32" s="706">
        <f t="shared" si="14"/>
        <v>100</v>
      </c>
      <c r="X32" s="1351"/>
      <c r="Y32" s="3725" t="s">
        <v>1691</v>
      </c>
      <c r="Z32" s="1352" t="str">
        <f t="shared" si="18"/>
        <v>建筑类型</v>
      </c>
      <c r="AA32" s="1349">
        <f t="shared" si="15"/>
        <v>1</v>
      </c>
      <c r="AB32" s="1349">
        <f t="shared" si="16"/>
        <v>1</v>
      </c>
      <c r="AC32" s="1349">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49" t="e">
        <f t="shared" si="15"/>
        <v>#N/A</v>
      </c>
      <c r="AB33" s="1349" t="e">
        <f t="shared" si="16"/>
        <v>#N/A</v>
      </c>
      <c r="AC33" s="1349" t="e">
        <f t="shared" si="17"/>
        <v>#N/A</v>
      </c>
    </row>
    <row r="34" spans="1:29" ht="15">
      <c r="A34" s="423"/>
      <c r="B34" s="375" t="s">
        <v>1693</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3"/>
      <c r="Q34" s="1348" t="str">
        <f t="shared" si="11"/>
        <v>建筑结构</v>
      </c>
      <c r="R34" s="705" t="s">
        <v>18</v>
      </c>
      <c r="S34" s="706">
        <f t="shared" si="12"/>
        <v>100</v>
      </c>
      <c r="T34" s="705" t="s">
        <v>18</v>
      </c>
      <c r="U34" s="706">
        <f t="shared" si="13"/>
        <v>100</v>
      </c>
      <c r="V34" s="705" t="s">
        <v>18</v>
      </c>
      <c r="W34" s="706">
        <f t="shared" si="14"/>
        <v>100</v>
      </c>
      <c r="X34" s="1351"/>
      <c r="Y34" s="3725"/>
      <c r="Z34" s="1352" t="str">
        <f t="shared" si="18"/>
        <v>建筑结构</v>
      </c>
      <c r="AA34" s="1349">
        <f t="shared" si="15"/>
        <v>1</v>
      </c>
      <c r="AB34" s="1349">
        <f t="shared" si="16"/>
        <v>1</v>
      </c>
      <c r="AC34" s="1349">
        <f t="shared" si="17"/>
        <v>1</v>
      </c>
    </row>
    <row r="35" spans="1:29" ht="15">
      <c r="A35" s="423"/>
      <c r="B35" s="375" t="s">
        <v>1694</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3"/>
      <c r="Q35" s="1348" t="str">
        <f t="shared" si="11"/>
        <v>建筑品质</v>
      </c>
      <c r="R35" s="705" t="s">
        <v>18</v>
      </c>
      <c r="S35" s="706">
        <f t="shared" si="12"/>
        <v>100</v>
      </c>
      <c r="T35" s="705" t="s">
        <v>18</v>
      </c>
      <c r="U35" s="706">
        <f t="shared" si="13"/>
        <v>100</v>
      </c>
      <c r="V35" s="705" t="s">
        <v>18</v>
      </c>
      <c r="W35" s="706">
        <f t="shared" si="14"/>
        <v>100</v>
      </c>
      <c r="X35" s="1351"/>
      <c r="Y35" s="3725"/>
      <c r="Z35" s="1352" t="str">
        <f t="shared" si="18"/>
        <v>建筑品质</v>
      </c>
      <c r="AA35" s="1349">
        <f t="shared" si="15"/>
        <v>1</v>
      </c>
      <c r="AB35" s="1349">
        <f t="shared" si="16"/>
        <v>1</v>
      </c>
      <c r="AC35" s="1349">
        <f t="shared" si="17"/>
        <v>1</v>
      </c>
    </row>
    <row r="36" spans="1:29" ht="15">
      <c r="A36" s="423"/>
      <c r="B36" s="375" t="s">
        <v>1695</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3"/>
      <c r="Q36" s="1348" t="str">
        <f t="shared" si="11"/>
        <v>公共部分装修</v>
      </c>
      <c r="R36" s="705" t="s">
        <v>18</v>
      </c>
      <c r="S36" s="706">
        <f t="shared" si="12"/>
        <v>100</v>
      </c>
      <c r="T36" s="705" t="s">
        <v>18</v>
      </c>
      <c r="U36" s="706">
        <f t="shared" si="13"/>
        <v>100</v>
      </c>
      <c r="V36" s="705" t="s">
        <v>18</v>
      </c>
      <c r="W36" s="706">
        <f t="shared" si="14"/>
        <v>100</v>
      </c>
      <c r="X36" s="1351"/>
      <c r="Y36" s="3725"/>
      <c r="Z36" s="1352" t="str">
        <f t="shared" si="18"/>
        <v>公共部分装修</v>
      </c>
      <c r="AA36" s="1349">
        <f t="shared" si="15"/>
        <v>1</v>
      </c>
      <c r="AB36" s="1349">
        <f t="shared" si="16"/>
        <v>1</v>
      </c>
      <c r="AC36" s="1349">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3"/>
      <c r="Q37" s="1339"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1697</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3" t="s">
        <v>1691</v>
      </c>
      <c r="Q38" s="1348" t="str">
        <f t="shared" si="11"/>
        <v>物业管理</v>
      </c>
      <c r="R38" s="705" t="s">
        <v>18</v>
      </c>
      <c r="S38" s="706">
        <f t="shared" si="12"/>
        <v>100</v>
      </c>
      <c r="T38" s="705" t="s">
        <v>18</v>
      </c>
      <c r="U38" s="706">
        <f t="shared" si="13"/>
        <v>100</v>
      </c>
      <c r="V38" s="705" t="s">
        <v>18</v>
      </c>
      <c r="W38" s="706">
        <f t="shared" si="14"/>
        <v>100</v>
      </c>
      <c r="X38" s="1351"/>
      <c r="Y38" s="3725" t="s">
        <v>1691</v>
      </c>
      <c r="Z38" s="1352" t="str">
        <f t="shared" si="18"/>
        <v>物业管理</v>
      </c>
      <c r="AA38" s="1349">
        <f t="shared" si="15"/>
        <v>1</v>
      </c>
      <c r="AB38" s="1349">
        <f t="shared" si="16"/>
        <v>1</v>
      </c>
      <c r="AC38" s="1349">
        <f t="shared" si="17"/>
        <v>1</v>
      </c>
    </row>
    <row r="39" spans="1:29" ht="15">
      <c r="A39" s="423"/>
      <c r="B39" s="375" t="s">
        <v>1698</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3"/>
      <c r="Q39" s="1348" t="str">
        <f t="shared" si="11"/>
        <v>市政基础设施</v>
      </c>
      <c r="R39" s="705" t="s">
        <v>18</v>
      </c>
      <c r="S39" s="706">
        <f t="shared" si="12"/>
        <v>100</v>
      </c>
      <c r="T39" s="705" t="s">
        <v>18</v>
      </c>
      <c r="U39" s="706">
        <f t="shared" si="13"/>
        <v>100</v>
      </c>
      <c r="V39" s="705" t="s">
        <v>18</v>
      </c>
      <c r="W39" s="706">
        <f t="shared" si="14"/>
        <v>100</v>
      </c>
      <c r="X39" s="1351"/>
      <c r="Y39" s="3725"/>
      <c r="Z39" s="1352" t="str">
        <f t="shared" si="18"/>
        <v>市政基础设施</v>
      </c>
      <c r="AA39" s="1349">
        <f t="shared" si="15"/>
        <v>1</v>
      </c>
      <c r="AB39" s="1349">
        <f t="shared" si="16"/>
        <v>1</v>
      </c>
      <c r="AC39" s="1349">
        <f t="shared" si="17"/>
        <v>1</v>
      </c>
    </row>
    <row r="40" spans="1:29" ht="15">
      <c r="A40" s="423"/>
      <c r="B40" s="375" t="s">
        <v>1699</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3"/>
      <c r="Q40" s="1348" t="str">
        <f t="shared" si="11"/>
        <v>房型</v>
      </c>
      <c r="R40" s="705" t="s">
        <v>18</v>
      </c>
      <c r="S40" s="706">
        <f t="shared" si="12"/>
        <v>100</v>
      </c>
      <c r="T40" s="705" t="s">
        <v>18</v>
      </c>
      <c r="U40" s="706">
        <f t="shared" si="13"/>
        <v>100</v>
      </c>
      <c r="V40" s="705" t="s">
        <v>18</v>
      </c>
      <c r="W40" s="706">
        <f t="shared" si="14"/>
        <v>100</v>
      </c>
      <c r="X40" s="1351"/>
      <c r="Y40" s="3725"/>
      <c r="Z40" s="1352" t="str">
        <f t="shared" si="18"/>
        <v>房型</v>
      </c>
      <c r="AA40" s="1349">
        <f t="shared" si="15"/>
        <v>1</v>
      </c>
      <c r="AB40" s="1349">
        <f t="shared" si="16"/>
        <v>1</v>
      </c>
      <c r="AC40" s="1349">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49">
        <f t="shared" si="15"/>
        <v>1</v>
      </c>
      <c r="AB41" s="1349">
        <f t="shared" si="16"/>
        <v>1</v>
      </c>
      <c r="AC41" s="1349">
        <f t="shared" si="17"/>
        <v>1</v>
      </c>
    </row>
    <row r="42" spans="1:29" ht="15">
      <c r="A42" s="423"/>
      <c r="B42" s="375" t="s">
        <v>1701</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3"/>
      <c r="Q42" s="1348" t="str">
        <f t="shared" si="11"/>
        <v>内部装修</v>
      </c>
      <c r="R42" s="705" t="s">
        <v>18</v>
      </c>
      <c r="S42" s="706">
        <f t="shared" si="12"/>
        <v>100</v>
      </c>
      <c r="T42" s="705" t="s">
        <v>18</v>
      </c>
      <c r="U42" s="706">
        <f t="shared" si="13"/>
        <v>100</v>
      </c>
      <c r="V42" s="705" t="s">
        <v>18</v>
      </c>
      <c r="W42" s="706">
        <f t="shared" si="14"/>
        <v>100</v>
      </c>
      <c r="X42" s="1351"/>
      <c r="Y42" s="3725"/>
      <c r="Z42" s="1352" t="str">
        <f t="shared" si="18"/>
        <v>内部装修</v>
      </c>
      <c r="AA42" s="1349">
        <f t="shared" si="15"/>
        <v>1</v>
      </c>
      <c r="AB42" s="1349">
        <f t="shared" si="16"/>
        <v>1</v>
      </c>
      <c r="AC42" s="1349">
        <f t="shared" si="17"/>
        <v>1</v>
      </c>
    </row>
    <row r="43" spans="1:29" ht="15">
      <c r="A43" s="423"/>
      <c r="B43" s="375" t="s">
        <v>1702</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3"/>
      <c r="Q43" s="1348" t="str">
        <f t="shared" si="11"/>
        <v>内部装修维护情况</v>
      </c>
      <c r="R43" s="705" t="s">
        <v>18</v>
      </c>
      <c r="S43" s="706">
        <f t="shared" si="12"/>
        <v>100</v>
      </c>
      <c r="T43" s="705" t="s">
        <v>18</v>
      </c>
      <c r="U43" s="706">
        <f t="shared" si="13"/>
        <v>100</v>
      </c>
      <c r="V43" s="705" t="s">
        <v>18</v>
      </c>
      <c r="W43" s="706">
        <f t="shared" si="14"/>
        <v>100</v>
      </c>
      <c r="X43" s="1351"/>
      <c r="Y43" s="3725"/>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3"/>
      <c r="Q44" s="1339">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3"/>
      <c r="Q45" s="1348">
        <f t="shared" si="11"/>
        <v>111</v>
      </c>
      <c r="R45" s="705" t="s">
        <v>18</v>
      </c>
      <c r="S45" s="706">
        <f t="shared" si="12"/>
        <v>100</v>
      </c>
      <c r="T45" s="705" t="s">
        <v>18</v>
      </c>
      <c r="U45" s="706">
        <f t="shared" si="13"/>
        <v>100</v>
      </c>
      <c r="V45" s="705" t="s">
        <v>18</v>
      </c>
      <c r="W45" s="706">
        <f t="shared" si="14"/>
        <v>100</v>
      </c>
      <c r="X45" s="1351"/>
      <c r="Y45" s="372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4"/>
      <c r="Q46" s="1348">
        <f t="shared" si="11"/>
        <v>111</v>
      </c>
      <c r="R46" s="705" t="s">
        <v>17</v>
      </c>
      <c r="S46" s="706">
        <f t="shared" si="12"/>
        <v>100</v>
      </c>
      <c r="T46" s="705" t="s">
        <v>17</v>
      </c>
      <c r="U46" s="706">
        <f t="shared" si="13"/>
        <v>100</v>
      </c>
      <c r="V46" s="705" t="s">
        <v>17</v>
      </c>
      <c r="W46" s="706">
        <f t="shared" si="14"/>
        <v>100</v>
      </c>
      <c r="X46" s="1351"/>
      <c r="Y46" s="3726"/>
      <c r="Z46" s="1352">
        <f t="shared" si="18"/>
        <v>111</v>
      </c>
      <c r="AA46" s="1349">
        <f t="shared" si="15"/>
        <v>1</v>
      </c>
      <c r="AB46" s="1349">
        <f t="shared" si="16"/>
        <v>1</v>
      </c>
      <c r="AC46" s="1349">
        <f t="shared" si="17"/>
        <v>1</v>
      </c>
    </row>
    <row r="47" spans="1:29" ht="15">
      <c r="A47" s="430" t="s">
        <v>1703</v>
      </c>
      <c r="B47" s="431"/>
      <c r="C47" s="1150" t="s">
        <v>16</v>
      </c>
      <c r="D47" s="1151"/>
      <c r="E47" s="1152"/>
      <c r="F47" s="1153"/>
      <c r="G47" s="1154"/>
      <c r="H47" s="1155"/>
      <c r="I47" s="1152"/>
      <c r="J47" s="1155"/>
      <c r="K47" s="1910"/>
      <c r="L47" s="2717"/>
      <c r="M47" s="2718"/>
      <c r="N47" s="2709"/>
      <c r="O47" s="2718"/>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1704</v>
      </c>
      <c r="B48" s="438"/>
      <c r="C48" s="1156" t="e">
        <f>R49</f>
        <v>#DIV/0!</v>
      </c>
      <c r="D48" s="2312" t="s">
        <v>2133</v>
      </c>
      <c r="E48" s="1157" t="e">
        <f>R48</f>
        <v>#DIV/0!</v>
      </c>
      <c r="F48" s="2313"/>
      <c r="G48" s="1156" t="e">
        <f>T48</f>
        <v>#DIV/0!</v>
      </c>
      <c r="H48" s="2313"/>
      <c r="I48" s="1157" t="e">
        <f>V48</f>
        <v>#DIV/0!</v>
      </c>
      <c r="J48" s="2313"/>
      <c r="K48" s="2314">
        <f>F48+H48+J48</f>
        <v>0</v>
      </c>
      <c r="L48" s="2717"/>
      <c r="M48" s="2718"/>
      <c r="N48" s="2718"/>
      <c r="O48" s="2718"/>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1705</v>
      </c>
      <c r="B49" s="442"/>
      <c r="C49" s="1158" t="e">
        <f>R49</f>
        <v>#DIV/0!</v>
      </c>
      <c r="D49" s="1159"/>
      <c r="E49" s="1159"/>
      <c r="F49" s="1159"/>
      <c r="G49" s="1159"/>
      <c r="H49" s="1159"/>
      <c r="I49" s="1159"/>
      <c r="J49" s="1159"/>
      <c r="K49" s="1911"/>
      <c r="L49" s="2717"/>
      <c r="M49" s="2718"/>
      <c r="N49" s="2718"/>
      <c r="O49" s="2718"/>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1709</v>
      </c>
      <c r="B57" s="690"/>
      <c r="C57" s="695"/>
      <c r="D57" s="695"/>
      <c r="E57" s="695"/>
      <c r="F57" s="696"/>
      <c r="G57" s="696"/>
      <c r="H57" s="695"/>
      <c r="I57" s="695"/>
      <c r="J57" s="695"/>
      <c r="K57" s="937"/>
      <c r="L57" s="938"/>
      <c r="M57" s="936"/>
      <c r="N57" s="936"/>
      <c r="O57" s="936"/>
      <c r="P57" s="1914"/>
      <c r="Q57" s="453"/>
    </row>
    <row r="58" spans="1:29" s="457" customFormat="1" ht="15">
      <c r="A58" s="454" t="s">
        <v>1710</v>
      </c>
      <c r="B58" s="455"/>
      <c r="C58" s="1182" t="str">
        <f>YEAR(C7)&amp;"-"&amp;MONTH(C7)</f>
        <v>2023-4</v>
      </c>
      <c r="D58" s="1181">
        <f>EDATE(C58,-1)</f>
        <v>44986</v>
      </c>
      <c r="E58" s="1181">
        <f>EDATE(D58,-1)</f>
        <v>44958</v>
      </c>
      <c r="F58" s="1181">
        <f t="shared" ref="F58:O58" si="19">EDATE(E58,-1)</f>
        <v>44927</v>
      </c>
      <c r="G58" s="1181">
        <f t="shared" si="19"/>
        <v>44896</v>
      </c>
      <c r="H58" s="1181">
        <f t="shared" si="19"/>
        <v>44866</v>
      </c>
      <c r="I58" s="1181">
        <f t="shared" si="19"/>
        <v>44835</v>
      </c>
      <c r="J58" s="1181">
        <f t="shared" si="19"/>
        <v>44805</v>
      </c>
      <c r="K58" s="1181">
        <f t="shared" si="19"/>
        <v>44774</v>
      </c>
      <c r="L58" s="1181">
        <f t="shared" si="19"/>
        <v>44743</v>
      </c>
      <c r="M58" s="1181">
        <f t="shared" si="19"/>
        <v>44713</v>
      </c>
      <c r="N58" s="1181">
        <f t="shared" si="19"/>
        <v>44682</v>
      </c>
      <c r="O58" s="1181">
        <f t="shared" si="19"/>
        <v>44652</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1711</v>
      </c>
      <c r="B60" s="465"/>
      <c r="C60" s="466"/>
      <c r="D60" s="467"/>
      <c r="E60" s="467"/>
      <c r="F60" s="467"/>
      <c r="G60" s="467"/>
      <c r="H60" s="467"/>
      <c r="I60" s="467"/>
      <c r="J60" s="467"/>
      <c r="K60" s="467"/>
      <c r="L60" s="467"/>
      <c r="M60" s="468"/>
      <c r="N60" s="467"/>
      <c r="O60" s="468"/>
      <c r="P60" s="1916"/>
      <c r="Q60" s="453"/>
    </row>
    <row r="61" spans="1:29" s="108" customFormat="1" ht="15">
      <c r="A61" s="470" t="s">
        <v>1712</v>
      </c>
      <c r="B61" s="459"/>
      <c r="C61" s="471" t="s">
        <v>1713</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1714</v>
      </c>
      <c r="B63" s="477" t="s">
        <v>1680</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1683</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1255</v>
      </c>
      <c r="C82" s="488" t="s">
        <v>1723</v>
      </c>
      <c r="D82" s="488" t="s">
        <v>1724</v>
      </c>
      <c r="E82" s="488" t="s">
        <v>1725</v>
      </c>
      <c r="F82" s="488" t="s">
        <v>1726</v>
      </c>
      <c r="G82" s="488" t="s">
        <v>1727</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1729</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1730</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1689</v>
      </c>
      <c r="B100" s="477" t="s">
        <v>1731</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1733</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1734</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1735</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1736</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1737</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1738</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1739</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1741</v>
      </c>
    </row>
    <row r="137" spans="1:17" ht="15">
      <c r="B137" s="1926" t="s">
        <v>1742</v>
      </c>
      <c r="C137" s="1927"/>
      <c r="D137" s="1927"/>
      <c r="E137" s="1927"/>
      <c r="F137" s="1927"/>
      <c r="G137" s="1928"/>
      <c r="H137" s="1929"/>
      <c r="I137" s="1930" t="s">
        <v>1743</v>
      </c>
      <c r="J137" s="1927"/>
      <c r="K137" s="1931"/>
    </row>
    <row r="138" spans="1:17" ht="15">
      <c r="B138" s="1932"/>
      <c r="C138" s="137" t="s">
        <v>1744</v>
      </c>
      <c r="D138" s="137" t="s">
        <v>1745</v>
      </c>
      <c r="E138" s="1933" t="s">
        <v>1746</v>
      </c>
      <c r="F138" s="1934" t="s">
        <v>1747</v>
      </c>
      <c r="G138" s="137" t="s">
        <v>1745</v>
      </c>
      <c r="H138" s="138" t="s">
        <v>1746</v>
      </c>
      <c r="I138" s="1935"/>
      <c r="J138" s="137" t="s">
        <v>1748</v>
      </c>
      <c r="K138" s="138" t="s">
        <v>1749</v>
      </c>
    </row>
    <row r="139" spans="1:17" ht="15">
      <c r="B139" s="863">
        <v>6</v>
      </c>
      <c r="C139" s="864">
        <v>96</v>
      </c>
      <c r="D139" s="1936" t="s">
        <v>1750</v>
      </c>
      <c r="E139" s="865">
        <v>100</v>
      </c>
      <c r="F139" s="866">
        <v>102.5</v>
      </c>
      <c r="G139" s="1936" t="s">
        <v>1750</v>
      </c>
      <c r="H139" s="867">
        <v>105</v>
      </c>
      <c r="I139" s="1937" t="s">
        <v>1751</v>
      </c>
      <c r="J139" s="864">
        <v>20</v>
      </c>
      <c r="K139" s="868">
        <f>C145/(J139-2)</f>
        <v>4.0555555555555553E-3</v>
      </c>
    </row>
    <row r="140" spans="1:17" ht="15">
      <c r="B140" s="869">
        <v>5</v>
      </c>
      <c r="C140" s="870">
        <v>100</v>
      </c>
      <c r="D140" s="870"/>
      <c r="E140" s="871"/>
      <c r="F140" s="872">
        <v>102</v>
      </c>
      <c r="G140" s="870"/>
      <c r="H140" s="873"/>
      <c r="I140" s="1938" t="s">
        <v>1752</v>
      </c>
      <c r="J140" s="271">
        <f>ROUNDUP((J139-1)/2,0)</f>
        <v>10</v>
      </c>
      <c r="K140" s="874">
        <v>100</v>
      </c>
    </row>
    <row r="141" spans="1:17" ht="15">
      <c r="B141" s="869">
        <v>4</v>
      </c>
      <c r="C141" s="870">
        <v>102</v>
      </c>
      <c r="D141" s="870"/>
      <c r="E141" s="871"/>
      <c r="F141" s="872">
        <v>101.5</v>
      </c>
      <c r="G141" s="870"/>
      <c r="H141" s="873"/>
      <c r="I141" s="1938" t="s">
        <v>1753</v>
      </c>
      <c r="J141" s="271">
        <v>1</v>
      </c>
      <c r="K141" s="875">
        <f>ROUND(100+(J141-J140)*K139*100,1)</f>
        <v>96.4</v>
      </c>
    </row>
    <row r="142" spans="1:17" ht="15">
      <c r="B142" s="869">
        <v>3</v>
      </c>
      <c r="C142" s="870">
        <v>103</v>
      </c>
      <c r="D142" s="870"/>
      <c r="E142" s="871"/>
      <c r="F142" s="872">
        <v>101</v>
      </c>
      <c r="G142" s="870"/>
      <c r="H142" s="873"/>
      <c r="I142" s="1938" t="s">
        <v>1754</v>
      </c>
      <c r="J142" s="271">
        <f>J139</f>
        <v>20</v>
      </c>
      <c r="K142" s="876">
        <v>95</v>
      </c>
    </row>
    <row r="143" spans="1:17" ht="15">
      <c r="B143" s="869">
        <v>2</v>
      </c>
      <c r="C143" s="870">
        <v>100</v>
      </c>
      <c r="D143" s="870"/>
      <c r="E143" s="871"/>
      <c r="F143" s="872">
        <v>100.5</v>
      </c>
      <c r="G143" s="870"/>
      <c r="H143" s="873"/>
      <c r="I143" s="1938" t="s">
        <v>1755</v>
      </c>
      <c r="J143" s="870">
        <v>15</v>
      </c>
      <c r="K143" s="875">
        <f>ROUND(100+(J143-J140)*K139*100,1)</f>
        <v>102</v>
      </c>
    </row>
    <row r="144" spans="1:17" ht="15">
      <c r="B144" s="869">
        <v>1</v>
      </c>
      <c r="C144" s="870">
        <v>98</v>
      </c>
      <c r="D144" s="1939" t="s">
        <v>1756</v>
      </c>
      <c r="E144" s="871">
        <v>102</v>
      </c>
      <c r="F144" s="877">
        <v>100</v>
      </c>
      <c r="G144" s="1939" t="s">
        <v>1756</v>
      </c>
      <c r="H144" s="873">
        <v>105</v>
      </c>
      <c r="I144" s="1938" t="s">
        <v>1755</v>
      </c>
      <c r="J144" s="870">
        <v>18</v>
      </c>
      <c r="K144" s="875">
        <f>ROUND(100+(J144-J140)*K139*100,1)</f>
        <v>103.2</v>
      </c>
    </row>
    <row r="145" spans="2:11" ht="15.75" thickBot="1">
      <c r="B145" s="1940" t="s">
        <v>1757</v>
      </c>
      <c r="C145" s="878">
        <f>ROUND(MAX(C139:C144)/MIN(C139:C144)-1,3)</f>
        <v>7.2999999999999995E-2</v>
      </c>
      <c r="D145" s="879"/>
      <c r="E145" s="879"/>
      <c r="F145" s="1941" t="s">
        <v>1758</v>
      </c>
      <c r="G145" s="1942"/>
      <c r="H145" s="1943"/>
      <c r="I145" s="1944" t="s">
        <v>1755</v>
      </c>
      <c r="J145" s="880">
        <v>8</v>
      </c>
      <c r="K145" s="881">
        <f>ROUND(100+(J145-J140)*K139*100,1)</f>
        <v>99.2</v>
      </c>
    </row>
    <row r="147" spans="2:11">
      <c r="B147" s="1925" t="s">
        <v>1759</v>
      </c>
    </row>
    <row r="148" spans="2:11">
      <c r="B148" s="1925"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6" priority="19" stopIfTrue="1" operator="containsText" text="超过">
      <formula>NOT(ISERROR(SEARCH("超过",F52)))</formula>
    </cfRule>
  </conditionalFormatting>
  <conditionalFormatting sqref="J54">
    <cfRule type="containsText" dxfId="205" priority="18" stopIfTrue="1" operator="containsText" text="超过">
      <formula>NOT(ISERROR(SEARCH("超过",J54)))</formula>
    </cfRule>
  </conditionalFormatting>
  <conditionalFormatting sqref="H54">
    <cfRule type="containsText" dxfId="204" priority="17" stopIfTrue="1" operator="containsText" text="超过">
      <formula>NOT(ISERROR(SEARCH("超过",H54)))</formula>
    </cfRule>
  </conditionalFormatting>
  <conditionalFormatting sqref="F54">
    <cfRule type="containsText" dxfId="203" priority="16" stopIfTrue="1" operator="containsText" text="超过">
      <formula>NOT(ISERROR(SEARCH("超过",F54)))</formula>
    </cfRule>
  </conditionalFormatting>
  <conditionalFormatting sqref="F53 H53 J53">
    <cfRule type="containsText" dxfId="202" priority="15" stopIfTrue="1" operator="containsText" text="超过">
      <formula>NOT(ISERROR(SEARCH("超过",F53)))</formula>
    </cfRule>
  </conditionalFormatting>
  <conditionalFormatting sqref="E52">
    <cfRule type="expression" dxfId="201" priority="14" stopIfTrue="1">
      <formula>$F$52="超过30%"</formula>
    </cfRule>
  </conditionalFormatting>
  <conditionalFormatting sqref="G54">
    <cfRule type="expression" dxfId="200" priority="12" stopIfTrue="1">
      <formula>$H$54="超过30%"</formula>
    </cfRule>
  </conditionalFormatting>
  <conditionalFormatting sqref="E53">
    <cfRule type="expression" dxfId="199" priority="11" stopIfTrue="1">
      <formula>$F$53="超过20%"</formula>
    </cfRule>
  </conditionalFormatting>
  <conditionalFormatting sqref="E54">
    <cfRule type="expression" dxfId="198" priority="10" stopIfTrue="1">
      <formula>$F$54="超过30%"</formula>
    </cfRule>
  </conditionalFormatting>
  <conditionalFormatting sqref="G52">
    <cfRule type="expression" dxfId="197" priority="9" stopIfTrue="1">
      <formula>$H$52="超过30%"</formula>
    </cfRule>
  </conditionalFormatting>
  <conditionalFormatting sqref="G53">
    <cfRule type="expression" dxfId="196" priority="8" stopIfTrue="1">
      <formula>$H$53="超过20%"</formula>
    </cfRule>
  </conditionalFormatting>
  <conditionalFormatting sqref="I52">
    <cfRule type="expression" dxfId="195" priority="7" stopIfTrue="1">
      <formula>$J$52="超过30%"</formula>
    </cfRule>
  </conditionalFormatting>
  <conditionalFormatting sqref="I53">
    <cfRule type="expression" dxfId="194" priority="6" stopIfTrue="1">
      <formula>$J$53="超过20%"</formula>
    </cfRule>
  </conditionalFormatting>
  <conditionalFormatting sqref="I54">
    <cfRule type="expression" dxfId="193" priority="5" stopIfTrue="1">
      <formula>$J$54="超过30%"</formula>
    </cfRule>
  </conditionalFormatting>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F7:F46 H7:H46 J7:J46">
    <cfRule type="cellIs" dxfId="18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874" t="s">
        <v>1761</v>
      </c>
      <c r="C1" s="1234" t="s">
        <v>1657</v>
      </c>
      <c r="D1" s="1221"/>
      <c r="E1" s="3419"/>
      <c r="F1" s="1875"/>
      <c r="G1" s="1231" t="s">
        <v>1762</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1457</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1458</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1459</v>
      </c>
      <c r="B3" s="558">
        <f>IF(C2="——",C49,ROUND(B2*10000/D3,0))</f>
        <v>0</v>
      </c>
      <c r="C3" s="354" t="s">
        <v>1763</v>
      </c>
      <c r="D3" s="353">
        <f>IF(D1="",'数据-汇总表'!E3,SUMIF('数据-汇总表'!$C19:$C33,D1,'数据-汇总表'!$E19:$E33))</f>
        <v>680.04</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1764</v>
      </c>
      <c r="B4" s="356"/>
      <c r="C4" s="3686" t="s">
        <v>1765</v>
      </c>
      <c r="D4" s="3687"/>
      <c r="E4" s="3688" t="s">
        <v>1766</v>
      </c>
      <c r="F4" s="3689"/>
      <c r="G4" s="3686" t="s">
        <v>1767</v>
      </c>
      <c r="H4" s="3687"/>
      <c r="I4" s="3686" t="s">
        <v>1768</v>
      </c>
      <c r="J4" s="3687"/>
      <c r="K4" s="559" t="s">
        <v>1769</v>
      </c>
      <c r="L4" s="2708"/>
      <c r="M4" s="2709"/>
      <c r="N4" s="2709"/>
      <c r="O4" s="2709"/>
      <c r="P4" s="3759" t="s">
        <v>1770</v>
      </c>
      <c r="Q4" s="3760"/>
      <c r="R4" s="3754" t="s">
        <v>1766</v>
      </c>
      <c r="S4" s="3755"/>
      <c r="T4" s="3754" t="s">
        <v>1767</v>
      </c>
      <c r="U4" s="3755"/>
      <c r="V4" s="3709" t="s">
        <v>1768</v>
      </c>
      <c r="W4" s="3709"/>
      <c r="X4" s="1351"/>
      <c r="Y4" s="3754" t="s">
        <v>1770</v>
      </c>
      <c r="Z4" s="3755"/>
      <c r="AA4" s="3753" t="s">
        <v>1766</v>
      </c>
      <c r="AB4" s="3709" t="s">
        <v>1767</v>
      </c>
      <c r="AC4" s="3753" t="s">
        <v>1768</v>
      </c>
    </row>
    <row r="5" spans="1:29" ht="15">
      <c r="A5" s="358"/>
      <c r="B5" s="359"/>
      <c r="C5" s="3758" t="s">
        <v>1668</v>
      </c>
      <c r="D5" s="3701"/>
      <c r="E5" s="3756" t="s">
        <v>1669</v>
      </c>
      <c r="F5" s="3757"/>
      <c r="G5" s="3758" t="s">
        <v>1670</v>
      </c>
      <c r="H5" s="3701"/>
      <c r="I5" s="3758" t="s">
        <v>1671</v>
      </c>
      <c r="J5" s="3701"/>
      <c r="K5" s="559"/>
      <c r="L5" s="2708"/>
      <c r="M5" s="2709"/>
      <c r="N5" s="2709"/>
      <c r="O5" s="2709"/>
      <c r="P5" s="3761"/>
      <c r="Q5" s="3693"/>
      <c r="R5" s="3698"/>
      <c r="S5" s="3699"/>
      <c r="T5" s="3698"/>
      <c r="U5" s="3699"/>
      <c r="V5" s="3709"/>
      <c r="W5" s="3709"/>
      <c r="X5" s="1351"/>
      <c r="Y5" s="3698"/>
      <c r="Z5" s="3699"/>
      <c r="AA5" s="3711"/>
      <c r="AB5" s="3709"/>
      <c r="AC5" s="3711"/>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762"/>
      <c r="Q6" s="3695"/>
      <c r="R6" s="3698"/>
      <c r="S6" s="3699"/>
      <c r="T6" s="3706"/>
      <c r="U6" s="3707"/>
      <c r="V6" s="3709"/>
      <c r="W6" s="3709"/>
      <c r="X6" s="1351"/>
      <c r="Y6" s="3706"/>
      <c r="Z6" s="3707"/>
      <c r="AA6" s="3712"/>
      <c r="AB6" s="3709"/>
      <c r="AC6" s="3712"/>
    </row>
    <row r="7" spans="1:29" s="108" customFormat="1" ht="15.75" thickBot="1">
      <c r="A7" s="362" t="s">
        <v>1674</v>
      </c>
      <c r="B7" s="363"/>
      <c r="C7" s="364">
        <f>'数据-取费表'!B2</f>
        <v>45034</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16" t="s">
        <v>1675</v>
      </c>
      <c r="Q7" s="3714"/>
      <c r="R7" s="701" t="s">
        <v>14</v>
      </c>
      <c r="S7" s="702">
        <f t="shared" ref="S7:S15" si="0">F7</f>
        <v>0</v>
      </c>
      <c r="T7" s="701" t="s">
        <v>14</v>
      </c>
      <c r="U7" s="702">
        <f t="shared" ref="U7:U15" si="1">H7</f>
        <v>0</v>
      </c>
      <c r="V7" s="701" t="s">
        <v>14</v>
      </c>
      <c r="W7" s="702">
        <f t="shared" ref="W7:W15" si="2">J7</f>
        <v>0</v>
      </c>
      <c r="X7" s="703"/>
      <c r="Y7" s="3716" t="s">
        <v>1675</v>
      </c>
      <c r="Z7" s="3715"/>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16" t="s">
        <v>1678</v>
      </c>
      <c r="Q8" s="3715"/>
      <c r="R8" s="701" t="s">
        <v>14</v>
      </c>
      <c r="S8" s="702">
        <f t="shared" si="0"/>
        <v>100</v>
      </c>
      <c r="T8" s="701" t="s">
        <v>14</v>
      </c>
      <c r="U8" s="702">
        <f t="shared" si="1"/>
        <v>100</v>
      </c>
      <c r="V8" s="701" t="s">
        <v>14</v>
      </c>
      <c r="W8" s="702">
        <f t="shared" si="2"/>
        <v>100</v>
      </c>
      <c r="X8" s="703"/>
      <c r="Y8" s="3716" t="s">
        <v>1678</v>
      </c>
      <c r="Z8" s="3715"/>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7" t="s">
        <v>1681</v>
      </c>
      <c r="Q9" s="1339" t="str">
        <f t="shared" ref="Q9:Q15" si="6">B9</f>
        <v>用途</v>
      </c>
      <c r="R9" s="701" t="s">
        <v>14</v>
      </c>
      <c r="S9" s="702">
        <f t="shared" si="0"/>
        <v>100</v>
      </c>
      <c r="T9" s="701" t="s">
        <v>14</v>
      </c>
      <c r="U9" s="702">
        <f t="shared" si="1"/>
        <v>100</v>
      </c>
      <c r="V9" s="701" t="s">
        <v>14</v>
      </c>
      <c r="W9" s="702">
        <f t="shared" si="2"/>
        <v>100</v>
      </c>
      <c r="X9" s="703"/>
      <c r="Y9" s="3651" t="s">
        <v>1682</v>
      </c>
      <c r="Z9" s="52" t="str">
        <f t="shared" ref="Z9:Z15" si="7">Q9</f>
        <v>用途</v>
      </c>
      <c r="AA9" s="704">
        <f t="shared" si="3"/>
        <v>1</v>
      </c>
      <c r="AB9" s="704">
        <f t="shared" si="4"/>
        <v>1</v>
      </c>
      <c r="AC9" s="704">
        <f t="shared" si="5"/>
        <v>1</v>
      </c>
    </row>
    <row r="10" spans="1:29" s="378" customFormat="1" ht="27">
      <c r="A10" s="374"/>
      <c r="B10" s="375" t="s">
        <v>1683</v>
      </c>
      <c r="C10" s="3426"/>
      <c r="D10" s="127">
        <v>100</v>
      </c>
      <c r="E10" s="3427"/>
      <c r="F10" s="376">
        <f>SUMIF(65:65,E10,66:66)-SUMIF(65:65,C10,66:66)+100</f>
        <v>100</v>
      </c>
      <c r="G10" s="3426"/>
      <c r="H10" s="127">
        <f>SUMIF(65:65,G10,66:66)-SUMIF(65:65,C10,66:66)+100</f>
        <v>100</v>
      </c>
      <c r="I10" s="3426"/>
      <c r="J10" s="127">
        <f>SUMIF(65:65,I10,66:66)-SUMIF(65:65,C10,66:66)+100</f>
        <v>100</v>
      </c>
      <c r="K10" s="560"/>
      <c r="L10" s="2712"/>
      <c r="M10" s="2713"/>
      <c r="N10" s="2713"/>
      <c r="O10" s="2713"/>
      <c r="P10" s="3717"/>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7"/>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7"/>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7"/>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7"/>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71.25">
      <c r="A15" s="391" t="s">
        <v>1685</v>
      </c>
      <c r="B15" s="61" t="s">
        <v>1772</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8" t="s">
        <v>1686</v>
      </c>
      <c r="Q15" s="1348" t="str">
        <f t="shared" si="6"/>
        <v>商业繁华度</v>
      </c>
      <c r="R15" s="705" t="s">
        <v>14</v>
      </c>
      <c r="S15" s="706">
        <f t="shared" si="0"/>
        <v>100</v>
      </c>
      <c r="T15" s="705" t="s">
        <v>14</v>
      </c>
      <c r="U15" s="706">
        <f t="shared" si="1"/>
        <v>100</v>
      </c>
      <c r="V15" s="705" t="s">
        <v>14</v>
      </c>
      <c r="W15" s="706">
        <f t="shared" si="2"/>
        <v>100</v>
      </c>
      <c r="X15" s="1351"/>
      <c r="Y15" s="3720" t="s">
        <v>1686</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9"/>
      <c r="Q16" s="1348"/>
      <c r="R16" s="705"/>
      <c r="S16" s="706"/>
      <c r="T16" s="705"/>
      <c r="U16" s="706"/>
      <c r="V16" s="705"/>
      <c r="W16" s="706"/>
      <c r="X16" s="1351"/>
      <c r="Y16" s="3721"/>
      <c r="Z16" s="1352"/>
      <c r="AA16" s="1349">
        <v>1</v>
      </c>
      <c r="AB16" s="1349">
        <v>1</v>
      </c>
      <c r="AC16" s="1349">
        <v>1</v>
      </c>
    </row>
    <row r="17" spans="1:29" ht="85.5">
      <c r="A17" s="379"/>
      <c r="B17" s="402" t="s">
        <v>1254</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9"/>
      <c r="Q17" s="1348" t="str">
        <f>B17</f>
        <v>交通便捷度</v>
      </c>
      <c r="R17" s="705" t="s">
        <v>14</v>
      </c>
      <c r="S17" s="706">
        <f>F17</f>
        <v>100</v>
      </c>
      <c r="T17" s="705" t="s">
        <v>14</v>
      </c>
      <c r="U17" s="706">
        <f>H17</f>
        <v>100</v>
      </c>
      <c r="V17" s="705" t="s">
        <v>14</v>
      </c>
      <c r="W17" s="706">
        <f>J17</f>
        <v>100</v>
      </c>
      <c r="X17" s="1351"/>
      <c r="Y17" s="372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9"/>
      <c r="Q18" s="1348"/>
      <c r="R18" s="705"/>
      <c r="S18" s="706"/>
      <c r="T18" s="705"/>
      <c r="U18" s="706"/>
      <c r="V18" s="705"/>
      <c r="W18" s="706"/>
      <c r="X18" s="1351"/>
      <c r="Y18" s="3721"/>
      <c r="Z18" s="1352"/>
      <c r="AA18" s="1349">
        <v>1</v>
      </c>
      <c r="AB18" s="1349">
        <v>1</v>
      </c>
      <c r="AC18" s="1349">
        <v>1</v>
      </c>
    </row>
    <row r="19" spans="1:29" ht="42.75">
      <c r="A19" s="379"/>
      <c r="B19" s="402" t="s">
        <v>1773</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9"/>
      <c r="Q19" s="1348" t="str">
        <f>B19</f>
        <v>公共配套设施</v>
      </c>
      <c r="R19" s="705" t="s">
        <v>14</v>
      </c>
      <c r="S19" s="706">
        <f>F19</f>
        <v>100</v>
      </c>
      <c r="T19" s="705" t="s">
        <v>14</v>
      </c>
      <c r="U19" s="706">
        <f>H19</f>
        <v>100</v>
      </c>
      <c r="V19" s="705" t="s">
        <v>14</v>
      </c>
      <c r="W19" s="706">
        <f>J19</f>
        <v>100</v>
      </c>
      <c r="X19" s="1351"/>
      <c r="Y19" s="372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9"/>
      <c r="Q20" s="1348"/>
      <c r="R20" s="705"/>
      <c r="S20" s="706"/>
      <c r="T20" s="705"/>
      <c r="U20" s="706"/>
      <c r="V20" s="705"/>
      <c r="W20" s="706"/>
      <c r="X20" s="1351"/>
      <c r="Y20" s="3721"/>
      <c r="Z20" s="1352"/>
      <c r="AA20" s="1349">
        <v>1</v>
      </c>
      <c r="AB20" s="1349">
        <v>1</v>
      </c>
      <c r="AC20" s="1349">
        <v>1</v>
      </c>
    </row>
    <row r="21" spans="1:29" ht="28.5">
      <c r="A21" s="379"/>
      <c r="B21" s="1127" t="s">
        <v>1774</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9"/>
      <c r="Q21" s="1348" t="str">
        <f>B21</f>
        <v>基础设施水平</v>
      </c>
      <c r="R21" s="705" t="s">
        <v>14</v>
      </c>
      <c r="S21" s="706">
        <f>F21</f>
        <v>100</v>
      </c>
      <c r="T21" s="705" t="s">
        <v>14</v>
      </c>
      <c r="U21" s="706">
        <f>H21</f>
        <v>100</v>
      </c>
      <c r="V21" s="705" t="s">
        <v>14</v>
      </c>
      <c r="W21" s="706">
        <f>J21</f>
        <v>100</v>
      </c>
      <c r="X21" s="1351"/>
      <c r="Y21" s="372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9"/>
      <c r="Q22" s="1348"/>
      <c r="R22" s="705"/>
      <c r="S22" s="706"/>
      <c r="T22" s="705"/>
      <c r="U22" s="706"/>
      <c r="V22" s="705"/>
      <c r="W22" s="706"/>
      <c r="X22" s="1351"/>
      <c r="Y22" s="3721"/>
      <c r="Z22" s="1352"/>
      <c r="AA22" s="1349">
        <v>1</v>
      </c>
      <c r="AB22" s="1349">
        <v>1</v>
      </c>
      <c r="AC22" s="1349">
        <v>1</v>
      </c>
    </row>
    <row r="23" spans="1:29" ht="57">
      <c r="A23" s="379"/>
      <c r="B23" s="402" t="s">
        <v>1256</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9"/>
      <c r="Q23" s="1348" t="str">
        <f>B23</f>
        <v>自然及人文环境</v>
      </c>
      <c r="R23" s="705" t="s">
        <v>14</v>
      </c>
      <c r="S23" s="706">
        <f>F23</f>
        <v>100</v>
      </c>
      <c r="T23" s="705" t="s">
        <v>14</v>
      </c>
      <c r="U23" s="706">
        <f>H23</f>
        <v>100</v>
      </c>
      <c r="V23" s="705" t="s">
        <v>14</v>
      </c>
      <c r="W23" s="706">
        <f>J23</f>
        <v>100</v>
      </c>
      <c r="X23" s="1351"/>
      <c r="Y23" s="3721"/>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9"/>
      <c r="Q24" s="1348"/>
      <c r="R24" s="705"/>
      <c r="S24" s="706"/>
      <c r="T24" s="705"/>
      <c r="U24" s="706"/>
      <c r="V24" s="705"/>
      <c r="W24" s="706"/>
      <c r="X24" s="1351"/>
      <c r="Y24" s="3721"/>
      <c r="Z24" s="1352"/>
      <c r="AA24" s="1349">
        <v>1</v>
      </c>
      <c r="AB24" s="1349">
        <v>1</v>
      </c>
      <c r="AC24" s="1349">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9"/>
      <c r="Q25" s="1348" t="str">
        <f t="shared" ref="Q25:Q46" si="11">B25</f>
        <v>临街状况</v>
      </c>
      <c r="R25" s="705" t="s">
        <v>14</v>
      </c>
      <c r="S25" s="706">
        <f>F25</f>
        <v>100</v>
      </c>
      <c r="T25" s="705" t="s">
        <v>14</v>
      </c>
      <c r="U25" s="706">
        <f>H25</f>
        <v>100</v>
      </c>
      <c r="V25" s="705" t="s">
        <v>14</v>
      </c>
      <c r="W25" s="706">
        <f>J25</f>
        <v>100</v>
      </c>
      <c r="X25" s="1351"/>
      <c r="Y25" s="3721"/>
      <c r="Z25" s="1352" t="str">
        <f>Q25</f>
        <v>临街状况</v>
      </c>
      <c r="AA25" s="1349">
        <f t="shared" si="3"/>
        <v>1</v>
      </c>
      <c r="AB25" s="1349">
        <f t="shared" si="4"/>
        <v>1</v>
      </c>
      <c r="AC25" s="1349">
        <f t="shared" si="5"/>
        <v>1</v>
      </c>
    </row>
    <row r="26" spans="1:29" ht="15">
      <c r="A26" s="379"/>
      <c r="B26" s="1129" t="s">
        <v>1776</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9"/>
      <c r="Q26" s="1348" t="str">
        <f t="shared" si="11"/>
        <v>平面位置/可视性</v>
      </c>
      <c r="R26" s="705" t="s">
        <v>14</v>
      </c>
      <c r="S26" s="706">
        <f>F26</f>
        <v>100</v>
      </c>
      <c r="T26" s="705" t="s">
        <v>14</v>
      </c>
      <c r="U26" s="706">
        <f>H26</f>
        <v>100</v>
      </c>
      <c r="V26" s="705" t="s">
        <v>14</v>
      </c>
      <c r="W26" s="706">
        <f>J26</f>
        <v>100</v>
      </c>
      <c r="X26" s="1351"/>
      <c r="Y26" s="3721"/>
      <c r="Z26" s="1352" t="str">
        <f>Q26</f>
        <v>平面位置/可视性</v>
      </c>
      <c r="AA26" s="1349">
        <f t="shared" si="3"/>
        <v>1</v>
      </c>
      <c r="AB26" s="1349">
        <f t="shared" si="4"/>
        <v>1</v>
      </c>
      <c r="AC26" s="1349">
        <f t="shared" si="5"/>
        <v>1</v>
      </c>
    </row>
    <row r="27" spans="1:29" s="108" customFormat="1" ht="15">
      <c r="A27" s="382"/>
      <c r="B27" s="402" t="s">
        <v>1777</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9"/>
      <c r="Q27" s="1339" t="str">
        <f t="shared" si="11"/>
        <v>人流量</v>
      </c>
      <c r="R27" s="701" t="s">
        <v>14</v>
      </c>
      <c r="S27" s="702">
        <f>F27</f>
        <v>100</v>
      </c>
      <c r="T27" s="701" t="s">
        <v>14</v>
      </c>
      <c r="U27" s="702">
        <f>H27</f>
        <v>100</v>
      </c>
      <c r="V27" s="701" t="s">
        <v>14</v>
      </c>
      <c r="W27" s="702">
        <f>J27</f>
        <v>100</v>
      </c>
      <c r="X27" s="703"/>
      <c r="Y27" s="3721"/>
      <c r="Z27" s="52" t="str">
        <f>Q27</f>
        <v>人流量</v>
      </c>
      <c r="AA27" s="1349">
        <f>D27/F27</f>
        <v>1</v>
      </c>
      <c r="AB27" s="1349">
        <f>D27/H27</f>
        <v>1</v>
      </c>
      <c r="AC27" s="1349">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1"/>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9"/>
      <c r="Q29" s="1348">
        <f t="shared" si="11"/>
        <v>111</v>
      </c>
      <c r="R29" s="705" t="s">
        <v>14</v>
      </c>
      <c r="S29" s="706">
        <f t="shared" si="12"/>
        <v>100</v>
      </c>
      <c r="T29" s="705" t="s">
        <v>14</v>
      </c>
      <c r="U29" s="706">
        <f t="shared" si="13"/>
        <v>100</v>
      </c>
      <c r="V29" s="705" t="s">
        <v>14</v>
      </c>
      <c r="W29" s="706">
        <f t="shared" si="14"/>
        <v>100</v>
      </c>
      <c r="X29" s="1351"/>
      <c r="Y29" s="3721"/>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9"/>
      <c r="Q30" s="1348">
        <f t="shared" si="11"/>
        <v>111</v>
      </c>
      <c r="R30" s="705" t="s">
        <v>14</v>
      </c>
      <c r="S30" s="706">
        <f t="shared" si="12"/>
        <v>100</v>
      </c>
      <c r="T30" s="705" t="s">
        <v>14</v>
      </c>
      <c r="U30" s="706">
        <f t="shared" si="13"/>
        <v>100</v>
      </c>
      <c r="V30" s="705" t="s">
        <v>14</v>
      </c>
      <c r="W30" s="706">
        <f t="shared" si="14"/>
        <v>100</v>
      </c>
      <c r="X30" s="1351"/>
      <c r="Y30" s="3721"/>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9"/>
      <c r="Q31" s="1348">
        <f t="shared" si="11"/>
        <v>111</v>
      </c>
      <c r="R31" s="705" t="s">
        <v>14</v>
      </c>
      <c r="S31" s="706">
        <f t="shared" si="12"/>
        <v>100</v>
      </c>
      <c r="T31" s="705" t="s">
        <v>14</v>
      </c>
      <c r="U31" s="706">
        <f t="shared" si="13"/>
        <v>100</v>
      </c>
      <c r="V31" s="705" t="s">
        <v>14</v>
      </c>
      <c r="W31" s="706">
        <f t="shared" si="14"/>
        <v>100</v>
      </c>
      <c r="X31" s="1351"/>
      <c r="Y31" s="3721"/>
      <c r="Z31" s="1352">
        <f t="shared" si="15"/>
        <v>111</v>
      </c>
      <c r="AA31" s="1349">
        <f t="shared" si="3"/>
        <v>1</v>
      </c>
      <c r="AB31" s="1349">
        <f t="shared" si="4"/>
        <v>1</v>
      </c>
      <c r="AC31" s="1349">
        <f t="shared" si="5"/>
        <v>1</v>
      </c>
    </row>
    <row r="32" spans="1:29" ht="15">
      <c r="A32" s="391" t="s">
        <v>1689</v>
      </c>
      <c r="B32" s="63" t="s">
        <v>1779</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2" t="s">
        <v>1691</v>
      </c>
      <c r="Q32" s="1348" t="str">
        <f t="shared" si="11"/>
        <v>商业类型</v>
      </c>
      <c r="R32" s="705" t="s">
        <v>14</v>
      </c>
      <c r="S32" s="706">
        <f t="shared" si="12"/>
        <v>100</v>
      </c>
      <c r="T32" s="705" t="s">
        <v>14</v>
      </c>
      <c r="U32" s="706">
        <f t="shared" si="13"/>
        <v>100</v>
      </c>
      <c r="V32" s="705" t="s">
        <v>14</v>
      </c>
      <c r="W32" s="706">
        <f t="shared" si="14"/>
        <v>100</v>
      </c>
      <c r="X32" s="1351"/>
      <c r="Y32" s="3725" t="s">
        <v>1691</v>
      </c>
      <c r="Z32" s="1352" t="str">
        <f t="shared" si="15"/>
        <v>商业类型</v>
      </c>
      <c r="AA32" s="1349">
        <f t="shared" si="3"/>
        <v>1</v>
      </c>
      <c r="AB32" s="1349">
        <f t="shared" si="4"/>
        <v>1</v>
      </c>
      <c r="AC32" s="1349">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49" t="e">
        <f t="shared" si="3"/>
        <v>#N/A</v>
      </c>
      <c r="AB33" s="1349" t="e">
        <f t="shared" si="4"/>
        <v>#N/A</v>
      </c>
      <c r="AC33" s="1349" t="e">
        <f t="shared" si="5"/>
        <v>#N/A</v>
      </c>
    </row>
    <row r="34" spans="1:29" ht="15">
      <c r="A34" s="423"/>
      <c r="B34" s="375" t="s">
        <v>1693</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3"/>
      <c r="Q34" s="1348" t="str">
        <f t="shared" si="11"/>
        <v>建筑结构</v>
      </c>
      <c r="R34" s="705" t="s">
        <v>14</v>
      </c>
      <c r="S34" s="706">
        <f t="shared" si="12"/>
        <v>100</v>
      </c>
      <c r="T34" s="705" t="s">
        <v>14</v>
      </c>
      <c r="U34" s="706">
        <f t="shared" si="13"/>
        <v>100</v>
      </c>
      <c r="V34" s="705" t="s">
        <v>14</v>
      </c>
      <c r="W34" s="706">
        <f t="shared" si="14"/>
        <v>100</v>
      </c>
      <c r="X34" s="1351"/>
      <c r="Y34" s="3725"/>
      <c r="Z34" s="1352" t="str">
        <f t="shared" si="15"/>
        <v>建筑结构</v>
      </c>
      <c r="AA34" s="1349">
        <f t="shared" si="3"/>
        <v>1</v>
      </c>
      <c r="AB34" s="1349">
        <f t="shared" si="4"/>
        <v>1</v>
      </c>
      <c r="AC34" s="1349">
        <f t="shared" si="5"/>
        <v>1</v>
      </c>
    </row>
    <row r="35" spans="1:29" ht="15">
      <c r="A35" s="423"/>
      <c r="B35" s="375" t="s">
        <v>1780</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3"/>
      <c r="Q35" s="1348" t="str">
        <f t="shared" si="11"/>
        <v>公共部分装修</v>
      </c>
      <c r="R35" s="705" t="s">
        <v>14</v>
      </c>
      <c r="S35" s="706">
        <f t="shared" si="12"/>
        <v>100</v>
      </c>
      <c r="T35" s="705" t="s">
        <v>14</v>
      </c>
      <c r="U35" s="706">
        <f t="shared" si="13"/>
        <v>100</v>
      </c>
      <c r="V35" s="705" t="s">
        <v>14</v>
      </c>
      <c r="W35" s="706">
        <f t="shared" si="14"/>
        <v>100</v>
      </c>
      <c r="X35" s="1351"/>
      <c r="Y35" s="3725"/>
      <c r="Z35" s="1352" t="str">
        <f t="shared" si="15"/>
        <v>公共部分装修</v>
      </c>
      <c r="AA35" s="1349">
        <f t="shared" si="3"/>
        <v>1</v>
      </c>
      <c r="AB35" s="1349">
        <f t="shared" si="4"/>
        <v>1</v>
      </c>
      <c r="AC35" s="1349">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3"/>
      <c r="Q36" s="1348" t="str">
        <f t="shared" si="11"/>
        <v>成新度</v>
      </c>
      <c r="R36" s="705" t="s">
        <v>14</v>
      </c>
      <c r="S36" s="706" t="e">
        <f t="shared" si="12"/>
        <v>#N/A</v>
      </c>
      <c r="T36" s="705" t="s">
        <v>14</v>
      </c>
      <c r="U36" s="706" t="e">
        <f t="shared" si="13"/>
        <v>#N/A</v>
      </c>
      <c r="V36" s="705" t="s">
        <v>14</v>
      </c>
      <c r="W36" s="706" t="e">
        <f t="shared" si="14"/>
        <v>#N/A</v>
      </c>
      <c r="X36" s="1351"/>
      <c r="Y36" s="3725"/>
      <c r="Z36" s="1352" t="str">
        <f t="shared" si="15"/>
        <v>成新度</v>
      </c>
      <c r="AA36" s="1349" t="e">
        <f t="shared" si="3"/>
        <v>#N/A</v>
      </c>
      <c r="AB36" s="1349" t="e">
        <f t="shared" si="4"/>
        <v>#N/A</v>
      </c>
      <c r="AC36" s="1349" t="e">
        <f t="shared" si="5"/>
        <v>#N/A</v>
      </c>
    </row>
    <row r="37" spans="1:29" s="108" customFormat="1" ht="15">
      <c r="A37" s="424"/>
      <c r="B37" s="375" t="s">
        <v>1782</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3"/>
      <c r="Q37" s="1339"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1783</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3" t="s">
        <v>1691</v>
      </c>
      <c r="Q38" s="1348" t="str">
        <f t="shared" si="11"/>
        <v>业态</v>
      </c>
      <c r="R38" s="705" t="s">
        <v>14</v>
      </c>
      <c r="S38" s="706">
        <f t="shared" si="12"/>
        <v>100</v>
      </c>
      <c r="T38" s="705" t="s">
        <v>14</v>
      </c>
      <c r="U38" s="706">
        <f t="shared" si="13"/>
        <v>100</v>
      </c>
      <c r="V38" s="705" t="s">
        <v>14</v>
      </c>
      <c r="W38" s="706">
        <f t="shared" si="14"/>
        <v>100</v>
      </c>
      <c r="X38" s="1351"/>
      <c r="Y38" s="3725" t="s">
        <v>1691</v>
      </c>
      <c r="Z38" s="1352" t="str">
        <f t="shared" si="15"/>
        <v>业态</v>
      </c>
      <c r="AA38" s="1349">
        <f t="shared" si="3"/>
        <v>1</v>
      </c>
      <c r="AB38" s="1349">
        <f t="shared" si="4"/>
        <v>1</v>
      </c>
      <c r="AC38" s="1349">
        <f t="shared" si="5"/>
        <v>1</v>
      </c>
    </row>
    <row r="39" spans="1:29" ht="15">
      <c r="A39" s="423"/>
      <c r="B39" s="375" t="s">
        <v>1784</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3"/>
      <c r="Q39" s="1348" t="str">
        <f t="shared" si="11"/>
        <v>层高</v>
      </c>
      <c r="R39" s="705" t="s">
        <v>14</v>
      </c>
      <c r="S39" s="706">
        <f t="shared" si="12"/>
        <v>100</v>
      </c>
      <c r="T39" s="705" t="s">
        <v>14</v>
      </c>
      <c r="U39" s="706">
        <f t="shared" si="13"/>
        <v>100</v>
      </c>
      <c r="V39" s="705" t="s">
        <v>14</v>
      </c>
      <c r="W39" s="706">
        <f t="shared" si="14"/>
        <v>100</v>
      </c>
      <c r="X39" s="1351"/>
      <c r="Y39" s="3725"/>
      <c r="Z39" s="1352" t="str">
        <f t="shared" si="15"/>
        <v>层高</v>
      </c>
      <c r="AA39" s="1349">
        <f t="shared" si="3"/>
        <v>1</v>
      </c>
      <c r="AB39" s="1349">
        <f t="shared" si="4"/>
        <v>1</v>
      </c>
      <c r="AC39" s="1349">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3"/>
      <c r="Q40" s="1348" t="str">
        <f t="shared" si="11"/>
        <v>单套建筑面积</v>
      </c>
      <c r="R40" s="705" t="s">
        <v>14</v>
      </c>
      <c r="S40" s="706">
        <f t="shared" si="12"/>
        <v>100</v>
      </c>
      <c r="T40" s="705" t="s">
        <v>14</v>
      </c>
      <c r="U40" s="706">
        <f t="shared" si="13"/>
        <v>100</v>
      </c>
      <c r="V40" s="705" t="s">
        <v>14</v>
      </c>
      <c r="W40" s="706">
        <f t="shared" si="14"/>
        <v>100</v>
      </c>
      <c r="X40" s="1351"/>
      <c r="Y40" s="3725"/>
      <c r="Z40" s="1352" t="str">
        <f t="shared" si="15"/>
        <v>单套建筑面积</v>
      </c>
      <c r="AA40" s="1349">
        <f t="shared" si="3"/>
        <v>1</v>
      </c>
      <c r="AB40" s="1349">
        <f t="shared" si="4"/>
        <v>1</v>
      </c>
      <c r="AC40" s="1349">
        <f t="shared" si="5"/>
        <v>1</v>
      </c>
    </row>
    <row r="41" spans="1:29" s="422" customFormat="1" ht="15">
      <c r="A41" s="419"/>
      <c r="B41" s="1350"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49">
        <f t="shared" si="3"/>
        <v>1</v>
      </c>
      <c r="AB41" s="1349">
        <f t="shared" si="4"/>
        <v>1</v>
      </c>
      <c r="AC41" s="1349">
        <f t="shared" si="5"/>
        <v>1</v>
      </c>
    </row>
    <row r="42" spans="1:29" ht="15">
      <c r="A42" s="423"/>
      <c r="B42" s="375" t="s">
        <v>1787</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3"/>
      <c r="Q42" s="1348" t="str">
        <f t="shared" si="11"/>
        <v>内部装修</v>
      </c>
      <c r="R42" s="705" t="s">
        <v>14</v>
      </c>
      <c r="S42" s="706">
        <f t="shared" si="12"/>
        <v>100</v>
      </c>
      <c r="T42" s="705" t="s">
        <v>14</v>
      </c>
      <c r="U42" s="706">
        <f t="shared" si="13"/>
        <v>100</v>
      </c>
      <c r="V42" s="705" t="s">
        <v>14</v>
      </c>
      <c r="W42" s="706">
        <f t="shared" si="14"/>
        <v>100</v>
      </c>
      <c r="X42" s="1351"/>
      <c r="Y42" s="3725"/>
      <c r="Z42" s="1352" t="str">
        <f t="shared" si="15"/>
        <v>内部装修</v>
      </c>
      <c r="AA42" s="1349">
        <f t="shared" si="3"/>
        <v>1</v>
      </c>
      <c r="AB42" s="1349">
        <f t="shared" si="4"/>
        <v>1</v>
      </c>
      <c r="AC42" s="1349">
        <f t="shared" si="5"/>
        <v>1</v>
      </c>
    </row>
    <row r="43" spans="1:29" ht="15">
      <c r="A43" s="423"/>
      <c r="B43" s="375" t="s">
        <v>1702</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3"/>
      <c r="Q43" s="1348" t="str">
        <f t="shared" si="11"/>
        <v>内部装修维护情况</v>
      </c>
      <c r="R43" s="705" t="s">
        <v>14</v>
      </c>
      <c r="S43" s="706">
        <f t="shared" si="12"/>
        <v>100</v>
      </c>
      <c r="T43" s="705" t="s">
        <v>14</v>
      </c>
      <c r="U43" s="706">
        <f t="shared" si="13"/>
        <v>100</v>
      </c>
      <c r="V43" s="705" t="s">
        <v>14</v>
      </c>
      <c r="W43" s="706">
        <f t="shared" si="14"/>
        <v>100</v>
      </c>
      <c r="X43" s="1351"/>
      <c r="Y43" s="3725"/>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3"/>
      <c r="Q44" s="1339">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3"/>
      <c r="Q45" s="1348">
        <f t="shared" si="11"/>
        <v>111</v>
      </c>
      <c r="R45" s="705" t="s">
        <v>14</v>
      </c>
      <c r="S45" s="706">
        <f t="shared" si="12"/>
        <v>100</v>
      </c>
      <c r="T45" s="705" t="s">
        <v>14</v>
      </c>
      <c r="U45" s="706">
        <f t="shared" si="13"/>
        <v>100</v>
      </c>
      <c r="V45" s="705" t="s">
        <v>14</v>
      </c>
      <c r="W45" s="706">
        <f t="shared" si="14"/>
        <v>100</v>
      </c>
      <c r="X45" s="1351"/>
      <c r="Y45" s="372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4"/>
      <c r="Q46" s="1348">
        <f t="shared" si="11"/>
        <v>111</v>
      </c>
      <c r="R46" s="705" t="s">
        <v>14</v>
      </c>
      <c r="S46" s="706">
        <f t="shared" si="12"/>
        <v>100</v>
      </c>
      <c r="T46" s="705" t="s">
        <v>14</v>
      </c>
      <c r="U46" s="706">
        <f t="shared" si="13"/>
        <v>100</v>
      </c>
      <c r="V46" s="705" t="s">
        <v>14</v>
      </c>
      <c r="W46" s="706">
        <f t="shared" si="14"/>
        <v>100</v>
      </c>
      <c r="X46" s="1351"/>
      <c r="Y46" s="3726"/>
      <c r="Z46" s="1352">
        <f t="shared" si="15"/>
        <v>111</v>
      </c>
      <c r="AA46" s="1349">
        <f t="shared" si="3"/>
        <v>1</v>
      </c>
      <c r="AB46" s="1349">
        <f t="shared" si="4"/>
        <v>1</v>
      </c>
      <c r="AC46" s="1349">
        <f t="shared" si="5"/>
        <v>1</v>
      </c>
    </row>
    <row r="47" spans="1:29" ht="15">
      <c r="A47" s="430" t="s">
        <v>1703</v>
      </c>
      <c r="B47" s="431"/>
      <c r="C47" s="1150" t="s">
        <v>0</v>
      </c>
      <c r="D47" s="1151"/>
      <c r="E47" s="1152"/>
      <c r="F47" s="1153"/>
      <c r="G47" s="1154"/>
      <c r="H47" s="1155"/>
      <c r="I47" s="1152"/>
      <c r="J47" s="1155"/>
      <c r="K47" s="714"/>
      <c r="L47" s="2717"/>
      <c r="M47" s="2718"/>
      <c r="N47" s="2709"/>
      <c r="O47" s="2718"/>
      <c r="P47" s="3727" t="str">
        <f>A47</f>
        <v>成交单价（元/平方米）</v>
      </c>
      <c r="Q47" s="3727"/>
      <c r="R47" s="3709">
        <f>E47</f>
        <v>0</v>
      </c>
      <c r="S47" s="3709"/>
      <c r="T47" s="3709">
        <f>G47</f>
        <v>0</v>
      </c>
      <c r="U47" s="3709"/>
      <c r="V47" s="3709">
        <f>I47</f>
        <v>0</v>
      </c>
      <c r="W47" s="3709"/>
      <c r="X47" s="690"/>
      <c r="Y47" s="712"/>
      <c r="Z47" s="690"/>
      <c r="AA47" s="690"/>
      <c r="AB47" s="690"/>
      <c r="AC47" s="690"/>
    </row>
    <row r="48" spans="1:29" ht="15.75" thickBot="1">
      <c r="A48" s="437" t="s">
        <v>1788</v>
      </c>
      <c r="B48" s="438"/>
      <c r="C48" s="1156" t="e">
        <f>R49</f>
        <v>#DIV/0!</v>
      </c>
      <c r="D48" s="2312" t="s">
        <v>2133</v>
      </c>
      <c r="E48" s="1157" t="e">
        <f>R48</f>
        <v>#DIV/0!</v>
      </c>
      <c r="F48" s="2313"/>
      <c r="G48" s="1156" t="e">
        <f>T48</f>
        <v>#DIV/0!</v>
      </c>
      <c r="H48" s="2313"/>
      <c r="I48" s="1157" t="e">
        <f>V48</f>
        <v>#DIV/0!</v>
      </c>
      <c r="J48" s="2313"/>
      <c r="K48" s="2315">
        <f>F48+H48+J48</f>
        <v>0</v>
      </c>
      <c r="L48" s="2717"/>
      <c r="M48" s="2718"/>
      <c r="N48" s="2709"/>
      <c r="O48" s="2718"/>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1789</v>
      </c>
      <c r="B49" s="442"/>
      <c r="C49" s="1159" t="e">
        <f>R49</f>
        <v>#DIV/0!</v>
      </c>
      <c r="D49" s="1159"/>
      <c r="E49" s="1159"/>
      <c r="F49" s="1159"/>
      <c r="G49" s="1159"/>
      <c r="H49" s="1159"/>
      <c r="I49" s="1159"/>
      <c r="J49" s="1159"/>
      <c r="K49" s="715"/>
      <c r="L49" s="2717"/>
      <c r="M49" s="2718"/>
      <c r="N49" s="2709"/>
      <c r="O49" s="2718"/>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1793</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1674</v>
      </c>
      <c r="B58" s="455"/>
      <c r="C58" s="1180" t="str">
        <f>YEAR(C7)&amp;"-"&amp;MONTH(C7)</f>
        <v>2023-4</v>
      </c>
      <c r="D58" s="1181">
        <f>EDATE(C58,-1)</f>
        <v>44986</v>
      </c>
      <c r="E58" s="1181">
        <f t="shared" ref="E58:N58" si="16">EDATE(D58,-1)</f>
        <v>44958</v>
      </c>
      <c r="F58" s="1181">
        <f t="shared" si="16"/>
        <v>44927</v>
      </c>
      <c r="G58" s="1181">
        <f t="shared" si="16"/>
        <v>44896</v>
      </c>
      <c r="H58" s="1181">
        <f t="shared" si="16"/>
        <v>44866</v>
      </c>
      <c r="I58" s="1181">
        <f t="shared" si="16"/>
        <v>44835</v>
      </c>
      <c r="J58" s="1181">
        <f t="shared" si="16"/>
        <v>44805</v>
      </c>
      <c r="K58" s="1181">
        <f t="shared" si="16"/>
        <v>44774</v>
      </c>
      <c r="L58" s="1181">
        <f t="shared" si="16"/>
        <v>44743</v>
      </c>
      <c r="M58" s="1181">
        <f t="shared" si="16"/>
        <v>44713</v>
      </c>
      <c r="N58" s="1181">
        <f t="shared" si="16"/>
        <v>44682</v>
      </c>
      <c r="O58" s="1181">
        <f>EDATE(N58,-1)</f>
        <v>44652</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1676</v>
      </c>
      <c r="B61" s="459"/>
      <c r="C61" s="471" t="s">
        <v>1771</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1714</v>
      </c>
      <c r="B63" s="477" t="s">
        <v>1680</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1683</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1685</v>
      </c>
      <c r="B76" s="477" t="s">
        <v>1715</v>
      </c>
      <c r="C76" s="522" t="s">
        <v>1716</v>
      </c>
      <c r="D76" s="522" t="s">
        <v>1717</v>
      </c>
      <c r="E76" s="522" t="s">
        <v>1718</v>
      </c>
      <c r="F76" s="522" t="s">
        <v>1719</v>
      </c>
      <c r="G76" s="522" t="s">
        <v>1720</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1721</v>
      </c>
      <c r="C78" s="527" t="s">
        <v>1716</v>
      </c>
      <c r="D78" s="527" t="s">
        <v>1717</v>
      </c>
      <c r="E78" s="527" t="s">
        <v>1718</v>
      </c>
      <c r="F78" s="527" t="s">
        <v>1719</v>
      </c>
      <c r="G78" s="527" t="s">
        <v>1720</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1722</v>
      </c>
      <c r="C80" s="527" t="s">
        <v>1716</v>
      </c>
      <c r="D80" s="527" t="s">
        <v>1717</v>
      </c>
      <c r="E80" s="527" t="s">
        <v>1718</v>
      </c>
      <c r="F80" s="527" t="s">
        <v>1719</v>
      </c>
      <c r="G80" s="527" t="s">
        <v>1720</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1774</v>
      </c>
      <c r="C82" s="608" t="s">
        <v>1794</v>
      </c>
      <c r="D82" s="608" t="s">
        <v>1795</v>
      </c>
      <c r="E82" s="608" t="s">
        <v>1796</v>
      </c>
      <c r="F82" s="608" t="s">
        <v>1797</v>
      </c>
      <c r="G82" s="608" t="s">
        <v>1798</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1728</v>
      </c>
      <c r="C84" s="527" t="s">
        <v>1716</v>
      </c>
      <c r="D84" s="527" t="s">
        <v>1717</v>
      </c>
      <c r="E84" s="527" t="s">
        <v>1718</v>
      </c>
      <c r="F84" s="527" t="s">
        <v>1719</v>
      </c>
      <c r="G84" s="527" t="s">
        <v>1720</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1799</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1689</v>
      </c>
      <c r="B100" s="477" t="s">
        <v>1800</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1733</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1735</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1737</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1801</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1802</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1803</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1804</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1739</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8" priority="21" stopIfTrue="1" operator="containsText" text="超过">
      <formula>NOT(ISERROR(SEARCH("超过",F52)))</formula>
    </cfRule>
  </conditionalFormatting>
  <conditionalFormatting sqref="H54">
    <cfRule type="containsText" dxfId="187" priority="19" stopIfTrue="1" operator="containsText" text="超过">
      <formula>NOT(ISERROR(SEARCH("超过",H54)))</formula>
    </cfRule>
  </conditionalFormatting>
  <conditionalFormatting sqref="F54">
    <cfRule type="containsText" dxfId="186" priority="18" stopIfTrue="1" operator="containsText" text="超过">
      <formula>NOT(ISERROR(SEARCH("超过",F54)))</formula>
    </cfRule>
  </conditionalFormatting>
  <conditionalFormatting sqref="F53 H53">
    <cfRule type="containsText" dxfId="185" priority="17" stopIfTrue="1" operator="containsText" text="超过">
      <formula>NOT(ISERROR(SEARCH("超过",F53)))</formula>
    </cfRule>
  </conditionalFormatting>
  <conditionalFormatting sqref="E52">
    <cfRule type="expression" dxfId="184" priority="16" stopIfTrue="1">
      <formula>$F$52="超过30%"</formula>
    </cfRule>
  </conditionalFormatting>
  <conditionalFormatting sqref="E53">
    <cfRule type="expression" dxfId="183" priority="15" stopIfTrue="1">
      <formula>$F$53="超过20%"</formula>
    </cfRule>
  </conditionalFormatting>
  <conditionalFormatting sqref="E54">
    <cfRule type="expression" dxfId="182" priority="14" stopIfTrue="1">
      <formula>$F$54="超过30%"</formula>
    </cfRule>
  </conditionalFormatting>
  <conditionalFormatting sqref="G54">
    <cfRule type="expression" dxfId="181" priority="13" stopIfTrue="1">
      <formula>$H$54="超过30%"</formula>
    </cfRule>
  </conditionalFormatting>
  <conditionalFormatting sqref="G52">
    <cfRule type="expression" dxfId="180" priority="12" stopIfTrue="1">
      <formula>$H$52="超过30%"</formula>
    </cfRule>
  </conditionalFormatting>
  <conditionalFormatting sqref="G53">
    <cfRule type="expression" dxfId="179" priority="11" stopIfTrue="1">
      <formula>$H$53="超过20%"</formula>
    </cfRule>
  </conditionalFormatting>
  <conditionalFormatting sqref="J52">
    <cfRule type="containsText" dxfId="178" priority="10" stopIfTrue="1" operator="containsText" text="超过">
      <formula>NOT(ISERROR(SEARCH("超过",J52)))</formula>
    </cfRule>
  </conditionalFormatting>
  <conditionalFormatting sqref="J54">
    <cfRule type="containsText" dxfId="177" priority="9" stopIfTrue="1" operator="containsText" text="超过">
      <formula>NOT(ISERROR(SEARCH("超过",J54)))</formula>
    </cfRule>
  </conditionalFormatting>
  <conditionalFormatting sqref="J53">
    <cfRule type="containsText" dxfId="176" priority="8" stopIfTrue="1" operator="containsText" text="超过">
      <formula>NOT(ISERROR(SEARCH("超过",J53)))</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zoomScalePageLayoutView="80" workbookViewId="0">
      <selection activeCell="H38" sqref="H38"/>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1257</v>
      </c>
      <c r="B1" s="1743"/>
      <c r="C1" s="1744">
        <v>502</v>
      </c>
      <c r="D1" s="1743"/>
      <c r="E1" s="1743"/>
      <c r="F1" s="1745" t="s">
        <v>1258</v>
      </c>
      <c r="G1" s="1557" t="s">
        <v>3444</v>
      </c>
      <c r="H1" s="1746" t="str">
        <f>IF(G1="现房","——","估价对象范围")</f>
        <v>——</v>
      </c>
      <c r="I1" s="1747"/>
    </row>
    <row r="2" spans="1:12" ht="21.75" customHeight="1" thickBot="1">
      <c r="A2" s="3648" t="str">
        <f>项目基本情况!S2</f>
        <v>北京市金星西路501房地产</v>
      </c>
      <c r="B2" s="3649"/>
      <c r="C2" s="3649"/>
      <c r="D2" s="3649"/>
      <c r="E2" s="3649"/>
      <c r="F2" s="3649"/>
      <c r="G2" s="3649"/>
      <c r="H2" s="3649"/>
      <c r="I2" s="3650"/>
    </row>
    <row r="3" spans="1:12" ht="12.75">
      <c r="A3" s="3652" t="s">
        <v>1259</v>
      </c>
      <c r="B3" s="3653"/>
      <c r="C3" s="3653"/>
      <c r="D3" s="3653"/>
      <c r="E3" s="3653"/>
      <c r="F3" s="3653"/>
      <c r="G3" s="3653"/>
      <c r="H3" s="3653"/>
      <c r="I3" s="3653"/>
    </row>
    <row r="4" spans="1:12" ht="14.25">
      <c r="A4" s="1750" t="s">
        <v>1260</v>
      </c>
      <c r="B4" s="1751" t="s">
        <v>1261</v>
      </c>
      <c r="C4" s="1752" t="s">
        <v>3438</v>
      </c>
      <c r="D4" s="1752" t="s">
        <v>3432</v>
      </c>
      <c r="E4" s="3657" t="s">
        <v>1262</v>
      </c>
      <c r="F4" s="3658"/>
      <c r="G4" s="3658"/>
      <c r="H4" s="3658"/>
      <c r="I4" s="3659"/>
      <c r="K4" s="146" t="str">
        <f>IF(ISNUMBER(FIND("比较法",结果表502!C4)),"比较法",IF(ISNUMBER(FIND("成本法",结果表502!C4)),"成本法",IF(ISNUMBER(FIND("假设开发法",结果表502!C4)),"假设开发法",IF(ISNUMBER(FIND("收益法",结果表502!C4)),"收益法","基准地价系数修正法"))))</f>
        <v>比较法</v>
      </c>
      <c r="L4" s="146" t="str">
        <f>IF(ISNUMBER(FIND("比较法",结果表502!D4)),"比较法",IF(ISNUMBER(FIND("成本法",结果表502!D4)),"成本法",IF(ISNUMBER(FIND("假设开发法",结果表502!D4)),"假设开发法",IF(ISNUMBER(FIND("收益法",结果表502!D4)),"收益法","基准地价系数修正法"))))</f>
        <v>收益法</v>
      </c>
    </row>
    <row r="5" spans="1:12" ht="12.75">
      <c r="A5" s="3596" t="s">
        <v>1263</v>
      </c>
      <c r="B5" s="3651">
        <v>25</v>
      </c>
      <c r="C5" s="3654"/>
      <c r="D5" s="3642"/>
      <c r="E5" s="131" t="s">
        <v>1264</v>
      </c>
      <c r="F5" s="1753"/>
      <c r="G5" s="1753"/>
      <c r="H5" s="1753"/>
      <c r="I5" s="1369"/>
    </row>
    <row r="6" spans="1:12" ht="12.75">
      <c r="A6" s="3596"/>
      <c r="B6" s="3651"/>
      <c r="C6" s="3656"/>
      <c r="D6" s="3642"/>
      <c r="E6" s="131" t="s">
        <v>1265</v>
      </c>
      <c r="F6" s="1753"/>
      <c r="G6" s="1753"/>
      <c r="H6" s="1753"/>
      <c r="I6" s="1369"/>
    </row>
    <row r="7" spans="1:12" ht="12.75">
      <c r="A7" s="3596"/>
      <c r="B7" s="3651"/>
      <c r="C7" s="3655"/>
      <c r="D7" s="3642"/>
      <c r="E7" s="131" t="s">
        <v>1266</v>
      </c>
      <c r="F7" s="1753"/>
      <c r="G7" s="1753"/>
      <c r="H7" s="1753"/>
      <c r="I7" s="1369"/>
    </row>
    <row r="8" spans="1:12" ht="12.75">
      <c r="A8" s="3596" t="s">
        <v>1267</v>
      </c>
      <c r="B8" s="3651">
        <v>15</v>
      </c>
      <c r="C8" s="3654"/>
      <c r="D8" s="3642"/>
      <c r="E8" s="131" t="s">
        <v>1268</v>
      </c>
      <c r="F8" s="1753"/>
      <c r="G8" s="1753"/>
      <c r="H8" s="1753"/>
      <c r="I8" s="1369"/>
    </row>
    <row r="9" spans="1:12" ht="12.75">
      <c r="A9" s="3596"/>
      <c r="B9" s="3651"/>
      <c r="C9" s="3655"/>
      <c r="D9" s="3642"/>
      <c r="E9" s="131" t="s">
        <v>1269</v>
      </c>
      <c r="F9" s="1753"/>
      <c r="G9" s="1753"/>
      <c r="H9" s="1753"/>
      <c r="I9" s="1369"/>
    </row>
    <row r="10" spans="1:12" ht="12.75">
      <c r="A10" s="3596" t="s">
        <v>1270</v>
      </c>
      <c r="B10" s="3651">
        <v>15</v>
      </c>
      <c r="C10" s="3654"/>
      <c r="D10" s="3642"/>
      <c r="E10" s="131" t="s">
        <v>1271</v>
      </c>
      <c r="F10" s="1753"/>
      <c r="G10" s="1753"/>
      <c r="H10" s="1753"/>
      <c r="I10" s="1369"/>
    </row>
    <row r="11" spans="1:12" ht="12.75">
      <c r="A11" s="3596"/>
      <c r="B11" s="3651"/>
      <c r="C11" s="3655"/>
      <c r="D11" s="3642"/>
      <c r="E11" s="131" t="s">
        <v>1272</v>
      </c>
      <c r="F11" s="1753"/>
      <c r="G11" s="1753"/>
      <c r="H11" s="1753"/>
      <c r="I11" s="1369"/>
    </row>
    <row r="12" spans="1:12" ht="12.75">
      <c r="A12" s="3596" t="s">
        <v>1273</v>
      </c>
      <c r="B12" s="3651">
        <v>15</v>
      </c>
      <c r="C12" s="3654"/>
      <c r="D12" s="3642"/>
      <c r="E12" s="131" t="s">
        <v>1274</v>
      </c>
      <c r="F12" s="1753"/>
      <c r="G12" s="1753"/>
      <c r="H12" s="1753"/>
      <c r="I12" s="1369"/>
    </row>
    <row r="13" spans="1:12" ht="12.75">
      <c r="A13" s="3596"/>
      <c r="B13" s="3651"/>
      <c r="C13" s="3655"/>
      <c r="D13" s="3642"/>
      <c r="E13" s="131" t="s">
        <v>1275</v>
      </c>
      <c r="F13" s="1753"/>
      <c r="G13" s="1753"/>
      <c r="H13" s="1753"/>
      <c r="I13" s="1369"/>
    </row>
    <row r="14" spans="1:12" ht="12.75">
      <c r="A14" s="3596" t="s">
        <v>1276</v>
      </c>
      <c r="B14" s="3651">
        <v>30</v>
      </c>
      <c r="C14" s="3654">
        <v>7</v>
      </c>
      <c r="D14" s="3642">
        <v>3</v>
      </c>
      <c r="E14" s="131" t="s">
        <v>1277</v>
      </c>
      <c r="F14" s="1753"/>
      <c r="G14" s="1753"/>
      <c r="H14" s="1753"/>
      <c r="I14" s="1369"/>
    </row>
    <row r="15" spans="1:12" ht="12.75">
      <c r="A15" s="3596"/>
      <c r="B15" s="3651"/>
      <c r="C15" s="3656"/>
      <c r="D15" s="3642"/>
      <c r="E15" s="131" t="s">
        <v>1278</v>
      </c>
      <c r="F15" s="1753"/>
      <c r="G15" s="1753"/>
      <c r="H15" s="1753"/>
      <c r="I15" s="1369"/>
    </row>
    <row r="16" spans="1:12" ht="12.75">
      <c r="A16" s="3596"/>
      <c r="B16" s="3651"/>
      <c r="C16" s="3655"/>
      <c r="D16" s="3642"/>
      <c r="E16" s="131" t="s">
        <v>1279</v>
      </c>
      <c r="F16" s="1753"/>
      <c r="G16" s="1753"/>
      <c r="H16" s="1753"/>
      <c r="I16" s="1369"/>
    </row>
    <row r="17" spans="1:36" ht="15">
      <c r="A17" s="1754" t="s">
        <v>1280</v>
      </c>
      <c r="B17" s="56"/>
      <c r="C17" s="132">
        <f>SUM(C5:C16)</f>
        <v>7</v>
      </c>
      <c r="D17" s="132">
        <f>SUM(D5:D16)</f>
        <v>3</v>
      </c>
      <c r="E17" s="129"/>
      <c r="F17" s="129"/>
      <c r="G17" s="129"/>
      <c r="H17" s="129"/>
      <c r="I17" s="129"/>
      <c r="K17" s="302"/>
      <c r="L17" s="302" t="s">
        <v>1281</v>
      </c>
      <c r="M17" s="302" t="s">
        <v>1282</v>
      </c>
    </row>
    <row r="18" spans="1:36" ht="31.9" customHeight="1" thickBot="1">
      <c r="A18" s="1755" t="s">
        <v>1283</v>
      </c>
      <c r="B18" s="1756"/>
      <c r="C18" s="133">
        <f>ROUND(C17/SUM(C17:D17),2)</f>
        <v>0.7</v>
      </c>
      <c r="D18" s="133">
        <f>1-C18</f>
        <v>0.30000000000000004</v>
      </c>
      <c r="E18" s="3673" t="s">
        <v>2126</v>
      </c>
      <c r="F18" s="3674"/>
      <c r="G18" s="3674"/>
      <c r="H18" s="3674"/>
      <c r="I18" s="3674"/>
      <c r="K18" s="302" t="s">
        <v>1284</v>
      </c>
      <c r="L18" s="302">
        <f>IF(C1="",'数据-汇总表'!E3,SUMIF(项目类型,C1,'数据-汇总表'!E17:E26)+SUMIF(项目类型,C1,'数据-汇总表'!I17:I26))</f>
        <v>115.33</v>
      </c>
      <c r="M18" s="302">
        <f>IF(C1="",'数据-汇总表'!E3,SUMIF(项目类型,C1,'数据-汇总表'!E17:E26))</f>
        <v>115.33</v>
      </c>
    </row>
    <row r="19" spans="1:36" ht="15">
      <c r="A19" s="1757" t="s">
        <v>1285</v>
      </c>
      <c r="B19" s="1758" t="s">
        <v>1286</v>
      </c>
      <c r="C19" s="134">
        <f ca="1">SUMIF(INDIRECT("'"&amp;C4&amp;"'"&amp;"!A:A"),结果表502!B19,INDIRECT("'"&amp;C4&amp;"'"&amp;"!B:B"))</f>
        <v>313.4785</v>
      </c>
      <c r="D19" s="135">
        <f ca="1">SUMIF(INDIRECT("'"&amp;D4&amp;"'"&amp;"!A:A"),结果表502!B19,INDIRECT("'"&amp;D4&amp;"'"&amp;"!B:B"))</f>
        <v>234.2998</v>
      </c>
      <c r="E19" s="1757" t="s">
        <v>1287</v>
      </c>
      <c r="F19" s="1758" t="s">
        <v>1286</v>
      </c>
      <c r="G19" s="136">
        <f ca="1">ROUND(C19*$C$18+D19*$D$18,0)</f>
        <v>290</v>
      </c>
      <c r="H19" s="1759"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0"/>
      <c r="B20" s="1022" t="s">
        <v>1290</v>
      </c>
      <c r="C20" s="137">
        <f ca="1">SUMIF(INDIRECT("'"&amp;C4&amp;"'"&amp;"!A:A"),结果表502!B20,INDIRECT("'"&amp;C4&amp;"'"&amp;"!B:B"))</f>
        <v>27181</v>
      </c>
      <c r="D20" s="138">
        <f ca="1">SUMIF(INDIRECT("'"&amp;D4&amp;"'"&amp;"!A:A"),结果表502!B20,INDIRECT("'"&amp;D4&amp;"'"&amp;"!B:B"))</f>
        <v>20316</v>
      </c>
      <c r="E20" s="1760"/>
      <c r="F20" s="1022" t="s">
        <v>1290</v>
      </c>
      <c r="G20" s="139">
        <f ca="1">ROUND(C20*$C$18+D20*$D$18,0)</f>
        <v>25122</v>
      </c>
      <c r="H20" s="804" t="s">
        <v>1291</v>
      </c>
      <c r="I20" s="129"/>
    </row>
    <row r="21" spans="1:36" ht="15" customHeight="1" thickBot="1">
      <c r="A21" s="824"/>
      <c r="B21" s="1761" t="s">
        <v>1292</v>
      </c>
      <c r="C21" s="719" t="e">
        <f ca="1">ROUND(C19*10000/L19,0)</f>
        <v>#DIV/0!</v>
      </c>
      <c r="D21" s="720" t="e">
        <f ca="1">ROUND(D19*10000/L19,0)</f>
        <v>#DIV/0!</v>
      </c>
      <c r="E21" s="824"/>
      <c r="F21" s="1761" t="s">
        <v>1292</v>
      </c>
      <c r="G21" s="140" t="e">
        <f ca="1">ROUND(G19*10000/L19,0)</f>
        <v>#DIV/0!</v>
      </c>
      <c r="H21" s="1762" t="s">
        <v>1291</v>
      </c>
      <c r="I21" s="129"/>
    </row>
    <row r="22" spans="1:36" ht="15" thickBot="1">
      <c r="A22" s="1684" t="s">
        <v>1293</v>
      </c>
      <c r="B22" s="1763"/>
      <c r="C22" s="1764"/>
      <c r="D22" s="721">
        <f ca="1">IF(C19&lt;D19,D19/C19-1,C19/D19-1)</f>
        <v>0.33793754838885892</v>
      </c>
      <c r="E22" s="129"/>
      <c r="F22" s="129"/>
      <c r="G22" s="129"/>
      <c r="H22" s="129"/>
      <c r="I22" s="129"/>
    </row>
    <row r="23" spans="1:36" ht="13.5" thickBot="1">
      <c r="A23" s="1743"/>
      <c r="B23" s="1743"/>
      <c r="C23" s="1743"/>
      <c r="D23" s="1743"/>
      <c r="E23" s="129"/>
      <c r="F23" s="129"/>
      <c r="G23" s="129"/>
      <c r="H23" s="129"/>
      <c r="I23" s="129"/>
    </row>
    <row r="24" spans="1:36" ht="14.25">
      <c r="A24" s="3666" t="s">
        <v>1294</v>
      </c>
      <c r="B24" s="1758" t="s">
        <v>1286</v>
      </c>
      <c r="C24" s="136">
        <f>IF(B30=0,0,D30)</f>
        <v>0</v>
      </c>
      <c r="D24" s="1765"/>
      <c r="E24" s="129"/>
      <c r="F24" s="129"/>
      <c r="G24" s="129"/>
      <c r="H24" s="129"/>
      <c r="I24" s="129"/>
    </row>
    <row r="25" spans="1:36" ht="14.25">
      <c r="A25" s="3667"/>
      <c r="B25" s="1022" t="s">
        <v>1290</v>
      </c>
      <c r="C25" s="141">
        <f>IF(B30=0,0,C30)</f>
        <v>0</v>
      </c>
      <c r="D25" s="1766"/>
      <c r="E25" s="129"/>
      <c r="F25" s="129"/>
      <c r="G25" s="129"/>
      <c r="H25" s="129"/>
      <c r="I25" s="129"/>
    </row>
    <row r="26" spans="1:36" ht="13.5" customHeight="1">
      <c r="A26" s="1767" t="s">
        <v>1295</v>
      </c>
      <c r="B26" s="142" t="s">
        <v>1296</v>
      </c>
      <c r="C26" s="142" t="s">
        <v>1297</v>
      </c>
      <c r="D26" s="143" t="s">
        <v>1298</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1299</v>
      </c>
      <c r="B30" s="142"/>
      <c r="C30" s="142"/>
      <c r="D30" s="142"/>
      <c r="E30" s="2298" t="s">
        <v>2127</v>
      </c>
      <c r="F30" s="129"/>
      <c r="G30" s="129"/>
      <c r="H30" s="129"/>
      <c r="I30" s="129"/>
    </row>
    <row r="31" spans="1:36" s="2304" customFormat="1" ht="26.45" customHeight="1" thickTop="1" thickBot="1">
      <c r="A31" s="2299"/>
      <c r="B31" s="2300"/>
      <c r="C31" s="2300"/>
      <c r="D31" s="2300"/>
      <c r="E31" s="2300"/>
      <c r="F31" s="2300"/>
      <c r="G31" s="2300"/>
      <c r="H31" s="2300"/>
      <c r="I31" s="2301" t="s">
        <v>2128</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1300</v>
      </c>
      <c r="B32" s="1770"/>
      <c r="C32" s="144">
        <f ca="1">IF(D32="总价",G19-C24,G20-C25)</f>
        <v>25122</v>
      </c>
      <c r="D32" s="1771" t="s">
        <v>3424</v>
      </c>
      <c r="E32" s="129"/>
      <c r="F32" s="129"/>
      <c r="G32" s="129"/>
      <c r="H32" s="129"/>
      <c r="I32" s="129"/>
    </row>
    <row r="33" spans="1:15" ht="15">
      <c r="A33" s="782" t="s">
        <v>1301</v>
      </c>
      <c r="B33" s="1772"/>
      <c r="C33" s="1773" t="s">
        <v>3425</v>
      </c>
      <c r="D33" s="1774"/>
      <c r="E33" s="1775" t="s">
        <v>1302</v>
      </c>
      <c r="F33" s="1776" t="str">
        <f>IF(D32="楼面单价","取值（单价）","取值（总价）")</f>
        <v>取值（单价）</v>
      </c>
      <c r="G33" s="129"/>
      <c r="H33" s="129"/>
      <c r="I33" s="129"/>
    </row>
    <row r="34" spans="1:15" ht="15">
      <c r="A34" s="1777"/>
      <c r="B34" s="1778" t="s">
        <v>1303</v>
      </c>
      <c r="C34" s="148">
        <f>IF(C33="自定义",F34,C32-C35)</f>
        <v>0</v>
      </c>
      <c r="D34" s="857">
        <f ca="1">IF(C33="自定义",ROUND(C34/C32,3),IF(C33="收益比率",SUMIF(INDIRECT("'"&amp;D33&amp;"'"&amp;"!b:b"),"土地收益比率",INDIRECT("'"&amp;D33&amp;"'"&amp;"!c:c")),SUMIF(INDIRECT("'"&amp;D33&amp;"'"&amp;"!b:b"),"土地成本比率",INDIRECT("'"&amp;D33&amp;"'"&amp;"!c:c"))))</f>
        <v>0</v>
      </c>
      <c r="E34" s="1779" t="s">
        <v>1304</v>
      </c>
      <c r="F34" s="1326"/>
      <c r="G34" s="129"/>
      <c r="H34" s="129"/>
      <c r="I34" s="129"/>
    </row>
    <row r="35" spans="1:15" ht="15.75" thickBot="1">
      <c r="A35" s="1780"/>
      <c r="B35" s="1781" t="s">
        <v>1305</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1306</v>
      </c>
      <c r="F35" s="154"/>
      <c r="G35" s="129"/>
      <c r="H35" s="129"/>
      <c r="I35" s="129"/>
    </row>
    <row r="36" spans="1:15" ht="15.75" thickBot="1">
      <c r="A36" s="3643" t="s">
        <v>1307</v>
      </c>
      <c r="B36" s="1783" t="s">
        <v>1308</v>
      </c>
      <c r="C36" s="145"/>
      <c r="D36" s="1784"/>
      <c r="E36" s="1785"/>
      <c r="F36" s="1786"/>
      <c r="G36" s="129"/>
      <c r="H36" s="129"/>
      <c r="I36" s="129"/>
    </row>
    <row r="37" spans="1:15" ht="15.75" thickBot="1">
      <c r="A37" s="3644"/>
      <c r="B37" s="1670" t="s">
        <v>1309</v>
      </c>
      <c r="C37" s="147"/>
      <c r="D37" s="1135"/>
      <c r="E37" s="1135"/>
      <c r="F37" s="1786"/>
      <c r="G37" s="129"/>
      <c r="H37" s="129"/>
      <c r="I37" s="129"/>
    </row>
    <row r="38" spans="1:15" ht="15.75" thickBot="1">
      <c r="A38" s="3645"/>
      <c r="B38" s="1787" t="s">
        <v>1310</v>
      </c>
      <c r="C38" s="674"/>
      <c r="D38" s="1788" t="s">
        <v>1311</v>
      </c>
      <c r="E38" s="1135"/>
      <c r="F38" s="1786"/>
      <c r="G38" s="129"/>
      <c r="H38" s="129"/>
      <c r="I38" s="129"/>
    </row>
    <row r="39" spans="1:15" ht="15">
      <c r="A39" s="1760" t="s">
        <v>1312</v>
      </c>
      <c r="B39" s="1789" t="s">
        <v>1296</v>
      </c>
      <c r="C39" s="1790" t="s">
        <v>1297</v>
      </c>
      <c r="D39" s="1790" t="s">
        <v>1315</v>
      </c>
      <c r="E39" s="1791" t="s">
        <v>1298</v>
      </c>
      <c r="F39" s="1786"/>
      <c r="G39" s="129"/>
      <c r="H39" s="129"/>
      <c r="I39" s="129"/>
    </row>
    <row r="40" spans="1:15" ht="14.25">
      <c r="A40" s="1792" t="s">
        <v>1317</v>
      </c>
      <c r="B40" s="149"/>
      <c r="C40" s="150"/>
      <c r="D40" s="150"/>
      <c r="E40" s="151"/>
      <c r="F40" s="1786"/>
      <c r="G40" s="129"/>
      <c r="H40" s="129"/>
      <c r="I40" s="129"/>
    </row>
    <row r="41" spans="1:15" ht="14.25">
      <c r="A41" s="1792" t="s">
        <v>1318</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1319</v>
      </c>
      <c r="B44" s="1797"/>
      <c r="C44" s="1797"/>
      <c r="D44" s="1798"/>
      <c r="E44" s="1798"/>
      <c r="F44" s="1799"/>
      <c r="G44" s="1799"/>
      <c r="H44" s="1799"/>
      <c r="I44" s="1799"/>
      <c r="J44" s="1800" t="s">
        <v>1320</v>
      </c>
      <c r="K44" s="1801"/>
      <c r="L44" s="1801"/>
      <c r="M44" s="1801"/>
      <c r="N44" s="1801"/>
      <c r="O44" s="1801"/>
    </row>
    <row r="45" spans="1:15" ht="14.25" customHeight="1" thickBot="1">
      <c r="A45" s="3663" t="s">
        <v>1321</v>
      </c>
      <c r="B45" s="3664"/>
      <c r="C45" s="3665"/>
      <c r="D45" s="155">
        <f ca="1">ROUND(H101*F45,0)</f>
        <v>290</v>
      </c>
      <c r="E45" s="156" t="s">
        <v>1322</v>
      </c>
      <c r="F45" s="157">
        <v>1</v>
      </c>
      <c r="G45" s="158" t="s">
        <v>1323</v>
      </c>
      <c r="H45" s="129"/>
      <c r="I45" s="129"/>
      <c r="J45" s="3583" t="s">
        <v>1324</v>
      </c>
      <c r="K45" s="3583"/>
      <c r="L45" s="3583"/>
      <c r="M45" s="3583"/>
      <c r="N45" s="3583"/>
      <c r="O45" s="3583"/>
    </row>
    <row r="46" spans="1:15" ht="14.25" customHeight="1">
      <c r="A46" s="3660" t="s">
        <v>1325</v>
      </c>
      <c r="B46" s="3661"/>
      <c r="C46" s="3661"/>
      <c r="D46" s="3661"/>
      <c r="E46" s="3661"/>
      <c r="F46" s="3661"/>
      <c r="G46" s="3662"/>
      <c r="H46" s="1802"/>
      <c r="I46" s="159"/>
      <c r="J46" s="3466">
        <v>1</v>
      </c>
      <c r="K46" s="3584" t="s">
        <v>1326</v>
      </c>
      <c r="L46" s="3584"/>
      <c r="M46" s="3585"/>
      <c r="N46" s="3585"/>
      <c r="O46" s="3585"/>
    </row>
    <row r="47" spans="1:15" ht="12" customHeight="1">
      <c r="A47" s="160" t="s">
        <v>1327</v>
      </c>
      <c r="B47" s="161"/>
      <c r="C47" s="162"/>
      <c r="D47" s="1083" t="s">
        <v>1328</v>
      </c>
      <c r="E47" s="302" t="s">
        <v>1329</v>
      </c>
      <c r="F47" s="163" t="s">
        <v>1330</v>
      </c>
      <c r="G47" s="2540" t="s">
        <v>1331</v>
      </c>
      <c r="H47" s="2541"/>
      <c r="I47" s="159"/>
      <c r="J47" s="3466">
        <v>2</v>
      </c>
      <c r="K47" s="3584" t="s">
        <v>1332</v>
      </c>
      <c r="L47" s="3584"/>
      <c r="M47" s="3586">
        <f>'数据-取费表'!B2</f>
        <v>45034</v>
      </c>
      <c r="N47" s="3586"/>
      <c r="O47" s="3586"/>
    </row>
    <row r="48" spans="1:15" ht="25.5">
      <c r="A48" s="3646" t="s">
        <v>1333</v>
      </c>
      <c r="B48" s="3647"/>
      <c r="C48" s="3647"/>
      <c r="D48" s="3461" t="b">
        <f>IF(H48="情况1",0,IF(H48="情况2",D52,IF(H48="情况3",D53,IF(H48="情况4",D54))))</f>
        <v>0</v>
      </c>
      <c r="E48" s="3476" t="str">
        <f>IF(H48="情况4","(销售额-原购置价)×税（费）率","销售额×税（费）率")</f>
        <v>销售额×税（费）率</v>
      </c>
      <c r="F48" s="2542">
        <f>IF(H48="情况1","免征",'数据-取费表'!B41)</f>
        <v>5.5000000000000007E-2</v>
      </c>
      <c r="G48" s="2543" t="s">
        <v>1334</v>
      </c>
      <c r="H48" s="2544"/>
      <c r="I48" s="1802"/>
      <c r="J48" s="3466">
        <v>3</v>
      </c>
      <c r="K48" s="3584" t="s">
        <v>1335</v>
      </c>
      <c r="L48" s="3584"/>
      <c r="M48" s="3587">
        <f ca="1">H101</f>
        <v>290</v>
      </c>
      <c r="N48" s="3587"/>
      <c r="O48" s="3587"/>
    </row>
    <row r="49" spans="1:35" ht="25.5" customHeight="1">
      <c r="A49" s="3475" t="s">
        <v>1336</v>
      </c>
      <c r="B49" s="3632" t="s">
        <v>1337</v>
      </c>
      <c r="C49" s="3632"/>
      <c r="D49" s="1586">
        <v>0</v>
      </c>
      <c r="E49" s="324" t="s">
        <v>1338</v>
      </c>
      <c r="F49" s="3458" t="s">
        <v>28</v>
      </c>
      <c r="G49" s="3615"/>
      <c r="H49" s="2305" t="s">
        <v>2129</v>
      </c>
      <c r="I49" s="2306"/>
      <c r="J49" s="3466">
        <v>4</v>
      </c>
      <c r="K49" s="3584" t="str">
        <f>IF(项目基本情况!E8="房地产抵押价值","房地产抵押价值","抵押担保权已注销时的房地产抵押价值")</f>
        <v>房地产抵押价值</v>
      </c>
      <c r="L49" s="3584"/>
      <c r="M49" s="3587">
        <f ca="1">IF(项目基本情况!E8="房地产抵押价值",H107,H109)</f>
        <v>290</v>
      </c>
      <c r="N49" s="3587"/>
      <c r="O49" s="3587"/>
    </row>
    <row r="50" spans="1:35" ht="25.5" customHeight="1">
      <c r="A50" s="2545"/>
      <c r="B50" s="3632" t="s">
        <v>1339</v>
      </c>
      <c r="C50" s="3632"/>
      <c r="D50" s="2546"/>
      <c r="E50" s="332"/>
      <c r="F50" s="3458"/>
      <c r="G50" s="3616"/>
      <c r="H50" s="2307" t="s">
        <v>2130</v>
      </c>
      <c r="I50" s="2306"/>
      <c r="J50" s="3583" t="s">
        <v>1340</v>
      </c>
      <c r="K50" s="3583"/>
      <c r="L50" s="3583"/>
      <c r="M50" s="3583"/>
      <c r="N50" s="3583"/>
      <c r="O50" s="3583"/>
    </row>
    <row r="51" spans="1:35" ht="20.45" customHeight="1">
      <c r="A51" s="2547"/>
      <c r="B51" s="3632" t="s">
        <v>1341</v>
      </c>
      <c r="C51" s="3632"/>
      <c r="D51" s="1083"/>
      <c r="E51" s="327"/>
      <c r="F51" s="3458"/>
      <c r="G51" s="3617"/>
      <c r="H51" s="2307" t="s">
        <v>2131</v>
      </c>
      <c r="I51" s="2306"/>
      <c r="J51" s="3460" t="s">
        <v>1342</v>
      </c>
      <c r="K51" s="3584" t="s">
        <v>1343</v>
      </c>
      <c r="L51" s="3584"/>
      <c r="M51" s="3460" t="s">
        <v>1344</v>
      </c>
      <c r="N51" s="3460" t="s">
        <v>1345</v>
      </c>
      <c r="O51" s="3460" t="s">
        <v>1346</v>
      </c>
    </row>
    <row r="52" spans="1:35" ht="24" customHeight="1">
      <c r="A52" s="3479" t="s">
        <v>1347</v>
      </c>
      <c r="B52" s="3632" t="s">
        <v>1348</v>
      </c>
      <c r="C52" s="3632"/>
      <c r="D52" s="1083">
        <f ca="1">ROUND(D45*'数据-取费表'!B41/(1+'数据-取费表'!C42),0)</f>
        <v>15</v>
      </c>
      <c r="E52" s="3476" t="s">
        <v>1349</v>
      </c>
      <c r="F52" s="2548">
        <f>'数据-取费表'!B41</f>
        <v>5.5000000000000007E-2</v>
      </c>
      <c r="G52" s="2549"/>
      <c r="H52" s="2538"/>
      <c r="I52" s="1803"/>
      <c r="J52" s="3466">
        <v>1</v>
      </c>
      <c r="K52" s="3609" t="s">
        <v>1350</v>
      </c>
      <c r="L52" s="3609"/>
      <c r="M52" s="2519" t="b">
        <f>D48</f>
        <v>0</v>
      </c>
      <c r="N52" s="3466" t="str">
        <f>E48</f>
        <v>销售额×税（费）率</v>
      </c>
      <c r="O52" s="2520">
        <f>F48</f>
        <v>5.5000000000000007E-2</v>
      </c>
    </row>
    <row r="53" spans="1:35" ht="12" customHeight="1">
      <c r="A53" s="3479" t="s">
        <v>1351</v>
      </c>
      <c r="B53" s="3633" t="s">
        <v>2286</v>
      </c>
      <c r="C53" s="3634"/>
      <c r="D53" s="1083">
        <f ca="1">ROUND(D45*'数据-取费表'!B41/(1+'数据-取费表'!C42),0)</f>
        <v>15</v>
      </c>
      <c r="E53" s="3476" t="s">
        <v>1349</v>
      </c>
      <c r="F53" s="2548">
        <f>'数据-取费表'!B41</f>
        <v>5.5000000000000007E-2</v>
      </c>
      <c r="G53" s="2549"/>
      <c r="H53" s="2538"/>
      <c r="I53" s="1803"/>
      <c r="J53" s="3466">
        <v>2</v>
      </c>
      <c r="K53" s="3609" t="s">
        <v>1352</v>
      </c>
      <c r="L53" s="3609"/>
      <c r="M53" s="2519">
        <f t="shared" ref="M53:O54" ca="1" si="0">D55</f>
        <v>0</v>
      </c>
      <c r="N53" s="3466" t="str">
        <f t="shared" si="0"/>
        <v>销售额×税（费）率</v>
      </c>
      <c r="O53" s="2520" t="str">
        <f t="shared" si="0"/>
        <v>免征</v>
      </c>
    </row>
    <row r="54" spans="1:35" ht="12" customHeight="1">
      <c r="A54" s="3479" t="s">
        <v>1353</v>
      </c>
      <c r="B54" s="3633" t="s">
        <v>2287</v>
      </c>
      <c r="C54" s="3634"/>
      <c r="D54" s="1083">
        <f ca="1">C68</f>
        <v>15</v>
      </c>
      <c r="E54" s="327" t="s">
        <v>1354</v>
      </c>
      <c r="F54" s="2548">
        <f>'数据-取费表'!B41</f>
        <v>5.5000000000000007E-2</v>
      </c>
      <c r="G54" s="2549"/>
      <c r="H54" s="2550"/>
      <c r="I54" s="1803"/>
      <c r="J54" s="3466">
        <v>3</v>
      </c>
      <c r="K54" s="3609" t="s">
        <v>1355</v>
      </c>
      <c r="L54" s="3609"/>
      <c r="M54" s="2519">
        <f t="shared" ca="1" si="0"/>
        <v>165</v>
      </c>
      <c r="N54" s="3466" t="str">
        <f t="shared" si="0"/>
        <v>增值额×税（费）率</v>
      </c>
      <c r="O54" s="2521" t="str">
        <f t="shared" si="0"/>
        <v>免征</v>
      </c>
    </row>
    <row r="55" spans="1:35" ht="24" customHeight="1">
      <c r="A55" s="3669" t="s">
        <v>1356</v>
      </c>
      <c r="B55" s="3647"/>
      <c r="C55" s="3647"/>
      <c r="D55" s="3461">
        <f ca="1">IF(H55="个人住宅",0,ROUND(D45*I55,0))</f>
        <v>0</v>
      </c>
      <c r="E55" s="3476" t="s">
        <v>1357</v>
      </c>
      <c r="F55" s="2548" t="str">
        <f>IF(H55="正常",I55,"免征")</f>
        <v>免征</v>
      </c>
      <c r="G55" s="2549"/>
      <c r="H55" s="2544"/>
      <c r="I55" s="165">
        <f>'数据-取费表'!B49</f>
        <v>5.0000000000000001E-4</v>
      </c>
      <c r="J55" s="3466">
        <f>IF(H59="非个人房产","",4)</f>
        <v>4</v>
      </c>
      <c r="K55" s="3609" t="str">
        <f>IF(H59="非个人房产","——","个人所得税")</f>
        <v>个人所得税</v>
      </c>
      <c r="L55" s="3609"/>
      <c r="M55" s="2522">
        <f ca="1">D59</f>
        <v>3</v>
      </c>
      <c r="N55" s="3467" t="str">
        <f>E59</f>
        <v>差额计税</v>
      </c>
      <c r="O55" s="2523">
        <f>F59</f>
        <v>0.01</v>
      </c>
    </row>
    <row r="56" spans="1:35" ht="24.75">
      <c r="A56" s="3669" t="s">
        <v>1358</v>
      </c>
      <c r="B56" s="3647"/>
      <c r="C56" s="3647"/>
      <c r="D56" s="3461">
        <f ca="1">IF(H56="个人住宅",D57,D58)</f>
        <v>165</v>
      </c>
      <c r="E56" s="3476" t="s">
        <v>1359</v>
      </c>
      <c r="F56" s="2548" t="str">
        <f>IF(H56="正常",F58,"免征")</f>
        <v>免征</v>
      </c>
      <c r="G56" s="2551" t="s">
        <v>1360</v>
      </c>
      <c r="H56" s="2552"/>
      <c r="I56" s="1804"/>
      <c r="J56" s="3466" t="str">
        <f>IF(项目基本情况!K6="上海银行",IF(J55="",4,J55+1),"")</f>
        <v/>
      </c>
      <c r="K56" s="3590" t="str">
        <f>IF(项目基本情况!K6="上海银行","其他处置费用","")</f>
        <v/>
      </c>
      <c r="L56" s="3591"/>
      <c r="M56" s="2519" t="str">
        <f>IF(项目基本情况!K6="上海银行",M69,"")</f>
        <v/>
      </c>
      <c r="N56" s="3590" t="str">
        <f>IF(项目基本情况!K6="上海银行","包含处置中涉及的律师、诉讼、拍卖、评估等费用","")</f>
        <v/>
      </c>
      <c r="O56" s="3593"/>
    </row>
    <row r="57" spans="1:35" ht="12.75">
      <c r="A57" s="3479" t="s">
        <v>1336</v>
      </c>
      <c r="B57" s="3633" t="s">
        <v>1361</v>
      </c>
      <c r="C57" s="3634"/>
      <c r="D57" s="1586">
        <v>0</v>
      </c>
      <c r="E57" s="324" t="s">
        <v>1338</v>
      </c>
      <c r="F57" s="302"/>
      <c r="G57" s="2549"/>
      <c r="H57" s="2553"/>
      <c r="I57" s="1804"/>
      <c r="J57" s="3609">
        <f>IF(AND(J55="",J56=""),4,IF(项目基本情况!K6="上海银行",结果表502!J56+1,结果表502!J55+1))</f>
        <v>5</v>
      </c>
      <c r="K57" s="3609" t="s">
        <v>1362</v>
      </c>
      <c r="L57" s="2524" t="s">
        <v>1363</v>
      </c>
      <c r="M57" s="2525"/>
      <c r="N57" s="2526">
        <f ca="1">SUMIF(M52:M56,"&lt;9e307")</f>
        <v>168</v>
      </c>
      <c r="O57" s="2527"/>
      <c r="P57" s="2683">
        <f ca="1">N57/M49</f>
        <v>0.57931034482758625</v>
      </c>
    </row>
    <row r="58" spans="1:35" ht="24.75">
      <c r="A58" s="3479" t="s">
        <v>1347</v>
      </c>
      <c r="B58" s="3633" t="s">
        <v>1364</v>
      </c>
      <c r="C58" s="3632"/>
      <c r="D58" s="3461">
        <f ca="1">IF(H58="转让取得",C81,C97)</f>
        <v>165</v>
      </c>
      <c r="E58" s="3476" t="s">
        <v>1359</v>
      </c>
      <c r="F58" s="302" t="s">
        <v>28</v>
      </c>
      <c r="G58" s="2549"/>
      <c r="H58" s="2552"/>
      <c r="I58" s="1804"/>
      <c r="J58" s="3609"/>
      <c r="K58" s="3609"/>
      <c r="L58" s="2524" t="s">
        <v>1365</v>
      </c>
      <c r="M58" s="2528"/>
      <c r="N58" s="2529" t="str">
        <f ca="1">NUMBERSTRING(INT(N57*10000),2)&amp;"元整"</f>
        <v>壹佰陆拾捌万元整</v>
      </c>
      <c r="O58" s="2530"/>
    </row>
    <row r="59" spans="1:35" ht="24.75" thickBot="1">
      <c r="A59" s="3613" t="s">
        <v>1366</v>
      </c>
      <c r="B59" s="3614"/>
      <c r="C59" s="3614"/>
      <c r="D59" s="2554">
        <f ca="1">IF(H59="非个人房产","——",IF(H59="个人住宅（满五唯一有凭证）",0,IF(H59="个人其他（无凭证）",ROUND(D45*F59,0),ROUND(C67*F59,0))))</f>
        <v>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09"/>
      <c r="I59" s="2308" t="s">
        <v>2132</v>
      </c>
      <c r="J59" s="3611">
        <f>J57+1</f>
        <v>6</v>
      </c>
      <c r="K59" s="3609" t="s">
        <v>1367</v>
      </c>
      <c r="L59" s="3466" t="s">
        <v>1363</v>
      </c>
      <c r="M59" s="2531"/>
      <c r="N59" s="2532">
        <f ca="1">M49-N57</f>
        <v>122</v>
      </c>
      <c r="O59" s="2533"/>
    </row>
    <row r="60" spans="1:35" ht="12" customHeight="1">
      <c r="A60" s="1805"/>
      <c r="B60" s="1743"/>
      <c r="C60" s="1743"/>
      <c r="D60" s="1743"/>
      <c r="E60" s="1574"/>
      <c r="F60" s="1804"/>
      <c r="G60" s="1804"/>
      <c r="H60" s="1806"/>
      <c r="I60" s="129"/>
      <c r="J60" s="3612"/>
      <c r="K60" s="3609"/>
      <c r="L60" s="2524" t="s">
        <v>1365</v>
      </c>
      <c r="M60" s="2528"/>
      <c r="N60" s="2529" t="str">
        <f ca="1">NUMBERSTRING(INT(N59*10000),2)&amp;"元整"</f>
        <v>壹佰贰拾贰万元整</v>
      </c>
      <c r="O60" s="2530"/>
    </row>
    <row r="61" spans="1:35" ht="13.5" thickBot="1">
      <c r="A61" s="3668" t="s">
        <v>1368</v>
      </c>
      <c r="B61" s="3668"/>
      <c r="C61" s="3668"/>
      <c r="D61" s="3668"/>
      <c r="E61" s="3668"/>
      <c r="F61" s="1804"/>
      <c r="G61" s="1804"/>
      <c r="H61" s="1806"/>
      <c r="I61" s="129"/>
      <c r="J61" s="3466">
        <f>J59+1</f>
        <v>7</v>
      </c>
      <c r="K61" s="3609" t="s">
        <v>1369</v>
      </c>
      <c r="L61" s="3609"/>
      <c r="M61" s="2534"/>
      <c r="N61" s="2535">
        <f ca="1">ROUND(N59*10000/'数据-汇总表'!E3,0)</f>
        <v>1794</v>
      </c>
      <c r="O61" s="2536"/>
    </row>
    <row r="62" spans="1:35" ht="12.75">
      <c r="A62" s="3628" t="s">
        <v>1370</v>
      </c>
      <c r="B62" s="3629"/>
      <c r="C62" s="3471"/>
      <c r="D62" s="3471" t="s">
        <v>1371</v>
      </c>
      <c r="E62" s="166" t="s">
        <v>1372</v>
      </c>
      <c r="F62" s="1804"/>
      <c r="G62" s="1804"/>
      <c r="H62" s="1806"/>
      <c r="I62" s="129"/>
    </row>
    <row r="63" spans="1:35" ht="12.75">
      <c r="A63" s="173" t="s">
        <v>330</v>
      </c>
      <c r="B63" s="167" t="s">
        <v>1373</v>
      </c>
      <c r="C63" s="2558">
        <f ca="1">ROUND((C64+C65)/(1+'数据-取费表'!C42),0)</f>
        <v>276</v>
      </c>
      <c r="D63" s="167"/>
      <c r="E63" s="168"/>
      <c r="F63" s="1804"/>
      <c r="G63" s="1804"/>
      <c r="H63" s="1806"/>
      <c r="I63" s="129"/>
      <c r="J63" s="3592" t="s">
        <v>1374</v>
      </c>
      <c r="K63" s="3462" t="s">
        <v>1375</v>
      </c>
      <c r="L63" s="3462">
        <f ca="1">IF(M49&gt;10000,M49*0.5%,IF(AND(M49&gt;1000,M49&lt;=10000),M49*1%,IF(AND(M49&gt;100,M49&lt;=1000),M49*3%,IF(AND(M49&gt;10,M49&lt;=100),M49*5%,M49*8%))))</f>
        <v>8.6999999999999993</v>
      </c>
      <c r="M63" s="302">
        <f ca="1">ROUND(L63,1)</f>
        <v>8.6999999999999993</v>
      </c>
      <c r="N63" s="2537"/>
      <c r="Z63" s="1748"/>
      <c r="AI63" s="1749"/>
    </row>
    <row r="64" spans="1:35" ht="14.25" customHeight="1">
      <c r="A64" s="169" t="s">
        <v>325</v>
      </c>
      <c r="B64" s="170" t="s">
        <v>1376</v>
      </c>
      <c r="C64" s="2559">
        <f ca="1">D45</f>
        <v>290</v>
      </c>
      <c r="D64" s="170" t="s">
        <v>26</v>
      </c>
      <c r="E64" s="172"/>
      <c r="F64" s="1804"/>
      <c r="G64" s="1804"/>
      <c r="H64" s="1806"/>
      <c r="I64" s="129"/>
      <c r="J64" s="3592"/>
      <c r="K64" s="3462" t="s">
        <v>1377</v>
      </c>
      <c r="L64" s="3462">
        <f ca="1">IF(M49&gt;2000,M49*0.5%,IF(AND(M49&gt;1000,M49&lt;=2000),M49*0.6%,IF(AND(M49&gt;500,M49&lt;=1000),M49*0.7%,IF(AND(M49&gt;200,M49&lt;=500),M49*0.8%,IF(AND(M49&gt;100,M49&lt;=200),M49*0.9%,IF(AND(M49&gt;50,M49&lt;=100),M49*1%,IF(AND(M49&gt;20,M49&lt;=50),M49*1.5%,IF(AND(M49&gt;10,M49&lt;=20),M49*2%,IF(AND(M49&gt;1,M49&lt;=10),M49*2.5%)))))))))</f>
        <v>2.3199999999999998</v>
      </c>
      <c r="M64" s="302">
        <f t="shared" ref="M64:M65" ca="1" si="1">ROUND(L64,1)</f>
        <v>2.2999999999999998</v>
      </c>
      <c r="N64" s="2538" t="s">
        <v>1378</v>
      </c>
      <c r="Z64" s="1748"/>
      <c r="AI64" s="1749"/>
    </row>
    <row r="65" spans="1:35" ht="14.25" customHeight="1">
      <c r="A65" s="169" t="s">
        <v>326</v>
      </c>
      <c r="B65" s="170" t="s">
        <v>1379</v>
      </c>
      <c r="C65" s="2560"/>
      <c r="D65" s="170"/>
      <c r="E65" s="172"/>
      <c r="F65" s="1804"/>
      <c r="G65" s="1804"/>
      <c r="H65" s="1806"/>
      <c r="I65" s="129"/>
      <c r="J65" s="3592"/>
      <c r="K65" s="3462" t="s">
        <v>1380</v>
      </c>
      <c r="L65" s="3462">
        <f ca="1">IF(M49&gt;1000,M49*0.1%,IF(AND(M49&gt;500,M49&lt;=1000),M49*0.5%,IF(AND(M49&gt;50,M49&lt;=500),M49*1%,IF(AND(M49&gt;1,M49&lt;=50),M49*1.5%))))</f>
        <v>2.9</v>
      </c>
      <c r="M65" s="302">
        <f t="shared" ca="1" si="1"/>
        <v>2.9</v>
      </c>
      <c r="N65" s="2538" t="s">
        <v>1378</v>
      </c>
      <c r="Z65" s="1748"/>
      <c r="AI65" s="1749"/>
    </row>
    <row r="66" spans="1:35" ht="14.25" customHeight="1">
      <c r="A66" s="173" t="s">
        <v>327</v>
      </c>
      <c r="B66" s="174" t="s">
        <v>1381</v>
      </c>
      <c r="C66" s="2561"/>
      <c r="D66" s="174" t="s">
        <v>26</v>
      </c>
      <c r="E66" s="1334" t="s">
        <v>667</v>
      </c>
      <c r="F66" s="1804"/>
      <c r="G66" s="1804"/>
      <c r="H66" s="1806"/>
      <c r="I66" s="129"/>
      <c r="J66" s="3592"/>
      <c r="K66" s="3462" t="s">
        <v>1382</v>
      </c>
      <c r="L66" s="3462">
        <f ca="1">M49*0.5%</f>
        <v>1.45</v>
      </c>
      <c r="M66" s="302">
        <f ca="1">IF(L66&gt;0.5,0.5,ROUND(L66,0))</f>
        <v>0.5</v>
      </c>
      <c r="N66" s="2538" t="s">
        <v>1383</v>
      </c>
      <c r="Z66" s="1748"/>
      <c r="AI66" s="1749"/>
    </row>
    <row r="67" spans="1:35" ht="14.25" customHeight="1">
      <c r="A67" s="173" t="s">
        <v>328</v>
      </c>
      <c r="B67" s="174" t="s">
        <v>1384</v>
      </c>
      <c r="C67" s="2562">
        <f ca="1">C63-C66</f>
        <v>276</v>
      </c>
      <c r="D67" s="170" t="s">
        <v>26</v>
      </c>
      <c r="E67" s="172"/>
      <c r="F67" s="1804"/>
      <c r="G67" s="1804"/>
      <c r="H67" s="1806"/>
      <c r="I67" s="129"/>
      <c r="J67" s="3592"/>
      <c r="K67" s="3462" t="s">
        <v>1385</v>
      </c>
      <c r="L67" s="3462">
        <f ca="1">IF(M49&gt;=10000,(8.25+(M49-10000)*0.01%),IF(AND(M49&gt;=8000,M49&lt;10000),(7.85+(M49-8000)*0.02%),IF(AND(M49&gt;=5000,M49&lt;8000),(6.65+(M49-5000)*0.04%),IF(AND(M49&gt;=2000,M49&lt;5000),(4.25+(PM49-2000)*0.08%),IF(AND(M49&gt;=1000,M49&lt;2000),(2.75+(M49-1000)*0.15%),IF(AND(M49&gt;=100,M49&lt;1000),(0.5+(M49-100)*0.25%),IF(AND(M49&gt;0,M49&lt;100),M49*0.5%)))))))</f>
        <v>0.97500000000000009</v>
      </c>
      <c r="M67" s="302">
        <f ca="1">ROUND(L67*0.9,1)</f>
        <v>0.9</v>
      </c>
      <c r="N67" s="2537"/>
      <c r="Z67" s="1748"/>
      <c r="AI67" s="1749"/>
    </row>
    <row r="68" spans="1:35" ht="14.25" customHeight="1" thickBot="1">
      <c r="A68" s="176" t="s">
        <v>329</v>
      </c>
      <c r="B68" s="177" t="s">
        <v>1386</v>
      </c>
      <c r="C68" s="2563">
        <f ca="1">IF(C67&lt;=0,0,ROUND(C67*D68,0))</f>
        <v>15</v>
      </c>
      <c r="D68" s="2564">
        <f>'数据-取费表'!B41</f>
        <v>5.5000000000000007E-2</v>
      </c>
      <c r="E68" s="178"/>
      <c r="F68" s="1804"/>
      <c r="G68" s="1804"/>
      <c r="H68" s="1806"/>
      <c r="I68" s="129"/>
      <c r="J68" s="3592"/>
      <c r="K68" s="3462" t="s">
        <v>1387</v>
      </c>
      <c r="L68" s="3462">
        <f ca="1">IF(M49&gt;10000,M49*0.5%,IF(AND(M49&gt;5000,M49&lt;=10000),M49*1%,IF(AND(M49&gt;1000,M49&lt;=5000),M49*2%,IF(AND(M49&gt;200,M49&lt;=1000),M49*3%,M49*5%))))</f>
        <v>8.6999999999999993</v>
      </c>
      <c r="M68" s="302">
        <f ca="1">ROUND(L68,1)</f>
        <v>8.6999999999999993</v>
      </c>
      <c r="N68" s="2537"/>
      <c r="Z68" s="1748"/>
      <c r="AI68" s="1749"/>
    </row>
    <row r="69" spans="1:35" s="1768" customFormat="1" ht="16.5" customHeight="1">
      <c r="A69" s="1807"/>
      <c r="B69" s="1808"/>
      <c r="C69" s="1809"/>
      <c r="D69" s="1810"/>
      <c r="E69" s="1811"/>
      <c r="F69" s="1574"/>
      <c r="G69" s="1574"/>
      <c r="H69" s="1573"/>
      <c r="I69" s="1743"/>
      <c r="J69" s="3592"/>
      <c r="K69" s="3462" t="s">
        <v>1388</v>
      </c>
      <c r="L69" s="3462"/>
      <c r="M69" s="302">
        <f ca="1">ROUND(SUM(M63:M68),0)</f>
        <v>24</v>
      </c>
      <c r="N69" s="2539">
        <f ca="1">M69/M49</f>
        <v>8.2758620689655171E-2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6" t="s">
        <v>1389</v>
      </c>
      <c r="B70" s="3637"/>
      <c r="C70" s="3637"/>
      <c r="D70" s="3637"/>
      <c r="E70" s="3637"/>
      <c r="F70" s="3637"/>
      <c r="G70" s="3637"/>
      <c r="H70" s="363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8" t="s">
        <v>1370</v>
      </c>
      <c r="B71" s="3629"/>
      <c r="C71" s="3471"/>
      <c r="D71" s="3471" t="s">
        <v>1371</v>
      </c>
      <c r="E71" s="179" t="s">
        <v>1372</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1390</v>
      </c>
      <c r="C72" s="2562">
        <f ca="1">ROUND(D45/(1+'数据-取费表'!C42),0)</f>
        <v>276</v>
      </c>
      <c r="D72" s="170" t="s">
        <v>26</v>
      </c>
      <c r="E72" s="3473"/>
      <c r="F72" s="3472"/>
      <c r="G72" s="3472"/>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1391</v>
      </c>
      <c r="C73" s="2562">
        <f ca="1">C74+C78</f>
        <v>1</v>
      </c>
      <c r="D73" s="170" t="s">
        <v>26</v>
      </c>
      <c r="E73" s="3473"/>
      <c r="F73" s="3472"/>
      <c r="G73" s="3472"/>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1392</v>
      </c>
      <c r="C74" s="170">
        <f>ROUND(IF(G77="2016年5月1日后购买",C75/(1+'数据-取费表'!C42)+C76+C77,C75+C76+C77),0)</f>
        <v>0</v>
      </c>
      <c r="D74" s="170" t="s">
        <v>26</v>
      </c>
      <c r="E74" s="3473"/>
      <c r="F74" s="3472"/>
      <c r="G74" s="3472"/>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1393</v>
      </c>
      <c r="C75" s="2565"/>
      <c r="D75" s="170" t="s">
        <v>26</v>
      </c>
      <c r="E75" s="184" t="s">
        <v>1394</v>
      </c>
      <c r="F75" s="2566"/>
      <c r="G75" s="184" t="s">
        <v>1395</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1396</v>
      </c>
      <c r="C76" s="170">
        <f>IF(F75="购房发票",ROUND(C75*H75*D76,0),0)</f>
        <v>0</v>
      </c>
      <c r="D76" s="2568">
        <v>0.05</v>
      </c>
      <c r="E76" s="3633" t="s">
        <v>1397</v>
      </c>
      <c r="F76" s="3632"/>
      <c r="G76" s="3632"/>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1398</v>
      </c>
      <c r="C77" s="170">
        <f>ROUND(IF(G77="个人住宅",0,IF(G77="2016年5月1日前购买",C75*D77,C75*D77/(1+'数据-取费表'!C42))),0)</f>
        <v>0</v>
      </c>
      <c r="D77" s="2569">
        <f>'数据-取费表'!B48+'数据-取费表'!B49</f>
        <v>3.0499999999999999E-2</v>
      </c>
      <c r="E77" s="3461" t="s">
        <v>1399</v>
      </c>
      <c r="F77" s="186"/>
      <c r="G77" s="1818"/>
      <c r="H77" s="3474"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1400</v>
      </c>
      <c r="C78" s="2570">
        <f ca="1">ROUND(D45*D78/(1+'数据-取费表'!C42),0)</f>
        <v>1</v>
      </c>
      <c r="D78" s="2571">
        <f>'数据-取费表'!B43</f>
        <v>5.000000000000001E-3</v>
      </c>
      <c r="E78" s="3625" t="s">
        <v>1401</v>
      </c>
      <c r="F78" s="3626"/>
      <c r="G78" s="3626"/>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328</v>
      </c>
      <c r="B79" s="174" t="s">
        <v>1402</v>
      </c>
      <c r="C79" s="2562">
        <f ca="1">C72-C73</f>
        <v>275</v>
      </c>
      <c r="D79" s="170" t="s">
        <v>26</v>
      </c>
      <c r="E79" s="3473"/>
      <c r="F79" s="3472"/>
      <c r="G79" s="3472"/>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1403</v>
      </c>
      <c r="C80" s="2572">
        <f ca="1">IF(C79&lt;=0,0,C79/C73)</f>
        <v>275</v>
      </c>
      <c r="D80" s="170" t="s">
        <v>26</v>
      </c>
      <c r="E80" s="3461" t="str">
        <f ca="1">IF(C80&gt;=200%,"增值额超过扣除项目金额200%",IF(C80&gt;=100%,"增值额超过扣除项目金额100%，未超过200%",IF(C80&gt;=50%,"增值额超过扣除项目金额50%，未超过100%",IF(C80&lt;50%,"增值额未超过扣除项目金额50%"))))</f>
        <v>增值额超过扣除项目金额200%</v>
      </c>
      <c r="F80" s="3472"/>
      <c r="G80" s="3472"/>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1404</v>
      </c>
      <c r="C81" s="2573">
        <f ca="1">ROUND(IF(C79&lt;=0,0,IF(C80&gt;=200%,C79*60%-C73*35%,IF(C80&gt;=100%,C79*50%-C73*15%,IF(C80&gt;=50%,C79*40%-C73*5%,IF(C80&lt;50%,C79*30%,0))))),0)</f>
        <v>165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1405</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8" t="s">
        <v>1370</v>
      </c>
      <c r="B84" s="3629"/>
      <c r="C84" s="3471"/>
      <c r="D84" s="3471" t="s">
        <v>1371</v>
      </c>
      <c r="E84" s="179" t="s">
        <v>1372</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1390</v>
      </c>
      <c r="C85" s="2562">
        <f ca="1">ROUND(D45/(1+'数据-取费表'!C42),0)</f>
        <v>276</v>
      </c>
      <c r="D85" s="170" t="s">
        <v>26</v>
      </c>
      <c r="E85" s="3473"/>
      <c r="F85" s="3472"/>
      <c r="G85" s="3472"/>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1391</v>
      </c>
      <c r="C86" s="2562">
        <f ca="1">IF(H88="仅含出让金",C87+C90+C91+C92+C93+C94,C87+C91+C92+C93+C94)</f>
        <v>1</v>
      </c>
      <c r="D86" s="2575"/>
      <c r="E86" s="3473"/>
      <c r="F86" s="3472"/>
      <c r="G86" s="3472"/>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1406</v>
      </c>
      <c r="C87" s="2570">
        <f>C88+C89</f>
        <v>0</v>
      </c>
      <c r="D87" s="2571"/>
      <c r="E87" s="3468"/>
      <c r="F87" s="3469"/>
      <c r="G87" s="3469"/>
      <c r="H87" s="3470"/>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1407</v>
      </c>
      <c r="C88" s="2576"/>
      <c r="D88" s="2571"/>
      <c r="E88" s="193" t="s">
        <v>1408</v>
      </c>
      <c r="F88" s="3469"/>
      <c r="G88" s="194" t="s">
        <v>1409</v>
      </c>
      <c r="H88" s="1820"/>
      <c r="I88" s="1817"/>
      <c r="J88" s="2515"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1398</v>
      </c>
      <c r="C89" s="2570">
        <f>ROUND(C88*D89,0)</f>
        <v>0</v>
      </c>
      <c r="D89" s="2571">
        <f>'数据-取费表'!B48+'数据-取费表'!B49</f>
        <v>3.0499999999999999E-2</v>
      </c>
      <c r="E89" s="193" t="s">
        <v>1410</v>
      </c>
      <c r="F89" s="3469"/>
      <c r="G89" s="3469"/>
      <c r="H89" s="3470"/>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1411</v>
      </c>
      <c r="C90" s="2576"/>
      <c r="D90" s="2571"/>
      <c r="E90" s="193" t="str">
        <f>IF(H88="-","土地取得成本中已包含该笔费用"," ")</f>
        <v xml:space="preserve"> </v>
      </c>
      <c r="F90" s="3469"/>
      <c r="G90" s="3594" t="s">
        <v>2124</v>
      </c>
      <c r="H90" s="3595"/>
      <c r="I90" s="1817"/>
      <c r="J90" s="2515"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1412</v>
      </c>
      <c r="B91" s="170" t="s">
        <v>1413</v>
      </c>
      <c r="C91" s="2570">
        <f>IF(H91="——",成本法!C33,I91)</f>
        <v>0</v>
      </c>
      <c r="D91" s="2571"/>
      <c r="E91" s="3625" t="s">
        <v>1414</v>
      </c>
      <c r="F91" s="3626"/>
      <c r="G91" s="362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1415</v>
      </c>
      <c r="B92" s="170" t="s">
        <v>1416</v>
      </c>
      <c r="C92" s="2570">
        <f>ROUND((C87+C90+C91)*D92,0)</f>
        <v>0</v>
      </c>
      <c r="D92" s="2577"/>
      <c r="E92" s="3625" t="s">
        <v>1417</v>
      </c>
      <c r="F92" s="3626"/>
      <c r="G92" s="3626"/>
      <c r="H92" s="3627"/>
      <c r="I92" s="1817"/>
      <c r="J92" s="2516"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1418</v>
      </c>
      <c r="B93" s="170" t="s">
        <v>1400</v>
      </c>
      <c r="C93" s="2570">
        <f ca="1">ROUND(D45*D93/(1+'数据-取费表'!C42),0)</f>
        <v>1</v>
      </c>
      <c r="D93" s="2571">
        <f>'数据-取费表'!B43</f>
        <v>5.000000000000001E-3</v>
      </c>
      <c r="E93" s="3625" t="s">
        <v>1401</v>
      </c>
      <c r="F93" s="3626"/>
      <c r="G93" s="3626"/>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1419</v>
      </c>
      <c r="B94" s="170" t="s">
        <v>1420</v>
      </c>
      <c r="C94" s="2576">
        <f>ROUND((C87+C90+C91)*D94,0)</f>
        <v>0</v>
      </c>
      <c r="D94" s="2571">
        <v>0.2</v>
      </c>
      <c r="E94" s="3670" t="s">
        <v>1421</v>
      </c>
      <c r="F94" s="3671"/>
      <c r="G94" s="3671"/>
      <c r="H94" s="367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328</v>
      </c>
      <c r="B95" s="174" t="s">
        <v>1402</v>
      </c>
      <c r="C95" s="2562">
        <f ca="1">ROUND(C85-C86,0)</f>
        <v>275</v>
      </c>
      <c r="D95" s="170" t="s">
        <v>26</v>
      </c>
      <c r="E95" s="3473"/>
      <c r="F95" s="3472"/>
      <c r="G95" s="3472"/>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1403</v>
      </c>
      <c r="C96" s="2572">
        <f ca="1">IF(C95&lt;=0,0,C95/C86)</f>
        <v>275</v>
      </c>
      <c r="D96" s="170" t="s">
        <v>26</v>
      </c>
      <c r="E96" s="3461" t="str">
        <f ca="1">IF(C96&gt;=200%,"增值额超过扣除项目金额200%",IF(C96&gt;=100%,"增值额超过扣除项目金额100%，未超过200%",IF(C96&gt;=50%,"增值额超过扣除项目金额50%，未超过100%",IF(C96&lt;50%,"增值额未超过扣除项目金额50%"))))</f>
        <v>增值额超过扣除项目金额200%</v>
      </c>
      <c r="F96" s="3472"/>
      <c r="G96" s="3472"/>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1404</v>
      </c>
      <c r="C97" s="2573">
        <f ca="1">ROUND(IF(C95&lt;=0,0,IF(C96&gt;=200%,C95*60%-C86*35%,IF(C96&gt;=100%,C95*50%-C86*15%,IF(C96&gt;=50%,C95*40%-C86*5%,IF(C96&lt;50%,C95*30%,0))))),0)</f>
        <v>165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1422</v>
      </c>
      <c r="B99" s="1743"/>
      <c r="C99" s="1743"/>
      <c r="D99" s="1743"/>
      <c r="E99" s="1574"/>
      <c r="F99" s="1574"/>
      <c r="G99" s="1574"/>
      <c r="H99" s="1573"/>
      <c r="I99" s="129"/>
    </row>
    <row r="100" spans="1:35" ht="18.75" customHeight="1">
      <c r="A100" s="3575" t="s">
        <v>1423</v>
      </c>
      <c r="B100" s="3576"/>
      <c r="C100" s="3576"/>
      <c r="D100" s="3610"/>
      <c r="E100" s="3576" t="s">
        <v>1424</v>
      </c>
      <c r="F100" s="3576"/>
      <c r="G100" s="3576"/>
      <c r="H100" s="3610"/>
      <c r="I100" s="129"/>
    </row>
    <row r="101" spans="1:35" ht="18.75" customHeight="1">
      <c r="A101" s="3618" t="s">
        <v>1425</v>
      </c>
      <c r="B101" s="3619"/>
      <c r="C101" s="2579" t="str">
        <f>C4</f>
        <v>比较法-办公502</v>
      </c>
      <c r="D101" s="2580" t="str">
        <f>D4</f>
        <v>收益法502</v>
      </c>
      <c r="E101" s="3588" t="s">
        <v>1426</v>
      </c>
      <c r="F101" s="3589"/>
      <c r="G101" s="1823" t="s">
        <v>1427</v>
      </c>
      <c r="H101" s="2589">
        <f ca="1">H118</f>
        <v>290</v>
      </c>
      <c r="I101" s="129"/>
    </row>
    <row r="102" spans="1:35" ht="18.75" customHeight="1">
      <c r="A102" s="3620" t="s">
        <v>1428</v>
      </c>
      <c r="B102" s="2578" t="s">
        <v>1427</v>
      </c>
      <c r="C102" s="2579">
        <f ca="1">IF(D32="楼面单价",ROUND(C19,0),C19)</f>
        <v>313</v>
      </c>
      <c r="D102" s="2580">
        <f ca="1">IF(D32="楼面单价",ROUND(D19,0),D19)</f>
        <v>234</v>
      </c>
      <c r="E102" s="3588"/>
      <c r="F102" s="3589"/>
      <c r="G102" s="1823" t="s">
        <v>1429</v>
      </c>
      <c r="H102" s="2549">
        <f ca="1">I118</f>
        <v>25122</v>
      </c>
      <c r="I102" s="129"/>
    </row>
    <row r="103" spans="1:35" ht="42.75" customHeight="1">
      <c r="A103" s="3620"/>
      <c r="B103" s="2578" t="s">
        <v>1429</v>
      </c>
      <c r="C103" s="2581">
        <f ca="1">C20</f>
        <v>27181</v>
      </c>
      <c r="D103" s="2582">
        <f ca="1">D20</f>
        <v>20316</v>
      </c>
      <c r="E103" s="3581" t="s">
        <v>1430</v>
      </c>
      <c r="F103" s="3582"/>
      <c r="G103" s="1824" t="s">
        <v>1431</v>
      </c>
      <c r="H103" s="2589">
        <f>IF(D36="正常操作",H104+H105+H106,H105+H106)</f>
        <v>0</v>
      </c>
      <c r="I103" s="129"/>
    </row>
    <row r="104" spans="1:35" ht="18.75" customHeight="1">
      <c r="A104" s="3620" t="s">
        <v>1432</v>
      </c>
      <c r="B104" s="2583" t="s">
        <v>1427</v>
      </c>
      <c r="C104" s="2584">
        <f ca="1">H118</f>
        <v>290</v>
      </c>
      <c r="D104" s="2585"/>
      <c r="E104" s="1670" t="s">
        <v>1433</v>
      </c>
      <c r="F104" s="1662"/>
      <c r="G104" s="1824" t="s">
        <v>1431</v>
      </c>
      <c r="H104" s="2590">
        <f>IF(D36="同一抵押权人同一抵押物续贷",C36&amp;"（续贷，未扣减，详见特别提示）",C36)</f>
        <v>0</v>
      </c>
      <c r="I104" s="129"/>
    </row>
    <row r="105" spans="1:35" ht="18.75" customHeight="1" thickBot="1">
      <c r="A105" s="3630"/>
      <c r="B105" s="2586" t="s">
        <v>1429</v>
      </c>
      <c r="C105" s="2587">
        <f ca="1">I118</f>
        <v>25122</v>
      </c>
      <c r="D105" s="2588"/>
      <c r="E105" s="1670" t="s">
        <v>1434</v>
      </c>
      <c r="F105" s="1662"/>
      <c r="G105" s="1824" t="s">
        <v>1431</v>
      </c>
      <c r="H105" s="2591">
        <f>C37</f>
        <v>0</v>
      </c>
      <c r="I105" s="129"/>
    </row>
    <row r="106" spans="1:35" ht="18.75" customHeight="1">
      <c r="A106" s="1743" t="s">
        <v>1435</v>
      </c>
      <c r="B106" s="1743"/>
      <c r="C106" s="1743"/>
      <c r="D106" s="1743"/>
      <c r="E106" s="1825" t="s">
        <v>1436</v>
      </c>
      <c r="F106" s="1662"/>
      <c r="G106" s="1824" t="s">
        <v>1431</v>
      </c>
      <c r="H106" s="2591">
        <f>C38</f>
        <v>0</v>
      </c>
      <c r="I106" s="129"/>
    </row>
    <row r="107" spans="1:35" ht="18.75" customHeight="1">
      <c r="A107" s="129"/>
      <c r="B107" s="129"/>
      <c r="C107" s="129"/>
      <c r="D107" s="129"/>
      <c r="E107" s="3621" t="str">
        <f>IF(项目基本情况!E8="已注销","——","3.房地产抵押价值")</f>
        <v>3.房地产抵押价值</v>
      </c>
      <c r="F107" s="3589"/>
      <c r="G107" s="1823" t="s">
        <v>1427</v>
      </c>
      <c r="H107" s="2589">
        <f ca="1">IF(E107="——","——",H101-H103)</f>
        <v>290</v>
      </c>
      <c r="I107" s="129"/>
    </row>
    <row r="108" spans="1:35" ht="18.75" customHeight="1">
      <c r="A108" s="129"/>
      <c r="B108" s="129"/>
      <c r="C108" s="129"/>
      <c r="D108" s="129"/>
      <c r="E108" s="3621"/>
      <c r="F108" s="3589"/>
      <c r="G108" s="1823" t="s">
        <v>1429</v>
      </c>
      <c r="H108" s="2549">
        <f ca="1">IF(H107=H101,H102,ROUND(H107*10000/'数据-汇总表'!E3,0))</f>
        <v>25122</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3" t="s">
        <v>1427</v>
      </c>
      <c r="H109" s="2592" t="str">
        <f>IF(E109="——","——",H101-H105-H106)</f>
        <v>——</v>
      </c>
      <c r="I109" s="129"/>
    </row>
    <row r="110" spans="1:35" ht="18.75" customHeight="1">
      <c r="A110" s="129"/>
      <c r="B110" s="129"/>
      <c r="C110" s="129"/>
      <c r="D110" s="129"/>
      <c r="E110" s="3621"/>
      <c r="F110" s="3589"/>
      <c r="G110" s="1823" t="s">
        <v>1429</v>
      </c>
      <c r="H110" s="2549"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3" t="s">
        <v>1427</v>
      </c>
      <c r="H111" s="2589" t="str">
        <f>IF(E111="——","——",N59)</f>
        <v>——</v>
      </c>
      <c r="I111" s="129"/>
    </row>
    <row r="112" spans="1:35" ht="18.75" customHeight="1" thickBot="1">
      <c r="A112" s="129"/>
      <c r="B112" s="129"/>
      <c r="C112" s="129"/>
      <c r="D112" s="129"/>
      <c r="E112" s="3623"/>
      <c r="F112" s="3624"/>
      <c r="G112" s="1826" t="s">
        <v>1429</v>
      </c>
      <c r="H112" s="2593" t="str">
        <f>IF(E111="——","——",N61)</f>
        <v>——</v>
      </c>
      <c r="I112" s="129"/>
    </row>
    <row r="113" spans="1:27" ht="18.75" customHeight="1">
      <c r="A113" s="129"/>
      <c r="B113" s="129"/>
      <c r="C113" s="129"/>
      <c r="D113" s="129"/>
      <c r="E113" s="3631" t="s">
        <v>1435</v>
      </c>
      <c r="F113" s="3631"/>
      <c r="G113" s="3631"/>
      <c r="H113" s="3631"/>
      <c r="I113" s="129"/>
    </row>
    <row r="114" spans="1:27" ht="3.75" customHeight="1">
      <c r="A114" s="1743"/>
      <c r="B114" s="1743"/>
      <c r="C114" s="1743"/>
      <c r="D114" s="1743"/>
      <c r="E114" s="1805"/>
      <c r="F114" s="1805"/>
      <c r="G114" s="1805"/>
      <c r="H114" s="1805"/>
      <c r="I114" s="1743"/>
    </row>
    <row r="115" spans="1:27" ht="18.75" customHeight="1">
      <c r="A115" s="3639" t="s">
        <v>1437</v>
      </c>
      <c r="B115" s="3640"/>
      <c r="C115" s="3640"/>
      <c r="D115" s="3640"/>
      <c r="E115" s="3640"/>
      <c r="F115" s="3640"/>
      <c r="G115" s="3640"/>
      <c r="H115" s="3640"/>
      <c r="I115" s="3641"/>
    </row>
    <row r="116" spans="1:27" ht="27" customHeight="1">
      <c r="A116" s="3596" t="s">
        <v>1438</v>
      </c>
      <c r="B116" s="3600" t="s">
        <v>1439</v>
      </c>
      <c r="C116" s="3600" t="s">
        <v>1440</v>
      </c>
      <c r="D116" s="3606" t="s">
        <v>1441</v>
      </c>
      <c r="E116" s="3607"/>
      <c r="F116" s="3638" t="s">
        <v>1442</v>
      </c>
      <c r="G116" s="3638"/>
      <c r="H116" s="3596" t="s">
        <v>1443</v>
      </c>
      <c r="I116" s="3596"/>
    </row>
    <row r="117" spans="1:27" ht="18.75" customHeight="1">
      <c r="A117" s="3596"/>
      <c r="B117" s="3601"/>
      <c r="C117" s="3601"/>
      <c r="D117" s="3464" t="s">
        <v>1444</v>
      </c>
      <c r="E117" s="3464" t="s">
        <v>1445</v>
      </c>
      <c r="F117" s="3464" t="s">
        <v>1444</v>
      </c>
      <c r="G117" s="3464" t="s">
        <v>1446</v>
      </c>
      <c r="H117" s="3464" t="s">
        <v>1444</v>
      </c>
      <c r="I117" s="3464" t="s">
        <v>1446</v>
      </c>
    </row>
    <row r="118" spans="1:27" ht="24.75" customHeight="1">
      <c r="A118" s="2594" t="str">
        <f>项目基本情况!S2</f>
        <v>北京市金星西路501房地产</v>
      </c>
      <c r="B118" s="3464">
        <f>M18</f>
        <v>115.33</v>
      </c>
      <c r="C118" s="3464">
        <f>M19</f>
        <v>0</v>
      </c>
      <c r="D118" s="3464">
        <f>ROUND(IF(D32="总价",C34,E118*B118/10000),0)</f>
        <v>0</v>
      </c>
      <c r="E118" s="3464">
        <f>ROUND(IF(C33="自定义",IF(D32="楼面单价",C34,D118*10000/B118),I118-G118),0)</f>
        <v>0</v>
      </c>
      <c r="F118" s="3464">
        <f>ROUND(IF(D32="总价",C35,G118*B118/10000),0)</f>
        <v>0</v>
      </c>
      <c r="G118" s="3464">
        <f>ROUND(IF(D32="楼面单价",C35,F118*10000/B118),0)</f>
        <v>0</v>
      </c>
      <c r="H118" s="3464">
        <f ca="1">ROUND(IF(D32="总价",C32,I118*B118/10000),0)</f>
        <v>290</v>
      </c>
      <c r="I118" s="3464">
        <f ca="1">ROUND(IF(D32="楼面单价",C32,H118*10000/B118),0)</f>
        <v>25122</v>
      </c>
    </row>
    <row r="119" spans="1:27" ht="18.75" customHeight="1">
      <c r="A119" s="3596" t="s">
        <v>1447</v>
      </c>
      <c r="B119" s="3596"/>
      <c r="C119" s="3596"/>
      <c r="D119" s="3602" t="str">
        <f>NUMBERSTRING(INT(D118*10000),2)&amp;"元整"</f>
        <v>零元整</v>
      </c>
      <c r="E119" s="3603"/>
      <c r="F119" s="3602" t="str">
        <f>NUMBERSTRING(INT(F118*10000),2)&amp;"元整"</f>
        <v>零元整</v>
      </c>
      <c r="G119" s="3603"/>
      <c r="H119" s="3602" t="str">
        <f ca="1">NUMBERSTRING(INT(H118*10000),2)&amp;"元整"</f>
        <v>贰佰玖拾万元整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1447</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290</v>
      </c>
      <c r="E122" s="3598"/>
      <c r="F122" s="3598"/>
      <c r="G122" s="3598"/>
      <c r="H122" s="3598"/>
      <c r="I122" s="3599"/>
      <c r="AA122" s="725"/>
    </row>
    <row r="123" spans="1:27" ht="18.75" customHeight="1">
      <c r="A123" s="3596" t="s">
        <v>1447</v>
      </c>
      <c r="B123" s="3596"/>
      <c r="C123" s="3596"/>
      <c r="D123" s="3602" t="str">
        <f ca="1">NUMBERSTRING(INT(D122*10000),2)&amp;"元整"</f>
        <v>贰佰玖拾万元整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1447</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1447</v>
      </c>
      <c r="B127" s="3596"/>
      <c r="C127" s="3596"/>
      <c r="D127" s="3602" t="e">
        <f>NUMBERSTRING(INT(D126*10000),2)&amp;"元整"</f>
        <v>#VALUE!</v>
      </c>
      <c r="E127" s="3604"/>
      <c r="F127" s="3604"/>
      <c r="G127" s="3604"/>
      <c r="H127" s="3604"/>
      <c r="I127" s="3603"/>
      <c r="AA127" s="725"/>
    </row>
    <row r="128" spans="1:27" ht="21.75" customHeight="1">
      <c r="A128" s="3605" t="s">
        <v>1448</v>
      </c>
      <c r="B128" s="3605"/>
      <c r="C128" s="3605"/>
      <c r="D128" s="3605"/>
      <c r="E128" s="3605"/>
      <c r="F128" s="3605"/>
      <c r="G128" s="3605"/>
      <c r="H128" s="3605"/>
      <c r="I128" s="3605"/>
      <c r="AA128" s="725"/>
    </row>
    <row r="129" spans="1:35" ht="21.75" customHeight="1">
      <c r="A129" s="1827" t="s">
        <v>1449</v>
      </c>
      <c r="B129" s="1828"/>
      <c r="C129" s="1829" t="s">
        <v>1450</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1451</v>
      </c>
      <c r="G135" s="1844"/>
      <c r="H135" s="1844"/>
      <c r="I135" s="1845" t="s">
        <v>1452</v>
      </c>
    </row>
    <row r="136" spans="1:35" ht="21.75" customHeight="1">
      <c r="A136" s="725"/>
      <c r="B136" s="1846"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1454</v>
      </c>
    </row>
    <row r="139" spans="1:35" ht="21.75" customHeight="1">
      <c r="A139" s="725"/>
      <c r="B139" s="1846" t="s">
        <v>1455</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1454</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受贵公司委托，我公司对北京市金星西路501房地产抵押价值进行了预评估。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估价对象为北京市金星西路501房地产，为所有。根据《国有土地使用证》[]，估价对象（分摊）出让国有建设用地使用权面积为0平方米，建筑面积为680.04平方米。</v>
      </c>
    </row>
    <row r="8" spans="1:1" ht="57.75">
      <c r="A8" s="1479" t="s">
        <v>897</v>
      </c>
    </row>
    <row r="9" spans="1:1" ht="18.75">
      <c r="A9" s="1478" t="s">
        <v>898</v>
      </c>
    </row>
    <row r="10" spans="1:1" ht="54">
      <c r="A10" s="1476" t="str">
        <f>"估价对象为"&amp;项目基本情况!S2&amp;IF(结果表501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估价对象为北京市金星西路501房地产,属开发建设的，该项目尚在开发建设中。根据《国有土地使用证》[]，估价对象（分摊）出让国有建设用地使用权面积为0平方米，规划建筑面积为680.04平方米。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拟使用北京市金星西路501房地产作为抵押担保物，向办理贷款手续。特委托北京康正宏基房地产评估有限公司对上述抵押物进行评估。本次评估为确定房地产抵押贷款额度提供参考依据而评估房地产抵押价值。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2023年4月18日（评估专业人员实地查勘之日）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501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501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892</v>
      </c>
    </row>
    <row r="24" spans="1:1" ht="18">
      <c r="A24" s="1483" t="str">
        <f>"本次评估采用的主估价方法为"&amp;结果表501!K4&amp;"和"&amp;结果表501!L4&amp;"。"</f>
        <v>本次评估采用的主估价方法为比较法和收益法。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953" t="s">
        <v>1805</v>
      </c>
      <c r="C1" s="1220" t="s">
        <v>1657</v>
      </c>
      <c r="D1" s="1221">
        <v>502</v>
      </c>
      <c r="E1" s="3425" t="s">
        <v>3387</v>
      </c>
      <c r="F1" s="1875" t="s">
        <v>3423</v>
      </c>
      <c r="G1" s="1231" t="s">
        <v>1658</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681</v>
      </c>
      <c r="B2" s="1160">
        <f>IF(E1="项目模式",IF(C2="——",ROUND(C50*D3/10000,0),ROUND(C50*D3/10000,0)-D2),IF(E1="单套模式",IF(C2="——",ROUND(C50*D3/10000,4),ROUND(C50*D3/10000,4)-D2)))</f>
        <v>313.4785</v>
      </c>
      <c r="C2" s="1877" t="s">
        <v>43</v>
      </c>
      <c r="D2" s="1111" t="e">
        <f ca="1">IF(E1="项目模式",SUMIF(INDIRECT("'"&amp;F2&amp;"'"&amp;"!A:A"),"承租人权益价值",INDIRECT("'"&amp;F2&amp;"'"&amp;"!c:c")),SUMIF(INDIRECT("'"&amp;F2&amp;"'"&amp;"!A:A"),"承租人权益价值（单套）",INDIRECT("'"&amp;F2&amp;"'"&amp;"!c:c")))</f>
        <v>#REF!</v>
      </c>
      <c r="E2" s="1878" t="s">
        <v>1458</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682</v>
      </c>
      <c r="B3" s="558">
        <f>IF(C2="——",C50,ROUND(B2*10000/D3,0))</f>
        <v>27181</v>
      </c>
      <c r="C3" s="354" t="s">
        <v>1660</v>
      </c>
      <c r="D3" s="353">
        <f>IF(D1="",'数据-汇总表'!E3,SUMIF('数据-汇总表'!$C19:$C33,D1,'数据-汇总表'!$E19:$E33))</f>
        <v>115.33</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1661</v>
      </c>
      <c r="B4" s="356"/>
      <c r="C4" s="3686" t="s">
        <v>1662</v>
      </c>
      <c r="D4" s="3687"/>
      <c r="E4" s="3688" t="s">
        <v>1663</v>
      </c>
      <c r="F4" s="3689"/>
      <c r="G4" s="3686" t="s">
        <v>1664</v>
      </c>
      <c r="H4" s="3687"/>
      <c r="I4" s="3686" t="s">
        <v>1665</v>
      </c>
      <c r="J4" s="3687"/>
      <c r="K4" s="559" t="s">
        <v>1666</v>
      </c>
      <c r="L4" s="2708"/>
      <c r="M4" s="2709"/>
      <c r="N4" s="2709"/>
      <c r="O4" s="2709"/>
      <c r="P4" s="3690" t="s">
        <v>1667</v>
      </c>
      <c r="Q4" s="3691"/>
      <c r="R4" s="3696" t="s">
        <v>1663</v>
      </c>
      <c r="S4" s="3697"/>
      <c r="T4" s="3696" t="s">
        <v>1664</v>
      </c>
      <c r="U4" s="3697"/>
      <c r="V4" s="3708" t="s">
        <v>1665</v>
      </c>
      <c r="W4" s="3708"/>
      <c r="X4" s="3485"/>
      <c r="Y4" s="3696" t="s">
        <v>1667</v>
      </c>
      <c r="Z4" s="3697"/>
      <c r="AA4" s="3710" t="s">
        <v>1663</v>
      </c>
      <c r="AB4" s="3710" t="s">
        <v>1664</v>
      </c>
      <c r="AC4" s="3683" t="s">
        <v>1665</v>
      </c>
    </row>
    <row r="5" spans="1:29" ht="15">
      <c r="A5" s="358"/>
      <c r="B5" s="359"/>
      <c r="C5" s="3700" t="s">
        <v>3442</v>
      </c>
      <c r="D5" s="3701"/>
      <c r="E5" s="3700" t="s">
        <v>3442</v>
      </c>
      <c r="F5" s="3701"/>
      <c r="G5" s="3700" t="s">
        <v>3442</v>
      </c>
      <c r="H5" s="3701"/>
      <c r="I5" s="3700" t="s">
        <v>3442</v>
      </c>
      <c r="J5" s="3701"/>
      <c r="K5" s="559"/>
      <c r="L5" s="2708"/>
      <c r="M5" s="2709"/>
      <c r="N5" s="2709"/>
      <c r="O5" s="2709"/>
      <c r="P5" s="3692"/>
      <c r="Q5" s="3693"/>
      <c r="R5" s="3698"/>
      <c r="S5" s="3699"/>
      <c r="T5" s="3698"/>
      <c r="U5" s="3699"/>
      <c r="V5" s="3709"/>
      <c r="W5" s="3709"/>
      <c r="X5" s="3480"/>
      <c r="Y5" s="3698"/>
      <c r="Z5" s="3699"/>
      <c r="AA5" s="3711"/>
      <c r="AB5" s="3711"/>
      <c r="AC5" s="3684"/>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694"/>
      <c r="Q6" s="3695"/>
      <c r="R6" s="3698"/>
      <c r="S6" s="3699"/>
      <c r="T6" s="3706"/>
      <c r="U6" s="3707"/>
      <c r="V6" s="3709"/>
      <c r="W6" s="3709"/>
      <c r="X6" s="3480"/>
      <c r="Y6" s="3706"/>
      <c r="Z6" s="3707"/>
      <c r="AA6" s="3712"/>
      <c r="AB6" s="3712"/>
      <c r="AC6" s="3685"/>
    </row>
    <row r="7" spans="1:29" s="108" customFormat="1" ht="15.75" thickBot="1">
      <c r="A7" s="362" t="s">
        <v>1674</v>
      </c>
      <c r="B7" s="363"/>
      <c r="C7" s="364">
        <f>'数据-取费表'!B2</f>
        <v>45034</v>
      </c>
      <c r="D7" s="365">
        <v>100</v>
      </c>
      <c r="E7" s="366">
        <v>45017</v>
      </c>
      <c r="F7" s="367">
        <f>SUMIF(59:59,YEAR(E7)&amp;"-"&amp;MONTH(E7),60:60)</f>
        <v>100</v>
      </c>
      <c r="G7" s="366">
        <v>45017</v>
      </c>
      <c r="H7" s="365">
        <f>SUMIF(59:59,YEAR(G7)&amp;"-"&amp;MONTH(G7),60:60)</f>
        <v>100</v>
      </c>
      <c r="I7" s="366">
        <v>45017</v>
      </c>
      <c r="J7" s="365">
        <f>SUMIF(59:59,YEAR(I7)&amp;"-"&amp;MONTH(I7),60:60)</f>
        <v>100</v>
      </c>
      <c r="K7" s="560"/>
      <c r="L7" s="2710"/>
      <c r="M7" s="2711"/>
      <c r="N7" s="2711"/>
      <c r="O7" s="2711"/>
      <c r="P7" s="3713" t="s">
        <v>1675</v>
      </c>
      <c r="Q7" s="3714"/>
      <c r="R7" s="701" t="s">
        <v>14</v>
      </c>
      <c r="S7" s="702">
        <f t="shared" ref="S7:S15" si="0">F7</f>
        <v>100</v>
      </c>
      <c r="T7" s="701" t="s">
        <v>14</v>
      </c>
      <c r="U7" s="702">
        <f t="shared" ref="U7:U15" si="1">H7</f>
        <v>100</v>
      </c>
      <c r="V7" s="701" t="s">
        <v>14</v>
      </c>
      <c r="W7" s="702">
        <f t="shared" ref="W7:W15" si="2">J7</f>
        <v>100</v>
      </c>
      <c r="X7" s="703"/>
      <c r="Y7" s="3716" t="s">
        <v>1675</v>
      </c>
      <c r="Z7" s="3715"/>
      <c r="AA7" s="704">
        <f>D7/F7</f>
        <v>1</v>
      </c>
      <c r="AB7" s="704">
        <f>D7/H7</f>
        <v>1</v>
      </c>
      <c r="AC7" s="1954">
        <f>D7/J7</f>
        <v>1</v>
      </c>
    </row>
    <row r="8" spans="1:29" s="108" customFormat="1" ht="15.75" thickBot="1">
      <c r="A8" s="362" t="s">
        <v>1676</v>
      </c>
      <c r="B8" s="363"/>
      <c r="C8" s="368" t="s">
        <v>3388</v>
      </c>
      <c r="D8" s="365">
        <v>100</v>
      </c>
      <c r="E8" s="368" t="s">
        <v>3389</v>
      </c>
      <c r="F8" s="367">
        <f>SUMIF(62:62,E8,63:63)-SUMIF(62:62,C8,63:63)+100</f>
        <v>102</v>
      </c>
      <c r="G8" s="368" t="s">
        <v>3389</v>
      </c>
      <c r="H8" s="365">
        <f>SUMIF(62:62,G8,63:63)-SUMIF(62:62,C8,63:63)+100</f>
        <v>102</v>
      </c>
      <c r="I8" s="368" t="s">
        <v>3389</v>
      </c>
      <c r="J8" s="365">
        <f>SUMIF(62:62,I8,63:63)-SUMIF(62:62,C8,63:63)+100</f>
        <v>102</v>
      </c>
      <c r="K8" s="560"/>
      <c r="L8" s="2710"/>
      <c r="M8" s="2711"/>
      <c r="N8" s="2711"/>
      <c r="O8" s="2711"/>
      <c r="P8" s="3713" t="s">
        <v>1678</v>
      </c>
      <c r="Q8" s="3715"/>
      <c r="R8" s="701" t="s">
        <v>14</v>
      </c>
      <c r="S8" s="702">
        <f t="shared" si="0"/>
        <v>102</v>
      </c>
      <c r="T8" s="701" t="s">
        <v>14</v>
      </c>
      <c r="U8" s="702">
        <f t="shared" si="1"/>
        <v>102</v>
      </c>
      <c r="V8" s="701" t="s">
        <v>14</v>
      </c>
      <c r="W8" s="702">
        <f t="shared" si="2"/>
        <v>102</v>
      </c>
      <c r="X8" s="703"/>
      <c r="Y8" s="3716" t="s">
        <v>1678</v>
      </c>
      <c r="Z8" s="3715"/>
      <c r="AA8" s="704">
        <f t="shared" ref="AA8:AA47" si="3">D8/F8</f>
        <v>0.98039215686274506</v>
      </c>
      <c r="AB8" s="704">
        <f t="shared" ref="AB8:AB47" si="4">D8/H8</f>
        <v>0.98039215686274506</v>
      </c>
      <c r="AC8" s="1954">
        <f t="shared" ref="AC8:AC47" si="5">D8/J8</f>
        <v>0.98039215686274506</v>
      </c>
    </row>
    <row r="9" spans="1:29" s="108" customFormat="1">
      <c r="A9" s="369" t="s">
        <v>1679</v>
      </c>
      <c r="B9" s="63" t="s">
        <v>1680</v>
      </c>
      <c r="C9" s="3454" t="s">
        <v>3422</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7" t="s">
        <v>1681</v>
      </c>
      <c r="Q9" s="3477" t="str">
        <f t="shared" ref="Q9:Q15" si="6">B9</f>
        <v>用途</v>
      </c>
      <c r="R9" s="701" t="s">
        <v>14</v>
      </c>
      <c r="S9" s="702">
        <f t="shared" si="0"/>
        <v>100</v>
      </c>
      <c r="T9" s="701" t="s">
        <v>14</v>
      </c>
      <c r="U9" s="702">
        <f t="shared" si="1"/>
        <v>100</v>
      </c>
      <c r="V9" s="701" t="s">
        <v>14</v>
      </c>
      <c r="W9" s="702">
        <f t="shared" si="2"/>
        <v>100</v>
      </c>
      <c r="X9" s="703"/>
      <c r="Y9" s="3651" t="s">
        <v>1682</v>
      </c>
      <c r="Z9" s="3459" t="str">
        <f t="shared" ref="Z9:Z15" si="7">Q9</f>
        <v>用途</v>
      </c>
      <c r="AA9" s="704">
        <f t="shared" si="3"/>
        <v>1</v>
      </c>
      <c r="AB9" s="704">
        <f t="shared" si="4"/>
        <v>1</v>
      </c>
      <c r="AC9" s="1954">
        <f t="shared" si="5"/>
        <v>1</v>
      </c>
    </row>
    <row r="10" spans="1:29" s="378" customFormat="1" ht="27.75" thickBot="1">
      <c r="A10" s="374"/>
      <c r="B10" s="375" t="s">
        <v>1683</v>
      </c>
      <c r="C10" s="3426" t="s">
        <v>3443</v>
      </c>
      <c r="D10" s="127">
        <v>100</v>
      </c>
      <c r="E10" s="3426" t="s">
        <v>3443</v>
      </c>
      <c r="F10" s="127">
        <f>SUMIF(66:66,E10,67:67)-SUMIF(66:66,C10,67:67)+100</f>
        <v>100</v>
      </c>
      <c r="G10" s="3426" t="s">
        <v>3443</v>
      </c>
      <c r="H10" s="127">
        <f>SUMIF(66:66,G10,67:67)-SUMIF(66:66,C10,67:67)+100</f>
        <v>100</v>
      </c>
      <c r="I10" s="3426" t="s">
        <v>3443</v>
      </c>
      <c r="J10" s="127">
        <f>SUMIF(66:66,I10,67:67)-SUMIF(66:66,C10,67:67)+100</f>
        <v>100</v>
      </c>
      <c r="K10" s="560"/>
      <c r="L10" s="2712"/>
      <c r="M10" s="2713"/>
      <c r="N10" s="2713"/>
      <c r="O10" s="2713"/>
      <c r="P10" s="3717"/>
      <c r="Q10" s="3477" t="str">
        <f t="shared" si="6"/>
        <v>土地使用年限（年）</v>
      </c>
      <c r="R10" s="701" t="s">
        <v>14</v>
      </c>
      <c r="S10" s="702">
        <f t="shared" si="0"/>
        <v>100</v>
      </c>
      <c r="T10" s="701" t="s">
        <v>14</v>
      </c>
      <c r="U10" s="702">
        <f t="shared" si="1"/>
        <v>100</v>
      </c>
      <c r="V10" s="701" t="s">
        <v>14</v>
      </c>
      <c r="W10" s="702">
        <f t="shared" si="2"/>
        <v>100</v>
      </c>
      <c r="X10" s="703"/>
      <c r="Y10" s="3651"/>
      <c r="Z10" s="3459" t="str">
        <f t="shared" si="7"/>
        <v>土地使用年限（年）</v>
      </c>
      <c r="AA10" s="704">
        <f t="shared" si="3"/>
        <v>1</v>
      </c>
      <c r="AB10" s="704">
        <f t="shared" si="4"/>
        <v>1</v>
      </c>
      <c r="AC10" s="1954">
        <f t="shared" si="5"/>
        <v>1</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7"/>
      <c r="Q11" s="3477" t="str">
        <f t="shared" si="6"/>
        <v>容积率</v>
      </c>
      <c r="R11" s="701" t="s">
        <v>14</v>
      </c>
      <c r="S11" s="702">
        <f t="shared" si="0"/>
        <v>100</v>
      </c>
      <c r="T11" s="701" t="s">
        <v>14</v>
      </c>
      <c r="U11" s="702">
        <f t="shared" si="1"/>
        <v>100</v>
      </c>
      <c r="V11" s="701" t="s">
        <v>14</v>
      </c>
      <c r="W11" s="702">
        <f t="shared" si="2"/>
        <v>100</v>
      </c>
      <c r="X11" s="703"/>
      <c r="Y11" s="3651"/>
      <c r="Z11" s="3459" t="str">
        <f t="shared" si="7"/>
        <v>容积率</v>
      </c>
      <c r="AA11" s="704">
        <f t="shared" si="3"/>
        <v>1</v>
      </c>
      <c r="AB11" s="704">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17"/>
      <c r="Q12" s="3477">
        <f t="shared" si="6"/>
        <v>111</v>
      </c>
      <c r="R12" s="701" t="s">
        <v>14</v>
      </c>
      <c r="S12" s="702">
        <f t="shared" si="0"/>
        <v>100</v>
      </c>
      <c r="T12" s="701" t="s">
        <v>14</v>
      </c>
      <c r="U12" s="702">
        <f t="shared" si="1"/>
        <v>100</v>
      </c>
      <c r="V12" s="701" t="s">
        <v>14</v>
      </c>
      <c r="W12" s="702">
        <f t="shared" si="2"/>
        <v>100</v>
      </c>
      <c r="X12" s="703"/>
      <c r="Y12" s="3651"/>
      <c r="Z12" s="3459">
        <f t="shared" si="7"/>
        <v>111</v>
      </c>
      <c r="AA12" s="704">
        <f>D12/F12</f>
        <v>1</v>
      </c>
      <c r="AB12" s="704">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17"/>
      <c r="Q13" s="3477">
        <f t="shared" si="6"/>
        <v>111</v>
      </c>
      <c r="R13" s="701" t="s">
        <v>14</v>
      </c>
      <c r="S13" s="702">
        <f t="shared" si="0"/>
        <v>100</v>
      </c>
      <c r="T13" s="701" t="s">
        <v>14</v>
      </c>
      <c r="U13" s="702">
        <f t="shared" si="1"/>
        <v>100</v>
      </c>
      <c r="V13" s="701" t="s">
        <v>14</v>
      </c>
      <c r="W13" s="702">
        <f t="shared" si="2"/>
        <v>100</v>
      </c>
      <c r="X13" s="703"/>
      <c r="Y13" s="3651"/>
      <c r="Z13" s="3459">
        <f t="shared" si="7"/>
        <v>111</v>
      </c>
      <c r="AA13" s="704">
        <f t="shared" si="3"/>
        <v>1</v>
      </c>
      <c r="AB13" s="704">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5"/>
      <c r="M14" s="2709"/>
      <c r="N14" s="2709"/>
      <c r="O14" s="2709"/>
      <c r="P14" s="3717"/>
      <c r="Q14" s="3477">
        <f t="shared" si="6"/>
        <v>111</v>
      </c>
      <c r="R14" s="701" t="s">
        <v>14</v>
      </c>
      <c r="S14" s="702">
        <f t="shared" si="0"/>
        <v>100</v>
      </c>
      <c r="T14" s="701" t="s">
        <v>14</v>
      </c>
      <c r="U14" s="702">
        <f t="shared" si="1"/>
        <v>100</v>
      </c>
      <c r="V14" s="701" t="s">
        <v>14</v>
      </c>
      <c r="W14" s="702">
        <f t="shared" si="2"/>
        <v>100</v>
      </c>
      <c r="X14" s="703"/>
      <c r="Y14" s="3651"/>
      <c r="Z14" s="3459">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18" t="s">
        <v>1686</v>
      </c>
      <c r="Q15" s="3483" t="str">
        <f t="shared" si="6"/>
        <v>办公集聚程度</v>
      </c>
      <c r="R15" s="705" t="s">
        <v>14</v>
      </c>
      <c r="S15" s="706">
        <f t="shared" si="0"/>
        <v>100</v>
      </c>
      <c r="T15" s="705" t="s">
        <v>14</v>
      </c>
      <c r="U15" s="706">
        <f t="shared" si="1"/>
        <v>100</v>
      </c>
      <c r="V15" s="705" t="s">
        <v>14</v>
      </c>
      <c r="W15" s="706">
        <f t="shared" si="2"/>
        <v>100</v>
      </c>
      <c r="X15" s="3480"/>
      <c r="Y15" s="3720" t="s">
        <v>1686</v>
      </c>
      <c r="Z15" s="3481" t="str">
        <f t="shared" si="7"/>
        <v>办公集聚程度</v>
      </c>
      <c r="AA15" s="3484">
        <f t="shared" si="3"/>
        <v>1</v>
      </c>
      <c r="AB15" s="3484">
        <f t="shared" si="4"/>
        <v>1</v>
      </c>
      <c r="AC15" s="1957">
        <f t="shared" si="5"/>
        <v>1</v>
      </c>
    </row>
    <row r="16" spans="1:29" ht="15">
      <c r="A16" s="379"/>
      <c r="B16" s="578"/>
      <c r="C16" s="1900" t="s">
        <v>3406</v>
      </c>
      <c r="D16" s="399"/>
      <c r="E16" s="1900" t="s">
        <v>3406</v>
      </c>
      <c r="F16" s="399"/>
      <c r="G16" s="1900" t="s">
        <v>3406</v>
      </c>
      <c r="H16" s="401"/>
      <c r="I16" s="1900" t="s">
        <v>3406</v>
      </c>
      <c r="J16" s="399"/>
      <c r="K16" s="564"/>
      <c r="L16" s="2715"/>
      <c r="M16" s="2709"/>
      <c r="N16" s="2709"/>
      <c r="O16" s="2709"/>
      <c r="P16" s="3719"/>
      <c r="Q16" s="3483"/>
      <c r="R16" s="705"/>
      <c r="S16" s="706"/>
      <c r="T16" s="705"/>
      <c r="U16" s="706"/>
      <c r="V16" s="705"/>
      <c r="W16" s="706"/>
      <c r="X16" s="3480"/>
      <c r="Y16" s="3721"/>
      <c r="Z16" s="3481"/>
      <c r="AA16" s="3484">
        <v>1</v>
      </c>
      <c r="AB16" s="3484">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19"/>
      <c r="Q17" s="3483" t="str">
        <f>B17</f>
        <v>交通便捷度</v>
      </c>
      <c r="R17" s="705" t="s">
        <v>14</v>
      </c>
      <c r="S17" s="706">
        <f>F17</f>
        <v>100</v>
      </c>
      <c r="T17" s="705" t="s">
        <v>14</v>
      </c>
      <c r="U17" s="706">
        <f>H17</f>
        <v>100</v>
      </c>
      <c r="V17" s="705" t="s">
        <v>14</v>
      </c>
      <c r="W17" s="706">
        <f>J17</f>
        <v>100</v>
      </c>
      <c r="X17" s="3480"/>
      <c r="Y17" s="3721"/>
      <c r="Z17" s="3481" t="str">
        <f>Q17</f>
        <v>交通便捷度</v>
      </c>
      <c r="AA17" s="3484">
        <f t="shared" si="3"/>
        <v>1</v>
      </c>
      <c r="AB17" s="3484">
        <f t="shared" si="4"/>
        <v>1</v>
      </c>
      <c r="AC17" s="1957">
        <f t="shared" si="5"/>
        <v>1</v>
      </c>
    </row>
    <row r="18" spans="1:29" ht="15">
      <c r="A18" s="379"/>
      <c r="B18" s="580"/>
      <c r="C18" s="1959" t="s">
        <v>3406</v>
      </c>
      <c r="D18" s="401"/>
      <c r="E18" s="1959" t="s">
        <v>3406</v>
      </c>
      <c r="F18" s="401"/>
      <c r="G18" s="1959" t="s">
        <v>3406</v>
      </c>
      <c r="H18" s="399"/>
      <c r="I18" s="1959" t="s">
        <v>3406</v>
      </c>
      <c r="J18" s="399"/>
      <c r="K18" s="564"/>
      <c r="L18" s="2715"/>
      <c r="M18" s="2709"/>
      <c r="N18" s="2709"/>
      <c r="O18" s="2709"/>
      <c r="P18" s="3719"/>
      <c r="Q18" s="3483"/>
      <c r="R18" s="705"/>
      <c r="S18" s="706"/>
      <c r="T18" s="705"/>
      <c r="U18" s="706"/>
      <c r="V18" s="705"/>
      <c r="W18" s="706"/>
      <c r="X18" s="3480"/>
      <c r="Y18" s="3721"/>
      <c r="Z18" s="3481"/>
      <c r="AA18" s="3484">
        <v>1</v>
      </c>
      <c r="AB18" s="3484">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19"/>
      <c r="Q19" s="3483" t="str">
        <f>B19</f>
        <v>公共配套设施</v>
      </c>
      <c r="R19" s="705" t="s">
        <v>14</v>
      </c>
      <c r="S19" s="706">
        <f>F19</f>
        <v>100</v>
      </c>
      <c r="T19" s="705" t="s">
        <v>14</v>
      </c>
      <c r="U19" s="706">
        <f>H19</f>
        <v>100</v>
      </c>
      <c r="V19" s="705" t="s">
        <v>14</v>
      </c>
      <c r="W19" s="706">
        <f>J19</f>
        <v>100</v>
      </c>
      <c r="X19" s="3480"/>
      <c r="Y19" s="3721"/>
      <c r="Z19" s="3481" t="str">
        <f>Q19</f>
        <v>公共配套设施</v>
      </c>
      <c r="AA19" s="3484">
        <f t="shared" si="3"/>
        <v>1</v>
      </c>
      <c r="AB19" s="3484">
        <f t="shared" si="4"/>
        <v>1</v>
      </c>
      <c r="AC19" s="1957">
        <f t="shared" si="5"/>
        <v>1</v>
      </c>
    </row>
    <row r="20" spans="1:29" ht="15">
      <c r="A20" s="379"/>
      <c r="B20" s="580"/>
      <c r="C20" s="1900" t="s">
        <v>3406</v>
      </c>
      <c r="D20" s="399"/>
      <c r="E20" s="1900" t="s">
        <v>3406</v>
      </c>
      <c r="F20" s="399"/>
      <c r="G20" s="1900" t="s">
        <v>3406</v>
      </c>
      <c r="H20" s="399"/>
      <c r="I20" s="1900" t="s">
        <v>3406</v>
      </c>
      <c r="J20" s="399"/>
      <c r="K20" s="564"/>
      <c r="L20" s="2715"/>
      <c r="M20" s="2709"/>
      <c r="N20" s="2709"/>
      <c r="O20" s="2709"/>
      <c r="P20" s="3719"/>
      <c r="Q20" s="3483"/>
      <c r="R20" s="705"/>
      <c r="S20" s="706"/>
      <c r="T20" s="705"/>
      <c r="U20" s="706"/>
      <c r="V20" s="705"/>
      <c r="W20" s="706"/>
      <c r="X20" s="3480"/>
      <c r="Y20" s="3721"/>
      <c r="Z20" s="3481"/>
      <c r="AA20" s="3484">
        <v>1</v>
      </c>
      <c r="AB20" s="3484">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19"/>
      <c r="Q21" s="3483" t="str">
        <f>B21</f>
        <v>基础设施水平</v>
      </c>
      <c r="R21" s="705" t="s">
        <v>14</v>
      </c>
      <c r="S21" s="706">
        <f>F21</f>
        <v>100</v>
      </c>
      <c r="T21" s="705" t="s">
        <v>14</v>
      </c>
      <c r="U21" s="706">
        <f>H21</f>
        <v>100</v>
      </c>
      <c r="V21" s="705" t="s">
        <v>14</v>
      </c>
      <c r="W21" s="706">
        <f>J21</f>
        <v>100</v>
      </c>
      <c r="X21" s="3480"/>
      <c r="Y21" s="3721"/>
      <c r="Z21" s="3481" t="str">
        <f>Q21</f>
        <v>基础设施水平</v>
      </c>
      <c r="AA21" s="3484">
        <f t="shared" ref="AA21" si="8">D21/F21</f>
        <v>1</v>
      </c>
      <c r="AB21" s="3484">
        <f t="shared" ref="AB21" si="9">D21/H21</f>
        <v>1</v>
      </c>
      <c r="AC21" s="1957">
        <f t="shared" ref="AC21" si="10">D21/J21</f>
        <v>1</v>
      </c>
    </row>
    <row r="22" spans="1:29" ht="15">
      <c r="A22" s="379"/>
      <c r="B22" s="581"/>
      <c r="C22" s="1959" t="s">
        <v>3410</v>
      </c>
      <c r="D22" s="399"/>
      <c r="E22" s="1959" t="s">
        <v>3410</v>
      </c>
      <c r="F22" s="399"/>
      <c r="G22" s="1959" t="s">
        <v>3410</v>
      </c>
      <c r="H22" s="399"/>
      <c r="I22" s="1959" t="s">
        <v>3410</v>
      </c>
      <c r="J22" s="399"/>
      <c r="K22" s="1126"/>
      <c r="L22" s="2715"/>
      <c r="M22" s="2709"/>
      <c r="N22" s="2709"/>
      <c r="O22" s="2709"/>
      <c r="P22" s="3719"/>
      <c r="Q22" s="3483"/>
      <c r="R22" s="705"/>
      <c r="S22" s="706"/>
      <c r="T22" s="705"/>
      <c r="U22" s="706"/>
      <c r="V22" s="705"/>
      <c r="W22" s="706"/>
      <c r="X22" s="3480"/>
      <c r="Y22" s="3721"/>
      <c r="Z22" s="3481"/>
      <c r="AA22" s="3484">
        <v>1</v>
      </c>
      <c r="AB22" s="3484">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19"/>
      <c r="Q23" s="3483" t="str">
        <f>B23</f>
        <v>环境质量</v>
      </c>
      <c r="R23" s="705" t="s">
        <v>14</v>
      </c>
      <c r="S23" s="706">
        <f>F23</f>
        <v>100</v>
      </c>
      <c r="T23" s="705" t="s">
        <v>14</v>
      </c>
      <c r="U23" s="706">
        <f>H23</f>
        <v>100</v>
      </c>
      <c r="V23" s="705" t="s">
        <v>14</v>
      </c>
      <c r="W23" s="706">
        <f>J23</f>
        <v>100</v>
      </c>
      <c r="X23" s="3480"/>
      <c r="Y23" s="3721"/>
      <c r="Z23" s="3481" t="str">
        <f>Q23</f>
        <v>环境质量</v>
      </c>
      <c r="AA23" s="3484">
        <f t="shared" si="3"/>
        <v>1</v>
      </c>
      <c r="AB23" s="3484">
        <f t="shared" si="4"/>
        <v>1</v>
      </c>
      <c r="AC23" s="1957">
        <f t="shared" si="5"/>
        <v>1</v>
      </c>
    </row>
    <row r="24" spans="1:29" ht="15">
      <c r="A24" s="379"/>
      <c r="B24" s="581"/>
      <c r="C24" s="1900" t="s">
        <v>3406</v>
      </c>
      <c r="D24" s="399"/>
      <c r="E24" s="1900" t="s">
        <v>3406</v>
      </c>
      <c r="F24" s="399"/>
      <c r="G24" s="1900" t="s">
        <v>3406</v>
      </c>
      <c r="H24" s="399"/>
      <c r="I24" s="1900" t="s">
        <v>3406</v>
      </c>
      <c r="J24" s="399"/>
      <c r="K24" s="564"/>
      <c r="L24" s="2715"/>
      <c r="M24" s="2709"/>
      <c r="N24" s="2709"/>
      <c r="O24" s="2709"/>
      <c r="P24" s="3719"/>
      <c r="Q24" s="3483"/>
      <c r="R24" s="705"/>
      <c r="S24" s="706"/>
      <c r="T24" s="705"/>
      <c r="U24" s="706"/>
      <c r="V24" s="705"/>
      <c r="W24" s="706"/>
      <c r="X24" s="3480"/>
      <c r="Y24" s="3721"/>
      <c r="Z24" s="3481"/>
      <c r="AA24" s="3484">
        <v>1</v>
      </c>
      <c r="AB24" s="3484">
        <v>1</v>
      </c>
      <c r="AC24" s="1957">
        <v>1</v>
      </c>
    </row>
    <row r="25" spans="1:29" ht="27" hidden="1">
      <c r="A25" s="358"/>
      <c r="B25" s="579" t="s">
        <v>1810</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9"/>
      <c r="Q25" s="3483" t="str">
        <f>B25</f>
        <v>毗邻道路的类型与等级</v>
      </c>
      <c r="R25" s="705" t="s">
        <v>14</v>
      </c>
      <c r="S25" s="706">
        <f>F25</f>
        <v>100</v>
      </c>
      <c r="T25" s="705" t="s">
        <v>14</v>
      </c>
      <c r="U25" s="706">
        <f>H25</f>
        <v>100</v>
      </c>
      <c r="V25" s="705" t="s">
        <v>14</v>
      </c>
      <c r="W25" s="706">
        <f>J25</f>
        <v>100</v>
      </c>
      <c r="X25" s="3480"/>
      <c r="Y25" s="3721"/>
      <c r="Z25" s="3481" t="str">
        <f>Q25</f>
        <v>毗邻道路的类型与等级</v>
      </c>
      <c r="AA25" s="3484">
        <f t="shared" si="3"/>
        <v>1</v>
      </c>
      <c r="AB25" s="3484">
        <f t="shared" si="4"/>
        <v>1</v>
      </c>
      <c r="AC25" s="1957">
        <f t="shared" si="5"/>
        <v>1</v>
      </c>
    </row>
    <row r="26" spans="1:29" ht="15" hidden="1">
      <c r="A26" s="358"/>
      <c r="B26" s="580"/>
      <c r="C26" s="582"/>
      <c r="D26" s="386"/>
      <c r="E26" s="565"/>
      <c r="F26" s="386"/>
      <c r="G26" s="582"/>
      <c r="H26" s="386"/>
      <c r="I26" s="565"/>
      <c r="J26" s="386"/>
      <c r="K26" s="564"/>
      <c r="L26" s="2715"/>
      <c r="M26" s="2709"/>
      <c r="N26" s="2709"/>
      <c r="O26" s="2709"/>
      <c r="P26" s="3719"/>
      <c r="Q26" s="3483"/>
      <c r="R26" s="705"/>
      <c r="S26" s="706"/>
      <c r="T26" s="705"/>
      <c r="U26" s="706"/>
      <c r="V26" s="705"/>
      <c r="W26" s="706"/>
      <c r="X26" s="3480"/>
      <c r="Y26" s="3721"/>
      <c r="Z26" s="3481"/>
      <c r="AA26" s="3484">
        <v>1</v>
      </c>
      <c r="AB26" s="3484">
        <v>1</v>
      </c>
      <c r="AC26" s="1957">
        <v>1</v>
      </c>
    </row>
    <row r="27" spans="1:29" ht="15.75" thickBot="1">
      <c r="A27" s="379"/>
      <c r="B27" s="580" t="s">
        <v>1778</v>
      </c>
      <c r="C27" s="582" t="s">
        <v>3420</v>
      </c>
      <c r="D27" s="386">
        <v>100</v>
      </c>
      <c r="E27" s="565" t="s">
        <v>3420</v>
      </c>
      <c r="F27" s="386">
        <f>SUMIF(89:89,E27,90:90)-SUMIF(89:89,C27,90:90)+100</f>
        <v>100</v>
      </c>
      <c r="G27" s="582" t="s">
        <v>3417</v>
      </c>
      <c r="H27" s="386">
        <f>SUMIF(89:89,G27,90:90)-SUMIF(89:89,C27,90:90)+100</f>
        <v>104</v>
      </c>
      <c r="I27" s="565" t="s">
        <v>3420</v>
      </c>
      <c r="J27" s="386">
        <f>SUMIF(89:89,I27,90:90)-SUMIF(89:89,C27,90:90)+100</f>
        <v>100</v>
      </c>
      <c r="K27" s="561">
        <v>2</v>
      </c>
      <c r="L27" s="2715"/>
      <c r="M27" s="2709"/>
      <c r="N27" s="2709"/>
      <c r="O27" s="2709"/>
      <c r="P27" s="3719"/>
      <c r="Q27" s="3483" t="str">
        <f t="shared" ref="Q27:Q47" si="11">B27</f>
        <v>楼层</v>
      </c>
      <c r="R27" s="705" t="s">
        <v>14</v>
      </c>
      <c r="S27" s="706">
        <f>F27</f>
        <v>100</v>
      </c>
      <c r="T27" s="705" t="s">
        <v>14</v>
      </c>
      <c r="U27" s="706">
        <f>H27</f>
        <v>104</v>
      </c>
      <c r="V27" s="705" t="s">
        <v>14</v>
      </c>
      <c r="W27" s="706">
        <f>J27</f>
        <v>100</v>
      </c>
      <c r="X27" s="3480"/>
      <c r="Y27" s="3721"/>
      <c r="Z27" s="3481" t="str">
        <f>Q27</f>
        <v>楼层</v>
      </c>
      <c r="AA27" s="3484">
        <f t="shared" si="3"/>
        <v>1</v>
      </c>
      <c r="AB27" s="3484">
        <f t="shared" si="4"/>
        <v>0.96153846153846156</v>
      </c>
      <c r="AC27" s="1957">
        <f t="shared" si="5"/>
        <v>1</v>
      </c>
    </row>
    <row r="28" spans="1:29" s="108" customFormat="1" ht="15.75" hidden="1" thickBot="1">
      <c r="A28" s="382"/>
      <c r="B28" s="579" t="s">
        <v>1811</v>
      </c>
      <c r="C28" s="1960"/>
      <c r="D28" s="413">
        <v>100</v>
      </c>
      <c r="E28" s="1952"/>
      <c r="F28" s="413">
        <f>SUMIF(91:91,E28,92:92)-SUMIF(91:91,C28,92:92)+100</f>
        <v>100</v>
      </c>
      <c r="G28" s="1960"/>
      <c r="H28" s="413">
        <f>SUMIF(91:91,G28,92:92)-SUMIF(91:91,C28,92:92)+100</f>
        <v>100</v>
      </c>
      <c r="I28" s="1952"/>
      <c r="J28" s="413">
        <f>SUMIF(91:91,I28,92:92)-SUMIF(91:91,C28,92:92)+100</f>
        <v>100</v>
      </c>
      <c r="K28" s="561"/>
      <c r="L28" s="2710"/>
      <c r="M28" s="2711"/>
      <c r="N28" s="2711"/>
      <c r="O28" s="2711"/>
      <c r="P28" s="3719"/>
      <c r="Q28" s="3477" t="str">
        <f t="shared" si="11"/>
        <v>朝向</v>
      </c>
      <c r="R28" s="701" t="s">
        <v>14</v>
      </c>
      <c r="S28" s="702">
        <f>F28</f>
        <v>100</v>
      </c>
      <c r="T28" s="701" t="s">
        <v>14</v>
      </c>
      <c r="U28" s="702">
        <f>H28</f>
        <v>100</v>
      </c>
      <c r="V28" s="701" t="s">
        <v>14</v>
      </c>
      <c r="W28" s="702">
        <f>J28</f>
        <v>100</v>
      </c>
      <c r="X28" s="703"/>
      <c r="Y28" s="3721"/>
      <c r="Z28" s="3459" t="str">
        <f>Q28</f>
        <v>朝向</v>
      </c>
      <c r="AA28" s="3484">
        <f>D28/F28</f>
        <v>1</v>
      </c>
      <c r="AB28" s="3484">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5"/>
      <c r="M29" s="2709"/>
      <c r="N29" s="2709"/>
      <c r="O29" s="2709"/>
      <c r="P29" s="3719"/>
      <c r="Q29" s="3483">
        <f t="shared" si="11"/>
        <v>111</v>
      </c>
      <c r="R29" s="705" t="s">
        <v>14</v>
      </c>
      <c r="S29" s="706">
        <f t="shared" ref="S29:S47" si="12">F29</f>
        <v>100</v>
      </c>
      <c r="T29" s="705" t="s">
        <v>14</v>
      </c>
      <c r="U29" s="706">
        <f t="shared" ref="U29:U47" si="13">H29</f>
        <v>100</v>
      </c>
      <c r="V29" s="705" t="s">
        <v>14</v>
      </c>
      <c r="W29" s="706">
        <f t="shared" ref="W29:W47" si="14">J29</f>
        <v>100</v>
      </c>
      <c r="X29" s="3480"/>
      <c r="Y29" s="3721"/>
      <c r="Z29" s="3481">
        <f t="shared" ref="Z29:Z47" si="15">Q29</f>
        <v>111</v>
      </c>
      <c r="AA29" s="3484">
        <f t="shared" si="3"/>
        <v>1</v>
      </c>
      <c r="AB29" s="3484">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19"/>
      <c r="Q30" s="3483">
        <f t="shared" si="11"/>
        <v>111</v>
      </c>
      <c r="R30" s="705" t="s">
        <v>14</v>
      </c>
      <c r="S30" s="706">
        <f t="shared" si="12"/>
        <v>100</v>
      </c>
      <c r="T30" s="705" t="s">
        <v>14</v>
      </c>
      <c r="U30" s="706">
        <f t="shared" si="13"/>
        <v>100</v>
      </c>
      <c r="V30" s="705" t="s">
        <v>14</v>
      </c>
      <c r="W30" s="706">
        <f t="shared" si="14"/>
        <v>100</v>
      </c>
      <c r="X30" s="3480"/>
      <c r="Y30" s="3721"/>
      <c r="Z30" s="3481">
        <f t="shared" si="15"/>
        <v>111</v>
      </c>
      <c r="AA30" s="3484">
        <f t="shared" si="3"/>
        <v>1</v>
      </c>
      <c r="AB30" s="3484">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19"/>
      <c r="Q31" s="3483">
        <f t="shared" si="11"/>
        <v>111</v>
      </c>
      <c r="R31" s="705" t="s">
        <v>14</v>
      </c>
      <c r="S31" s="706">
        <f t="shared" si="12"/>
        <v>100</v>
      </c>
      <c r="T31" s="705" t="s">
        <v>14</v>
      </c>
      <c r="U31" s="706">
        <f t="shared" si="13"/>
        <v>100</v>
      </c>
      <c r="V31" s="705" t="s">
        <v>14</v>
      </c>
      <c r="W31" s="706">
        <f t="shared" si="14"/>
        <v>100</v>
      </c>
      <c r="X31" s="3480"/>
      <c r="Y31" s="3721"/>
      <c r="Z31" s="3481">
        <f t="shared" si="15"/>
        <v>111</v>
      </c>
      <c r="AA31" s="3484">
        <f t="shared" si="3"/>
        <v>1</v>
      </c>
      <c r="AB31" s="3484">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19"/>
      <c r="Q32" s="3483">
        <f t="shared" si="11"/>
        <v>111</v>
      </c>
      <c r="R32" s="705" t="s">
        <v>14</v>
      </c>
      <c r="S32" s="706">
        <f t="shared" si="12"/>
        <v>100</v>
      </c>
      <c r="T32" s="705" t="s">
        <v>14</v>
      </c>
      <c r="U32" s="706">
        <f t="shared" si="13"/>
        <v>100</v>
      </c>
      <c r="V32" s="705" t="s">
        <v>14</v>
      </c>
      <c r="W32" s="706">
        <f t="shared" si="14"/>
        <v>100</v>
      </c>
      <c r="X32" s="3480"/>
      <c r="Y32" s="3721"/>
      <c r="Z32" s="3481">
        <f t="shared" si="15"/>
        <v>111</v>
      </c>
      <c r="AA32" s="3484">
        <f t="shared" si="3"/>
        <v>1</v>
      </c>
      <c r="AB32" s="3484">
        <f t="shared" si="4"/>
        <v>1</v>
      </c>
      <c r="AC32" s="1957">
        <f t="shared" si="5"/>
        <v>1</v>
      </c>
    </row>
    <row r="33" spans="1:29" ht="15">
      <c r="A33" s="391" t="s">
        <v>1689</v>
      </c>
      <c r="B33" s="63" t="s">
        <v>1812</v>
      </c>
      <c r="C33" s="1962" t="s">
        <v>3392</v>
      </c>
      <c r="D33" s="418">
        <v>100</v>
      </c>
      <c r="E33" s="1962" t="s">
        <v>3392</v>
      </c>
      <c r="F33" s="412">
        <f>SUMIF(101:101,E33,102:102)-SUMIF(101:101,C33,102:102)+100</f>
        <v>100</v>
      </c>
      <c r="G33" s="1962" t="s">
        <v>3392</v>
      </c>
      <c r="H33" s="386">
        <f>SUMIF(101:101,G33,102:102)-SUMIF(101:101,C33,102:102)+100</f>
        <v>100</v>
      </c>
      <c r="I33" s="1962" t="s">
        <v>3392</v>
      </c>
      <c r="J33" s="418">
        <f>SUMIF(101:101,I33,102:102)-SUMIF(101:101,C33,102:102)+100</f>
        <v>100</v>
      </c>
      <c r="K33" s="561">
        <v>2</v>
      </c>
      <c r="L33" s="2715"/>
      <c r="M33" s="2709"/>
      <c r="N33" s="2709"/>
      <c r="O33" s="2709"/>
      <c r="P33" s="3722" t="s">
        <v>1691</v>
      </c>
      <c r="Q33" s="3483" t="str">
        <f t="shared" si="11"/>
        <v>建筑类型</v>
      </c>
      <c r="R33" s="705" t="s">
        <v>14</v>
      </c>
      <c r="S33" s="706">
        <f t="shared" si="12"/>
        <v>100</v>
      </c>
      <c r="T33" s="705" t="s">
        <v>14</v>
      </c>
      <c r="U33" s="706">
        <f t="shared" si="13"/>
        <v>100</v>
      </c>
      <c r="V33" s="705" t="s">
        <v>14</v>
      </c>
      <c r="W33" s="706">
        <f t="shared" si="14"/>
        <v>100</v>
      </c>
      <c r="X33" s="3480"/>
      <c r="Y33" s="3725" t="s">
        <v>1691</v>
      </c>
      <c r="Z33" s="3481" t="str">
        <f t="shared" si="15"/>
        <v>建筑类型</v>
      </c>
      <c r="AA33" s="3484">
        <f t="shared" si="3"/>
        <v>1</v>
      </c>
      <c r="AB33" s="3484">
        <f t="shared" si="4"/>
        <v>1</v>
      </c>
      <c r="AC33" s="1957">
        <f t="shared" si="5"/>
        <v>1</v>
      </c>
    </row>
    <row r="34" spans="1:29" s="422" customFormat="1" ht="15">
      <c r="A34" s="419"/>
      <c r="B34" s="375" t="s">
        <v>1692</v>
      </c>
      <c r="C34" s="420">
        <f>D3</f>
        <v>115.33</v>
      </c>
      <c r="D34" s="127">
        <v>100</v>
      </c>
      <c r="E34" s="381">
        <v>1432.25</v>
      </c>
      <c r="F34" s="376">
        <f>LOOKUP(E34,104:104,105:105)-LOOKUP(C34,104:104,105:105)+100</f>
        <v>98</v>
      </c>
      <c r="G34" s="380">
        <v>111</v>
      </c>
      <c r="H34" s="127">
        <f>LOOKUP(G34,104:104,105:105)-LOOKUP(C34,104:104,105:105)+100</f>
        <v>100</v>
      </c>
      <c r="I34" s="380">
        <v>99</v>
      </c>
      <c r="J34" s="127">
        <f>LOOKUP(I34,104:104,105:105)-LOOKUP(C34,104:104,105:105)+100</f>
        <v>99</v>
      </c>
      <c r="K34" s="562"/>
      <c r="L34" s="2714"/>
      <c r="M34" s="2716"/>
      <c r="N34" s="2716"/>
      <c r="O34" s="2716"/>
      <c r="P34" s="3723"/>
      <c r="Q34" s="707" t="str">
        <f t="shared" si="11"/>
        <v>项目建筑规模</v>
      </c>
      <c r="R34" s="708" t="s">
        <v>14</v>
      </c>
      <c r="S34" s="709">
        <f t="shared" si="12"/>
        <v>98</v>
      </c>
      <c r="T34" s="708" t="s">
        <v>14</v>
      </c>
      <c r="U34" s="709">
        <f t="shared" si="13"/>
        <v>100</v>
      </c>
      <c r="V34" s="708" t="s">
        <v>14</v>
      </c>
      <c r="W34" s="709">
        <f t="shared" si="14"/>
        <v>99</v>
      </c>
      <c r="X34" s="710"/>
      <c r="Y34" s="3725"/>
      <c r="Z34" s="711" t="str">
        <f t="shared" si="15"/>
        <v>项目建筑规模</v>
      </c>
      <c r="AA34" s="3484">
        <f t="shared" si="3"/>
        <v>1.0204081632653061</v>
      </c>
      <c r="AB34" s="3484">
        <f t="shared" si="4"/>
        <v>1</v>
      </c>
      <c r="AC34" s="1957">
        <f t="shared" si="5"/>
        <v>1.0101010101010102</v>
      </c>
    </row>
    <row r="35" spans="1:29" ht="15">
      <c r="A35" s="423"/>
      <c r="B35" s="375" t="s">
        <v>1693</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1</v>
      </c>
      <c r="L35" s="2715"/>
      <c r="M35" s="2709"/>
      <c r="N35" s="2709"/>
      <c r="O35" s="2709"/>
      <c r="P35" s="3723"/>
      <c r="Q35" s="3483" t="str">
        <f t="shared" si="11"/>
        <v>建筑结构</v>
      </c>
      <c r="R35" s="705" t="s">
        <v>14</v>
      </c>
      <c r="S35" s="706">
        <f t="shared" si="12"/>
        <v>100</v>
      </c>
      <c r="T35" s="705" t="s">
        <v>14</v>
      </c>
      <c r="U35" s="706">
        <f t="shared" si="13"/>
        <v>100</v>
      </c>
      <c r="V35" s="705" t="s">
        <v>14</v>
      </c>
      <c r="W35" s="706">
        <f t="shared" si="14"/>
        <v>100</v>
      </c>
      <c r="X35" s="3480"/>
      <c r="Y35" s="3725"/>
      <c r="Z35" s="3481" t="str">
        <f t="shared" si="15"/>
        <v>建筑结构</v>
      </c>
      <c r="AA35" s="3484">
        <f t="shared" si="3"/>
        <v>1</v>
      </c>
      <c r="AB35" s="3484">
        <f t="shared" si="4"/>
        <v>1</v>
      </c>
      <c r="AC35" s="1957">
        <f t="shared" si="5"/>
        <v>1</v>
      </c>
    </row>
    <row r="36" spans="1:29" ht="15">
      <c r="A36" s="423"/>
      <c r="B36" s="375" t="s">
        <v>1780</v>
      </c>
      <c r="C36" s="411" t="s">
        <v>3395</v>
      </c>
      <c r="D36" s="386">
        <v>100</v>
      </c>
      <c r="E36" s="411" t="s">
        <v>3395</v>
      </c>
      <c r="F36" s="412">
        <f>SUMIF(108:108,E36,109:109)-SUMIF(108:108,C36,109:109)+100</f>
        <v>100</v>
      </c>
      <c r="G36" s="411" t="s">
        <v>3395</v>
      </c>
      <c r="H36" s="386">
        <f>SUMIF(108:108,G36,109:109)-SUMIF(108:108,C36,109:109)+100</f>
        <v>100</v>
      </c>
      <c r="I36" s="411" t="s">
        <v>3395</v>
      </c>
      <c r="J36" s="386">
        <f>SUMIF(108:108,I36,109:109)-SUMIF(108:108,C36,109:109)+100</f>
        <v>100</v>
      </c>
      <c r="K36" s="561">
        <v>2</v>
      </c>
      <c r="L36" s="2715"/>
      <c r="M36" s="2709"/>
      <c r="N36" s="2709"/>
      <c r="O36" s="2709"/>
      <c r="P36" s="3723"/>
      <c r="Q36" s="3483" t="str">
        <f t="shared" si="11"/>
        <v>公共部分装修</v>
      </c>
      <c r="R36" s="705" t="s">
        <v>14</v>
      </c>
      <c r="S36" s="706">
        <f t="shared" si="12"/>
        <v>100</v>
      </c>
      <c r="T36" s="705" t="s">
        <v>14</v>
      </c>
      <c r="U36" s="706">
        <f t="shared" si="13"/>
        <v>100</v>
      </c>
      <c r="V36" s="705" t="s">
        <v>14</v>
      </c>
      <c r="W36" s="706">
        <f t="shared" si="14"/>
        <v>100</v>
      </c>
      <c r="X36" s="3480"/>
      <c r="Y36" s="3725"/>
      <c r="Z36" s="3481" t="str">
        <f t="shared" si="15"/>
        <v>公共部分装修</v>
      </c>
      <c r="AA36" s="3484">
        <f t="shared" si="3"/>
        <v>1</v>
      </c>
      <c r="AB36" s="3484">
        <f t="shared" si="4"/>
        <v>1</v>
      </c>
      <c r="AC36" s="1957">
        <f t="shared" si="5"/>
        <v>1</v>
      </c>
    </row>
    <row r="37" spans="1:29" ht="15">
      <c r="A37" s="423"/>
      <c r="B37" s="375" t="s">
        <v>1781</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1</v>
      </c>
      <c r="L37" s="2715"/>
      <c r="M37" s="2709"/>
      <c r="N37" s="2709"/>
      <c r="O37" s="2709"/>
      <c r="P37" s="3723"/>
      <c r="Q37" s="3483" t="str">
        <f t="shared" si="11"/>
        <v>成新度</v>
      </c>
      <c r="R37" s="705" t="s">
        <v>14</v>
      </c>
      <c r="S37" s="706">
        <f t="shared" si="12"/>
        <v>100</v>
      </c>
      <c r="T37" s="705" t="s">
        <v>14</v>
      </c>
      <c r="U37" s="706">
        <f t="shared" si="13"/>
        <v>100</v>
      </c>
      <c r="V37" s="705" t="s">
        <v>14</v>
      </c>
      <c r="W37" s="706">
        <f t="shared" si="14"/>
        <v>100</v>
      </c>
      <c r="X37" s="3480"/>
      <c r="Y37" s="3725"/>
      <c r="Z37" s="3481" t="str">
        <f t="shared" si="15"/>
        <v>成新度</v>
      </c>
      <c r="AA37" s="3484">
        <f t="shared" si="3"/>
        <v>1</v>
      </c>
      <c r="AB37" s="3484">
        <f t="shared" si="4"/>
        <v>1</v>
      </c>
      <c r="AC37" s="1957">
        <f t="shared" si="5"/>
        <v>1</v>
      </c>
    </row>
    <row r="38" spans="1:29" s="108" customFormat="1" ht="15">
      <c r="A38" s="424"/>
      <c r="B38" s="375" t="s">
        <v>1813</v>
      </c>
      <c r="C38" s="411" t="s">
        <v>3403</v>
      </c>
      <c r="D38" s="127">
        <v>100</v>
      </c>
      <c r="E38" s="411" t="s">
        <v>3403</v>
      </c>
      <c r="F38" s="412">
        <f>SUMIF(113:113,E38,114:114)-SUMIF(113:113,C38,114:114)+100</f>
        <v>100</v>
      </c>
      <c r="G38" s="411" t="s">
        <v>3403</v>
      </c>
      <c r="H38" s="386">
        <f>SUMIF(113:113,G38,114:114)-SUMIF(113:113,C38,114:114)+100</f>
        <v>100</v>
      </c>
      <c r="I38" s="411" t="s">
        <v>3403</v>
      </c>
      <c r="J38" s="386">
        <f>SUMIF(113:113,I38,114:114)-SUMIF(113:113,C38,114:114)+100</f>
        <v>100</v>
      </c>
      <c r="K38" s="561">
        <v>2</v>
      </c>
      <c r="L38" s="2710"/>
      <c r="M38" s="2711"/>
      <c r="N38" s="2711"/>
      <c r="O38" s="2711"/>
      <c r="P38" s="3723"/>
      <c r="Q38" s="3477" t="str">
        <f t="shared" si="11"/>
        <v>写字楼等级</v>
      </c>
      <c r="R38" s="701" t="s">
        <v>14</v>
      </c>
      <c r="S38" s="702">
        <f t="shared" si="12"/>
        <v>100</v>
      </c>
      <c r="T38" s="701" t="s">
        <v>14</v>
      </c>
      <c r="U38" s="702">
        <f t="shared" si="13"/>
        <v>100</v>
      </c>
      <c r="V38" s="701" t="s">
        <v>14</v>
      </c>
      <c r="W38" s="702">
        <f t="shared" si="14"/>
        <v>100</v>
      </c>
      <c r="X38" s="703"/>
      <c r="Y38" s="3725"/>
      <c r="Z38" s="3459" t="str">
        <f t="shared" si="15"/>
        <v>写字楼等级</v>
      </c>
      <c r="AA38" s="704">
        <f t="shared" si="3"/>
        <v>1</v>
      </c>
      <c r="AB38" s="704">
        <f t="shared" si="4"/>
        <v>1</v>
      </c>
      <c r="AC38" s="1954">
        <f t="shared" si="5"/>
        <v>1</v>
      </c>
    </row>
    <row r="39" spans="1:29" ht="15">
      <c r="A39" s="423"/>
      <c r="B39" s="375" t="s">
        <v>1814</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v>1</v>
      </c>
      <c r="L39" s="2715"/>
      <c r="M39" s="2709"/>
      <c r="N39" s="2709"/>
      <c r="O39" s="2709"/>
      <c r="P39" s="3723" t="s">
        <v>1691</v>
      </c>
      <c r="Q39" s="3483" t="str">
        <f t="shared" si="11"/>
        <v>物业管理</v>
      </c>
      <c r="R39" s="705" t="s">
        <v>14</v>
      </c>
      <c r="S39" s="706">
        <f t="shared" si="12"/>
        <v>100</v>
      </c>
      <c r="T39" s="705" t="s">
        <v>14</v>
      </c>
      <c r="U39" s="706">
        <f t="shared" si="13"/>
        <v>100</v>
      </c>
      <c r="V39" s="705" t="s">
        <v>14</v>
      </c>
      <c r="W39" s="706">
        <f t="shared" si="14"/>
        <v>100</v>
      </c>
      <c r="X39" s="3480"/>
      <c r="Y39" s="3725" t="s">
        <v>1691</v>
      </c>
      <c r="Z39" s="3481" t="str">
        <f t="shared" si="15"/>
        <v>物业管理</v>
      </c>
      <c r="AA39" s="3484">
        <f t="shared" si="3"/>
        <v>1</v>
      </c>
      <c r="AB39" s="3484">
        <f t="shared" si="4"/>
        <v>1</v>
      </c>
      <c r="AC39" s="1957">
        <f t="shared" si="5"/>
        <v>1</v>
      </c>
    </row>
    <row r="40" spans="1:29" ht="15">
      <c r="A40" s="423"/>
      <c r="B40" s="375" t="s">
        <v>1782</v>
      </c>
      <c r="C40" s="411" t="s">
        <v>3412</v>
      </c>
      <c r="D40" s="386">
        <v>100</v>
      </c>
      <c r="E40" s="411" t="s">
        <v>3412</v>
      </c>
      <c r="F40" s="412">
        <f>SUMIF(117:117,E40,118:118)-SUMIF(117:117,C40,118:118)+100</f>
        <v>100</v>
      </c>
      <c r="G40" s="411" t="s">
        <v>3412</v>
      </c>
      <c r="H40" s="386">
        <f>SUMIF(117:117,G40,118:118)-SUMIF(117:117,C40,118:118)+100</f>
        <v>100</v>
      </c>
      <c r="I40" s="411" t="s">
        <v>3412</v>
      </c>
      <c r="J40" s="386">
        <f>SUMIF(117:117,I40,118:118)-SUMIF(117:117,C40,118:118)+100</f>
        <v>100</v>
      </c>
      <c r="K40" s="561">
        <v>1</v>
      </c>
      <c r="L40" s="2715"/>
      <c r="M40" s="2709"/>
      <c r="N40" s="2709"/>
      <c r="O40" s="2709"/>
      <c r="P40" s="3723"/>
      <c r="Q40" s="3483" t="str">
        <f t="shared" si="11"/>
        <v>市政基础设施</v>
      </c>
      <c r="R40" s="705" t="s">
        <v>14</v>
      </c>
      <c r="S40" s="706">
        <f t="shared" si="12"/>
        <v>100</v>
      </c>
      <c r="T40" s="705" t="s">
        <v>14</v>
      </c>
      <c r="U40" s="706">
        <f t="shared" si="13"/>
        <v>100</v>
      </c>
      <c r="V40" s="705" t="s">
        <v>14</v>
      </c>
      <c r="W40" s="706">
        <f t="shared" si="14"/>
        <v>100</v>
      </c>
      <c r="X40" s="3480"/>
      <c r="Y40" s="3725"/>
      <c r="Z40" s="3481" t="str">
        <f t="shared" si="15"/>
        <v>市政基础设施</v>
      </c>
      <c r="AA40" s="3484">
        <f t="shared" si="3"/>
        <v>1</v>
      </c>
      <c r="AB40" s="3484">
        <f t="shared" si="4"/>
        <v>1</v>
      </c>
      <c r="AC40" s="1957">
        <f t="shared" si="5"/>
        <v>1</v>
      </c>
    </row>
    <row r="41" spans="1:29" ht="15">
      <c r="A41" s="423"/>
      <c r="B41" s="375" t="s">
        <v>1784</v>
      </c>
      <c r="C41" s="565" t="s">
        <v>3415</v>
      </c>
      <c r="D41" s="386">
        <v>100</v>
      </c>
      <c r="E41" s="565" t="s">
        <v>3415</v>
      </c>
      <c r="F41" s="412">
        <f>SUMIF(119:119,E41,120:120)-SUMIF(119:119,C41,120:120)+100</f>
        <v>100</v>
      </c>
      <c r="G41" s="565" t="s">
        <v>3415</v>
      </c>
      <c r="H41" s="386">
        <f>SUMIF(119:119,G41,120:120)-SUMIF(119:119,C41,120:120)+100</f>
        <v>100</v>
      </c>
      <c r="I41" s="565" t="s">
        <v>3415</v>
      </c>
      <c r="J41" s="386">
        <f>SUMIF(119:119,I41,120:120)-SUMIF(119:119,C41,120:120)+100</f>
        <v>100</v>
      </c>
      <c r="K41" s="561">
        <v>2</v>
      </c>
      <c r="L41" s="2715"/>
      <c r="M41" s="2709"/>
      <c r="N41" s="2709"/>
      <c r="O41" s="2709"/>
      <c r="P41" s="3723"/>
      <c r="Q41" s="3483" t="str">
        <f t="shared" si="11"/>
        <v>层高</v>
      </c>
      <c r="R41" s="705" t="s">
        <v>14</v>
      </c>
      <c r="S41" s="706">
        <f t="shared" si="12"/>
        <v>100</v>
      </c>
      <c r="T41" s="705" t="s">
        <v>14</v>
      </c>
      <c r="U41" s="706">
        <f t="shared" si="13"/>
        <v>100</v>
      </c>
      <c r="V41" s="705" t="s">
        <v>14</v>
      </c>
      <c r="W41" s="706">
        <f t="shared" si="14"/>
        <v>100</v>
      </c>
      <c r="X41" s="3480"/>
      <c r="Y41" s="3725"/>
      <c r="Z41" s="3481" t="str">
        <f t="shared" si="15"/>
        <v>层高</v>
      </c>
      <c r="AA41" s="3484">
        <f t="shared" si="3"/>
        <v>1</v>
      </c>
      <c r="AB41" s="3484">
        <f t="shared" si="4"/>
        <v>1</v>
      </c>
      <c r="AC41" s="1957">
        <f t="shared" si="5"/>
        <v>1</v>
      </c>
    </row>
    <row r="42" spans="1:29" s="422" customFormat="1" ht="15" hidden="1">
      <c r="A42" s="419"/>
      <c r="B42" s="3482"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3484">
        <f t="shared" si="3"/>
        <v>1</v>
      </c>
      <c r="AB42" s="3484">
        <f t="shared" si="4"/>
        <v>1</v>
      </c>
      <c r="AC42" s="1957">
        <f t="shared" si="5"/>
        <v>1</v>
      </c>
    </row>
    <row r="43" spans="1:29" ht="15">
      <c r="A43" s="423"/>
      <c r="B43" s="375" t="s">
        <v>1787</v>
      </c>
      <c r="C43" s="411" t="s">
        <v>3397</v>
      </c>
      <c r="D43" s="386">
        <v>100</v>
      </c>
      <c r="E43" s="411" t="s">
        <v>3397</v>
      </c>
      <c r="F43" s="412">
        <f>SUMIF(123:123,E43,124:124)-SUMIF(123:123,C43,124:124)+100</f>
        <v>100</v>
      </c>
      <c r="G43" s="411" t="s">
        <v>3397</v>
      </c>
      <c r="H43" s="386">
        <f>SUMIF(123:123,G43,124:124)-SUMIF(123:123,C43,124:124)+100</f>
        <v>100</v>
      </c>
      <c r="I43" s="411" t="s">
        <v>3397</v>
      </c>
      <c r="J43" s="386">
        <f>SUMIF(123:123,I43,124:124)-SUMIF(123:123,C43,124:124)+100</f>
        <v>100</v>
      </c>
      <c r="K43" s="561">
        <v>2</v>
      </c>
      <c r="L43" s="2715"/>
      <c r="M43" s="2709"/>
      <c r="N43" s="2709"/>
      <c r="O43" s="2709"/>
      <c r="P43" s="3723"/>
      <c r="Q43" s="3483" t="str">
        <f t="shared" si="11"/>
        <v>内部装修</v>
      </c>
      <c r="R43" s="705" t="s">
        <v>14</v>
      </c>
      <c r="S43" s="706">
        <f t="shared" si="12"/>
        <v>100</v>
      </c>
      <c r="T43" s="705" t="s">
        <v>14</v>
      </c>
      <c r="U43" s="706">
        <f t="shared" si="13"/>
        <v>100</v>
      </c>
      <c r="V43" s="705" t="s">
        <v>14</v>
      </c>
      <c r="W43" s="706">
        <f t="shared" si="14"/>
        <v>100</v>
      </c>
      <c r="X43" s="3480"/>
      <c r="Y43" s="3725"/>
      <c r="Z43" s="3481" t="str">
        <f t="shared" si="15"/>
        <v>内部装修</v>
      </c>
      <c r="AA43" s="3484">
        <f t="shared" si="3"/>
        <v>1</v>
      </c>
      <c r="AB43" s="3484">
        <f t="shared" si="4"/>
        <v>1</v>
      </c>
      <c r="AC43" s="1957">
        <f t="shared" si="5"/>
        <v>1</v>
      </c>
    </row>
    <row r="44" spans="1:29" ht="15.75" thickBot="1">
      <c r="A44" s="423"/>
      <c r="B44" s="375" t="s">
        <v>1702</v>
      </c>
      <c r="C44" s="411" t="s">
        <v>3406</v>
      </c>
      <c r="D44" s="386">
        <v>100</v>
      </c>
      <c r="E44" s="411" t="s">
        <v>3406</v>
      </c>
      <c r="F44" s="412">
        <f>SUMIF(125:125,E44,126:126)-SUMIF(125:125,C44,126:126)+100</f>
        <v>100</v>
      </c>
      <c r="G44" s="411" t="s">
        <v>3406</v>
      </c>
      <c r="H44" s="386">
        <f>SUMIF(125:125,G44,126:126)-SUMIF(125:125,C44,126:126)+100</f>
        <v>100</v>
      </c>
      <c r="I44" s="411" t="s">
        <v>3406</v>
      </c>
      <c r="J44" s="386">
        <f>SUMIF(125:125,I44,126:126)-SUMIF(125:125,C44,126:126)+100</f>
        <v>100</v>
      </c>
      <c r="K44" s="561">
        <v>1</v>
      </c>
      <c r="L44" s="2715"/>
      <c r="M44" s="2709"/>
      <c r="N44" s="2709"/>
      <c r="O44" s="2709"/>
      <c r="P44" s="3723"/>
      <c r="Q44" s="3483" t="str">
        <f t="shared" si="11"/>
        <v>内部装修维护情况</v>
      </c>
      <c r="R44" s="705" t="s">
        <v>14</v>
      </c>
      <c r="S44" s="706">
        <f t="shared" si="12"/>
        <v>100</v>
      </c>
      <c r="T44" s="705" t="s">
        <v>14</v>
      </c>
      <c r="U44" s="706">
        <f t="shared" si="13"/>
        <v>100</v>
      </c>
      <c r="V44" s="705" t="s">
        <v>14</v>
      </c>
      <c r="W44" s="706">
        <f t="shared" si="14"/>
        <v>100</v>
      </c>
      <c r="X44" s="3480"/>
      <c r="Y44" s="3725"/>
      <c r="Z44" s="3481" t="str">
        <f t="shared" si="15"/>
        <v>内部装修维护情况</v>
      </c>
      <c r="AA44" s="3484">
        <f t="shared" si="3"/>
        <v>1</v>
      </c>
      <c r="AB44" s="3484">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3"/>
      <c r="Q45" s="3477">
        <f t="shared" si="11"/>
        <v>111</v>
      </c>
      <c r="R45" s="701" t="s">
        <v>14</v>
      </c>
      <c r="S45" s="702">
        <f t="shared" si="12"/>
        <v>100</v>
      </c>
      <c r="T45" s="701" t="s">
        <v>14</v>
      </c>
      <c r="U45" s="702">
        <f t="shared" si="13"/>
        <v>100</v>
      </c>
      <c r="V45" s="701" t="s">
        <v>14</v>
      </c>
      <c r="W45" s="702">
        <f t="shared" si="14"/>
        <v>100</v>
      </c>
      <c r="X45" s="703"/>
      <c r="Y45" s="3725"/>
      <c r="Z45" s="3459">
        <f t="shared" si="15"/>
        <v>111</v>
      </c>
      <c r="AA45" s="704">
        <f t="shared" si="3"/>
        <v>1</v>
      </c>
      <c r="AB45" s="704">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3"/>
      <c r="Q46" s="3483">
        <f t="shared" si="11"/>
        <v>111</v>
      </c>
      <c r="R46" s="705" t="s">
        <v>14</v>
      </c>
      <c r="S46" s="706">
        <f t="shared" si="12"/>
        <v>100</v>
      </c>
      <c r="T46" s="705" t="s">
        <v>14</v>
      </c>
      <c r="U46" s="706">
        <f t="shared" si="13"/>
        <v>100</v>
      </c>
      <c r="V46" s="705" t="s">
        <v>14</v>
      </c>
      <c r="W46" s="706">
        <f t="shared" si="14"/>
        <v>100</v>
      </c>
      <c r="X46" s="3480"/>
      <c r="Y46" s="3725"/>
      <c r="Z46" s="3481">
        <f t="shared" si="15"/>
        <v>111</v>
      </c>
      <c r="AA46" s="3484">
        <f t="shared" si="3"/>
        <v>1</v>
      </c>
      <c r="AB46" s="3484">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4"/>
      <c r="Q47" s="3483">
        <f t="shared" si="11"/>
        <v>111</v>
      </c>
      <c r="R47" s="705" t="s">
        <v>14</v>
      </c>
      <c r="S47" s="706">
        <f t="shared" si="12"/>
        <v>100</v>
      </c>
      <c r="T47" s="705" t="s">
        <v>14</v>
      </c>
      <c r="U47" s="706">
        <f t="shared" si="13"/>
        <v>100</v>
      </c>
      <c r="V47" s="705" t="s">
        <v>14</v>
      </c>
      <c r="W47" s="706">
        <f t="shared" si="14"/>
        <v>100</v>
      </c>
      <c r="X47" s="3480"/>
      <c r="Y47" s="3726"/>
      <c r="Z47" s="3481">
        <f t="shared" si="15"/>
        <v>111</v>
      </c>
      <c r="AA47" s="3484">
        <f t="shared" si="3"/>
        <v>1</v>
      </c>
      <c r="AB47" s="3484">
        <f t="shared" si="4"/>
        <v>1</v>
      </c>
      <c r="AC47" s="1957">
        <f t="shared" si="5"/>
        <v>1</v>
      </c>
    </row>
    <row r="48" spans="1:29" ht="15">
      <c r="A48" s="430" t="s">
        <v>1703</v>
      </c>
      <c r="B48" s="431"/>
      <c r="C48" s="1150" t="s">
        <v>0</v>
      </c>
      <c r="D48" s="1151"/>
      <c r="E48" s="1152">
        <v>27998</v>
      </c>
      <c r="F48" s="1153"/>
      <c r="G48" s="1154">
        <v>29730</v>
      </c>
      <c r="H48" s="1155"/>
      <c r="I48" s="1152">
        <v>25758</v>
      </c>
      <c r="J48" s="436"/>
      <c r="K48" s="714"/>
      <c r="L48" s="2717"/>
      <c r="M48" s="2709"/>
      <c r="N48" s="2709"/>
      <c r="O48" s="2709"/>
      <c r="P48" s="3717" t="str">
        <f>A48</f>
        <v>成交单价（元/平方米）</v>
      </c>
      <c r="Q48" s="3727"/>
      <c r="R48" s="3728">
        <f>E48</f>
        <v>27998</v>
      </c>
      <c r="S48" s="3728"/>
      <c r="T48" s="3728">
        <f>G48</f>
        <v>29730</v>
      </c>
      <c r="U48" s="3728"/>
      <c r="V48" s="3728">
        <f>I48</f>
        <v>25758</v>
      </c>
      <c r="W48" s="3728"/>
      <c r="X48" s="397"/>
      <c r="Y48" s="712"/>
      <c r="Z48" s="397"/>
      <c r="AA48" s="397"/>
      <c r="AB48" s="397"/>
      <c r="AC48" s="578"/>
    </row>
    <row r="49" spans="1:29" ht="15.75" thickBot="1">
      <c r="A49" s="437" t="s">
        <v>1704</v>
      </c>
      <c r="B49" s="438"/>
      <c r="C49" s="1156">
        <f>R50</f>
        <v>27181</v>
      </c>
      <c r="D49" s="2312" t="s">
        <v>2133</v>
      </c>
      <c r="E49" s="1157">
        <f>R49</f>
        <v>28009</v>
      </c>
      <c r="F49" s="2313"/>
      <c r="G49" s="1156">
        <f>T49</f>
        <v>28026</v>
      </c>
      <c r="H49" s="2313"/>
      <c r="I49" s="1157">
        <f>V49</f>
        <v>25508</v>
      </c>
      <c r="J49" s="2313"/>
      <c r="K49" s="2315">
        <f>F49+H49+J49</f>
        <v>0</v>
      </c>
      <c r="L49" s="2717"/>
      <c r="M49" s="2709"/>
      <c r="N49" s="2709"/>
      <c r="O49" s="2709"/>
      <c r="P49" s="3717" t="str">
        <f>A49</f>
        <v>比较价值（元/平方米）</v>
      </c>
      <c r="Q49" s="3727"/>
      <c r="R49" s="3728">
        <f>IF(F1="售价",ROUND(PRODUCT(R48,AA7:AA47),0),ROUND(PRODUCT(R48,AA7:AA47),1))</f>
        <v>28009</v>
      </c>
      <c r="S49" s="3728"/>
      <c r="T49" s="3728">
        <f>IF(F1="售价",ROUND(PRODUCT(T48,AB7:AB47),0),ROUND(PRODUCT(T48,AB7:AB47),1))</f>
        <v>28026</v>
      </c>
      <c r="U49" s="3728"/>
      <c r="V49" s="3728">
        <f>IF(F1="售价",ROUND(PRODUCT(V48,AC7:AC47),0),ROUND(PRODUCT(V48,AC7:AC47),1))</f>
        <v>25508</v>
      </c>
      <c r="W49" s="3728"/>
      <c r="X49" s="397"/>
      <c r="Y49" s="397"/>
      <c r="Z49" s="397"/>
      <c r="AA49" s="397"/>
      <c r="AB49" s="397"/>
      <c r="AC49" s="578"/>
    </row>
    <row r="50" spans="1:29" ht="15.75" thickBot="1">
      <c r="A50" s="441" t="s">
        <v>1705</v>
      </c>
      <c r="B50" s="442"/>
      <c r="C50" s="1159">
        <f>R50</f>
        <v>27181</v>
      </c>
      <c r="D50" s="1159"/>
      <c r="E50" s="1159"/>
      <c r="F50" s="1159"/>
      <c r="G50" s="1159"/>
      <c r="H50" s="1159"/>
      <c r="I50" s="1159"/>
      <c r="J50" s="443"/>
      <c r="K50" s="715"/>
      <c r="L50" s="2717"/>
      <c r="M50" s="2709"/>
      <c r="N50" s="2709"/>
      <c r="O50" s="2709"/>
      <c r="P50" s="3729" t="str">
        <f>A50</f>
        <v>估价对象XX用房的比较价值（楼面单价，元/平方米）</v>
      </c>
      <c r="Q50" s="3730"/>
      <c r="R50" s="3731">
        <f>IF(F1="售价",ROUND(IF(D49="简单平均",AVERAGE(R49:V49),R49*F49+T49*H49+V49*J49),0),ROUND(IF(D49="简单平均",AVERAGE(R49:V49),R49*F49+T49*H49+V49*J49),1))</f>
        <v>27181</v>
      </c>
      <c r="S50" s="3731"/>
      <c r="T50" s="3731"/>
      <c r="U50" s="3731"/>
      <c r="V50" s="3731"/>
      <c r="W50" s="3731"/>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1706</v>
      </c>
      <c r="D53" s="447"/>
      <c r="E53" s="448">
        <f>IF(E48&lt;E49,E49/E48-1,E48/E49-1)</f>
        <v>3.9288520608615762E-4</v>
      </c>
      <c r="F53" s="449" t="str">
        <f>IF(OR(E53&gt;=0.3,E53&lt;=-0.3),"超过30%","")</f>
        <v/>
      </c>
      <c r="G53" s="448">
        <f>IF(G48&lt;G49,G49/G48-1,G48/G49-1)</f>
        <v>6.0800685078141736E-2</v>
      </c>
      <c r="H53" s="449" t="str">
        <f>IF(OR(G53&gt;=0.3,G53&lt;=-0.3),"超过30%","")</f>
        <v/>
      </c>
      <c r="I53" s="448">
        <f>IF(I48&lt;I49,I49/I48-1,I48/I49-1)</f>
        <v>9.8008467931629539E-3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1707</v>
      </c>
      <c r="D54" s="450"/>
      <c r="E54" s="448">
        <f>IF(E49&lt;G49,G49/E49-1,E49/G49-1)</f>
        <v>6.0694776678915652E-4</v>
      </c>
      <c r="F54" s="449" t="str">
        <f>IF(OR(E54&gt;=0.2,E54&lt;=-0.2),"超过20%","")</f>
        <v/>
      </c>
      <c r="G54" s="448">
        <f>IF(G49&lt;I49,I49/G49-1,G49/I49-1)</f>
        <v>9.8714128900736942E-2</v>
      </c>
      <c r="H54" s="449" t="str">
        <f>IF(OR(G54&gt;=0.2,G54&lt;=-0.2),"超过20%","")</f>
        <v/>
      </c>
      <c r="I54" s="448">
        <f>IF(I49&lt;E49,E49/I49-1,I49/E49-1)</f>
        <v>9.8047671318801877E-2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1708</v>
      </c>
      <c r="D55" s="450"/>
      <c r="E55" s="448">
        <f>IF(E48&lt;G48,G48/E48-1,E48/G48-1)</f>
        <v>6.1861561540109911E-2</v>
      </c>
      <c r="F55" s="449" t="str">
        <f>IF(OR(E55&gt;=0.3,E55&lt;=-0.3),"超过30%","")</f>
        <v/>
      </c>
      <c r="G55" s="448">
        <f>IF(G48&lt;I48,I48/G48-1,G48/I48-1)</f>
        <v>0.15420451898439325</v>
      </c>
      <c r="H55" s="449" t="str">
        <f>IF(OR(G55&gt;=0.3,G55&lt;=-0.3),"超过30%","")</f>
        <v/>
      </c>
      <c r="I55" s="448">
        <f>IF(I48&lt;E48,E48/I48-1,I48/E48-1)</f>
        <v>8.6963273546082798E-2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1709</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0" t="str">
        <f>YEAR(C7)&amp;"-"&amp;MONTH(C7)</f>
        <v>2023-4</v>
      </c>
      <c r="D59" s="1181">
        <f>EDATE(C59,-1)</f>
        <v>44986</v>
      </c>
      <c r="E59" s="1181">
        <f>EDATE(D59,-1)</f>
        <v>44958</v>
      </c>
      <c r="F59" s="1181">
        <f t="shared" ref="F59:O59" si="16">EDATE(E59,-1)</f>
        <v>44927</v>
      </c>
      <c r="G59" s="1181">
        <f t="shared" si="16"/>
        <v>44896</v>
      </c>
      <c r="H59" s="1181">
        <f t="shared" si="16"/>
        <v>44866</v>
      </c>
      <c r="I59" s="1181">
        <f t="shared" si="16"/>
        <v>44835</v>
      </c>
      <c r="J59" s="1181">
        <f t="shared" si="16"/>
        <v>44805</v>
      </c>
      <c r="K59" s="1181">
        <f t="shared" si="16"/>
        <v>44774</v>
      </c>
      <c r="L59" s="1181">
        <f t="shared" si="16"/>
        <v>44743</v>
      </c>
      <c r="M59" s="1181">
        <f t="shared" si="16"/>
        <v>44713</v>
      </c>
      <c r="N59" s="1181">
        <f t="shared" si="16"/>
        <v>44682</v>
      </c>
      <c r="O59" s="1181">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1713</v>
      </c>
      <c r="D62" s="3450" t="s">
        <v>3390</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t="s">
        <v>3391</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52" t="s">
        <v>3418</v>
      </c>
      <c r="D89" s="3452" t="s">
        <v>3419</v>
      </c>
      <c r="E89" s="3452" t="s">
        <v>3421</v>
      </c>
      <c r="F89" s="1923"/>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51" t="s">
        <v>3393</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1732</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1200(含)-1500</v>
      </c>
      <c r="I103" s="527" t="str">
        <f t="shared" si="23"/>
        <v>1500(含)-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800</v>
      </c>
      <c r="H104" s="544">
        <v>1200</v>
      </c>
      <c r="I104" s="544">
        <v>1500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52" t="s">
        <v>3394</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52" t="s">
        <v>3396</v>
      </c>
      <c r="D108" s="3452" t="s">
        <v>3398</v>
      </c>
      <c r="E108" s="3452" t="s">
        <v>3400</v>
      </c>
      <c r="F108" s="3453" t="s">
        <v>3402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3452" t="s">
        <v>3404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3405</v>
      </c>
      <c r="D115" s="503" t="s">
        <v>3406</v>
      </c>
      <c r="E115" s="532" t="s">
        <v>3407</v>
      </c>
      <c r="F115" s="532" t="s">
        <v>3408</v>
      </c>
      <c r="G115" s="532" t="s">
        <v>3409</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3410</v>
      </c>
      <c r="D117" s="503" t="s">
        <v>3411</v>
      </c>
      <c r="E117" s="503" t="s">
        <v>3412</v>
      </c>
      <c r="F117" s="503" t="s">
        <v>3413</v>
      </c>
      <c r="G117" s="503" t="s">
        <v>3414</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53" t="s">
        <v>3416</v>
      </c>
      <c r="D119" s="532"/>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503" t="s">
        <v>3395</v>
      </c>
      <c r="D123" s="503" t="s">
        <v>3397</v>
      </c>
      <c r="E123" s="503" t="s">
        <v>3399</v>
      </c>
      <c r="F123" s="532" t="s">
        <v>3401</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8" priority="20" stopIfTrue="1" operator="containsText" text="超过">
      <formula>NOT(ISERROR(SEARCH("超过",F53)))</formula>
    </cfRule>
  </conditionalFormatting>
  <conditionalFormatting sqref="H55">
    <cfRule type="containsText" dxfId="157" priority="19" stopIfTrue="1" operator="containsText" text="超过">
      <formula>NOT(ISERROR(SEARCH("超过",H55)))</formula>
    </cfRule>
  </conditionalFormatting>
  <conditionalFormatting sqref="F55">
    <cfRule type="containsText" dxfId="156" priority="18" stopIfTrue="1" operator="containsText" text="超过">
      <formula>NOT(ISERROR(SEARCH("超过",F55)))</formula>
    </cfRule>
  </conditionalFormatting>
  <conditionalFormatting sqref="F54 H54">
    <cfRule type="containsText" dxfId="155" priority="17" stopIfTrue="1" operator="containsText" text="超过">
      <formula>NOT(ISERROR(SEARCH("超过",F54)))</formula>
    </cfRule>
  </conditionalFormatting>
  <conditionalFormatting sqref="E53">
    <cfRule type="expression" dxfId="154" priority="16" stopIfTrue="1">
      <formula>$F$53="超过30%"</formula>
    </cfRule>
  </conditionalFormatting>
  <conditionalFormatting sqref="E54">
    <cfRule type="expression" dxfId="153" priority="15" stopIfTrue="1">
      <formula>$F$54="超过20%"</formula>
    </cfRule>
  </conditionalFormatting>
  <conditionalFormatting sqref="E55">
    <cfRule type="expression" dxfId="152" priority="14" stopIfTrue="1">
      <formula>$F$55="超过30%"</formula>
    </cfRule>
  </conditionalFormatting>
  <conditionalFormatting sqref="G55">
    <cfRule type="expression" dxfId="151" priority="13" stopIfTrue="1">
      <formula>$H$55="超过30%"</formula>
    </cfRule>
  </conditionalFormatting>
  <conditionalFormatting sqref="G53">
    <cfRule type="expression" dxfId="150" priority="12" stopIfTrue="1">
      <formula>$H$53="超过30%"</formula>
    </cfRule>
  </conditionalFormatting>
  <conditionalFormatting sqref="G54">
    <cfRule type="expression" dxfId="149" priority="11" stopIfTrue="1">
      <formula>$H$54="超过20%"</formula>
    </cfRule>
  </conditionalFormatting>
  <conditionalFormatting sqref="J53">
    <cfRule type="containsText" dxfId="148" priority="10" stopIfTrue="1" operator="containsText" text="超过">
      <formula>NOT(ISERROR(SEARCH("超过",J53)))</formula>
    </cfRule>
  </conditionalFormatting>
  <conditionalFormatting sqref="J55">
    <cfRule type="containsText" dxfId="147" priority="9" stopIfTrue="1" operator="containsText" text="超过">
      <formula>NOT(ISERROR(SEARCH("超过",J55)))</formula>
    </cfRule>
  </conditionalFormatting>
  <conditionalFormatting sqref="J54">
    <cfRule type="containsText" dxfId="146" priority="8" stopIfTrue="1" operator="containsText" text="超过">
      <formula>NOT(ISERROR(SEARCH("超过",J54)))</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F7:F47 H7:H47 J7:J47">
    <cfRule type="cellIs" dxfId="13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0" sqref="D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3"/>
      <c r="C1" s="1375">
        <v>502</v>
      </c>
      <c r="D1" s="1358" t="s">
        <v>43</v>
      </c>
      <c r="E1" s="1359" t="s">
        <v>674</v>
      </c>
      <c r="F1" s="1058">
        <f ca="1">J53</f>
        <v>26.42</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800</v>
      </c>
      <c r="B2" s="3418">
        <f ca="1">ROUND(D2/10000,4)</f>
        <v>234.2998</v>
      </c>
      <c r="C2" s="1383" t="s">
        <v>801</v>
      </c>
      <c r="D2" s="1467">
        <f ca="1">C40+J29+L46</f>
        <v>2342998</v>
      </c>
      <c r="E2" s="1384" t="s">
        <v>876</v>
      </c>
      <c r="F2" s="1385"/>
      <c r="G2" s="2699"/>
      <c r="H2" s="2688"/>
      <c r="I2" s="2688"/>
      <c r="J2" s="2688"/>
      <c r="K2" s="2689"/>
      <c r="L2" s="2688"/>
      <c r="M2" s="2688"/>
    </row>
    <row r="3" spans="1:37" ht="18" customHeight="1" thickBot="1">
      <c r="A3" s="1386" t="s">
        <v>802</v>
      </c>
      <c r="B3" s="1387">
        <f ca="1">IF(ISERROR(D2/F43),0,ROUND(D2/F43,0))</f>
        <v>20316</v>
      </c>
      <c r="C3" s="1383" t="s">
        <v>803</v>
      </c>
      <c r="D3" s="1383"/>
      <c r="E3" s="1384"/>
      <c r="F3" s="1385"/>
      <c r="G3" s="2699"/>
      <c r="H3" s="683"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132767</v>
      </c>
      <c r="D5" s="1360" t="s">
        <v>689</v>
      </c>
      <c r="E5" s="1067"/>
      <c r="F5" s="1068"/>
      <c r="G5" s="1380"/>
      <c r="H5" s="299">
        <v>1</v>
      </c>
      <c r="I5" s="300" t="s">
        <v>688</v>
      </c>
      <c r="J5" s="1066">
        <f ca="1">J6+J10+J12</f>
        <v>0</v>
      </c>
      <c r="K5" s="1360" t="s">
        <v>689</v>
      </c>
      <c r="L5" s="1067"/>
      <c r="M5" s="1068"/>
    </row>
    <row r="6" spans="1:37" ht="18" customHeight="1">
      <c r="A6" s="1065" t="s">
        <v>398</v>
      </c>
      <c r="B6" s="3680" t="s">
        <v>690</v>
      </c>
      <c r="C6" s="1070">
        <f ca="1">ROUND(F6*F8*F7*(1-F9),0)</f>
        <v>132601</v>
      </c>
      <c r="D6" s="155" t="s">
        <v>2101</v>
      </c>
      <c r="E6" s="302" t="s">
        <v>692</v>
      </c>
      <c r="F6" s="303">
        <f ca="1">INDIRECT("'数据-取费表'!u"&amp;$G$1)</f>
        <v>3.5</v>
      </c>
      <c r="G6" s="1380"/>
      <c r="H6" s="1065" t="s">
        <v>398</v>
      </c>
      <c r="I6" s="3680" t="s">
        <v>690</v>
      </c>
      <c r="J6" s="301">
        <f ca="1">ROUND(M6*M8*M7*(1-M9),0)</f>
        <v>0</v>
      </c>
      <c r="K6" s="1372" t="s">
        <v>2102</v>
      </c>
      <c r="L6" s="302" t="s">
        <v>692</v>
      </c>
      <c r="M6" s="303">
        <f ca="1">INDIRECT("'数据-取费表'!z"&amp;$G$1)</f>
        <v>0</v>
      </c>
    </row>
    <row r="7" spans="1:37" ht="18" customHeight="1">
      <c r="A7" s="1069"/>
      <c r="B7" s="3681"/>
      <c r="C7" s="1071"/>
      <c r="D7" s="307"/>
      <c r="E7" s="3463" t="s">
        <v>693</v>
      </c>
      <c r="F7" s="303">
        <f ca="1">IF(INDIRECT("'数据-取费表'!ah"&amp;$G$1)="",INDIRECT("'数据-取费表'!k"&amp;$G$1),INDIRECT("'数据-取费表'!ah"&amp;$G$1))</f>
        <v>115.33</v>
      </c>
      <c r="G7" s="1380"/>
      <c r="H7" s="304"/>
      <c r="I7" s="3681"/>
      <c r="J7" s="306"/>
      <c r="K7" s="307"/>
      <c r="L7" s="302" t="s">
        <v>693</v>
      </c>
      <c r="M7" s="303">
        <f ca="1">F7</f>
        <v>115.33</v>
      </c>
    </row>
    <row r="8" spans="1:37" ht="18" customHeight="1">
      <c r="A8" s="304"/>
      <c r="B8" s="3681"/>
      <c r="C8" s="306"/>
      <c r="D8" s="307"/>
      <c r="E8" s="302" t="s">
        <v>694</v>
      </c>
      <c r="F8" s="303">
        <f ca="1">INDIRECT("'数据-取费表'!ai"&amp;$G$1)</f>
        <v>365</v>
      </c>
      <c r="G8" s="1380"/>
      <c r="H8" s="304"/>
      <c r="I8" s="3681"/>
      <c r="J8" s="306"/>
      <c r="K8" s="307"/>
      <c r="L8" s="302" t="s">
        <v>694</v>
      </c>
      <c r="M8" s="303">
        <f ca="1">INDIRECT("'数据-取费表'!ai"&amp;$G$1)</f>
        <v>365</v>
      </c>
    </row>
    <row r="9" spans="1:37" ht="18" customHeight="1">
      <c r="A9" s="304"/>
      <c r="B9" s="3682"/>
      <c r="C9" s="306"/>
      <c r="D9" s="307"/>
      <c r="E9" s="302" t="s">
        <v>695</v>
      </c>
      <c r="F9" s="312">
        <f ca="1">INDIRECT("'数据-取费表'!w"&amp;$G$1)</f>
        <v>0.1</v>
      </c>
      <c r="G9" s="1380"/>
      <c r="H9" s="304"/>
      <c r="I9" s="3682"/>
      <c r="J9" s="306"/>
      <c r="K9" s="307"/>
      <c r="L9" s="313" t="s">
        <v>695</v>
      </c>
      <c r="M9" s="314">
        <f ca="1">INDIRECT("'数据-取费表'!ab"&amp;$G$1)</f>
        <v>0</v>
      </c>
    </row>
    <row r="10" spans="1:37" ht="18" customHeight="1">
      <c r="A10" s="1065" t="s">
        <v>402</v>
      </c>
      <c r="B10" s="1361" t="s">
        <v>696</v>
      </c>
      <c r="C10" s="316">
        <f ca="1">ROUND(IF(F10="押一",C6/12*F11,IF(F10="押二",C6/12*2*F11,IF(F10="押三",C6/12*3*F11,C11*F11))),0)</f>
        <v>166</v>
      </c>
      <c r="D10" s="1362" t="s">
        <v>2111</v>
      </c>
      <c r="E10" s="313" t="s">
        <v>697</v>
      </c>
      <c r="F10" s="1112" t="s">
        <v>3383</v>
      </c>
      <c r="G10" s="1380"/>
      <c r="H10" s="1065" t="s">
        <v>402</v>
      </c>
      <c r="I10" s="1361" t="s">
        <v>696</v>
      </c>
      <c r="J10" s="301">
        <f ca="1">ROUND(IF(M10="押一",J6/12*M11,IF(M10="押二",J6/12*2*M11,IF(M10="押三",J6/12*3*M11,J11*M11))),0)</f>
        <v>0</v>
      </c>
      <c r="K10" s="1373" t="s">
        <v>2113</v>
      </c>
      <c r="L10" s="313" t="s">
        <v>697</v>
      </c>
      <c r="M10" s="1112"/>
    </row>
    <row r="11" spans="1:37" ht="18" customHeight="1">
      <c r="A11" s="308"/>
      <c r="B11" s="1363" t="s">
        <v>886</v>
      </c>
      <c r="C11" s="955"/>
      <c r="D11" s="307"/>
      <c r="E11" s="313" t="s">
        <v>698</v>
      </c>
      <c r="F11" s="314">
        <f ca="1">'数据-取费表'!B39</f>
        <v>1.4999999999999999E-2</v>
      </c>
      <c r="G11" s="1380"/>
      <c r="H11" s="1073"/>
      <c r="I11" s="1363" t="s">
        <v>887</v>
      </c>
      <c r="J11" s="955"/>
      <c r="K11" s="684"/>
      <c r="L11" s="313"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518436</v>
      </c>
      <c r="D13" s="3456" t="s">
        <v>701</v>
      </c>
      <c r="E13" s="3456" t="s">
        <v>702</v>
      </c>
      <c r="F13" s="1078">
        <f ca="1">INDIRECT("'数据-取费表'!y"&amp;$G$1)</f>
        <v>0.87</v>
      </c>
      <c r="G13" s="1380"/>
      <c r="H13" s="1075">
        <v>2</v>
      </c>
      <c r="I13" s="1076" t="s">
        <v>700</v>
      </c>
      <c r="J13" s="1064">
        <f ca="1">ROUND(J14*J15,0)</f>
        <v>0</v>
      </c>
      <c r="K13" s="1083" t="s">
        <v>701</v>
      </c>
      <c r="L13" s="1388"/>
      <c r="M13" s="1389"/>
    </row>
    <row r="14" spans="1:37" ht="18" customHeight="1">
      <c r="A14" s="978" t="s">
        <v>397</v>
      </c>
      <c r="B14" s="302" t="s">
        <v>703</v>
      </c>
      <c r="C14" s="318">
        <f ca="1">ROUND(INDIRECT("'数据-取费表'!l"&amp;$G$1)*F43+'数据-取费表'!L14*INDIRECT("'数据-取费表'!S"&amp;$G$1),0)</f>
        <v>403655</v>
      </c>
      <c r="D14" s="3473" t="s">
        <v>704</v>
      </c>
      <c r="E14" s="3472"/>
      <c r="F14" s="319"/>
      <c r="G14" s="1380"/>
      <c r="H14" s="978" t="s">
        <v>398</v>
      </c>
      <c r="I14" s="302" t="s">
        <v>705</v>
      </c>
      <c r="J14" s="21">
        <f ca="1">C29</f>
        <v>595903</v>
      </c>
      <c r="K14" s="3461"/>
      <c r="L14" s="803"/>
      <c r="M14" s="804"/>
    </row>
    <row r="15" spans="1:37" s="1393" customFormat="1" ht="18" customHeight="1" thickBot="1">
      <c r="A15" s="978" t="s">
        <v>399</v>
      </c>
      <c r="B15" s="302" t="s">
        <v>706</v>
      </c>
      <c r="C15" s="21">
        <f ca="1">ROUND(C14*F15,0)</f>
        <v>20183</v>
      </c>
      <c r="D15" s="3457" t="s">
        <v>707</v>
      </c>
      <c r="E15" s="3457"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80"/>
      <c r="H16" s="1075" t="s">
        <v>393</v>
      </c>
      <c r="I16" s="1076" t="s">
        <v>710</v>
      </c>
      <c r="J16" s="310">
        <f ca="1">ROUND(J17+J22+J23+J24,0)</f>
        <v>5959</v>
      </c>
      <c r="K16" s="1083" t="s">
        <v>711</v>
      </c>
      <c r="L16" s="3478"/>
      <c r="M16" s="1068"/>
    </row>
    <row r="17" spans="1:37" s="1393" customFormat="1" ht="18" customHeight="1">
      <c r="A17" s="978" t="s">
        <v>677</v>
      </c>
      <c r="B17" s="302" t="s">
        <v>712</v>
      </c>
      <c r="C17" s="21">
        <f ca="1">ROUND(F17*(F43+INDIRECT("'数据-取费表'!S"&amp;$G$1)),0)</f>
        <v>23066</v>
      </c>
      <c r="D17" s="302" t="s">
        <v>713</v>
      </c>
      <c r="E17" s="302" t="s">
        <v>714</v>
      </c>
      <c r="F17" s="23">
        <f>'数据-取费表'!B35</f>
        <v>200</v>
      </c>
      <c r="G17" s="1392"/>
      <c r="H17" s="978" t="s">
        <v>398</v>
      </c>
      <c r="I17" s="302" t="s">
        <v>715</v>
      </c>
      <c r="J17" s="2311">
        <f ca="1">ROUND(IF(AND(项目基本情况!B11="自然人",项目基本情况!B10="北京市"),J6*M17/(1+'数据-取费表'!C42),J18+J19+J20),0)</f>
        <v>0</v>
      </c>
      <c r="K17" s="3473" t="s">
        <v>716</v>
      </c>
      <c r="L17" s="3476" t="s">
        <v>717</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2" t="s">
        <v>718</v>
      </c>
      <c r="C18" s="21">
        <f ca="1">ROUND(C14*F18,0)</f>
        <v>6055</v>
      </c>
      <c r="D18" s="302" t="s">
        <v>707</v>
      </c>
      <c r="E18" s="302" t="s">
        <v>708</v>
      </c>
      <c r="F18" s="322">
        <f>'数据-取费表'!B36</f>
        <v>1.4999999999999999E-2</v>
      </c>
      <c r="G18" s="1392"/>
      <c r="H18" s="978" t="s">
        <v>397</v>
      </c>
      <c r="I18" s="302" t="s">
        <v>719</v>
      </c>
      <c r="J18" s="21">
        <f ca="1">ROUND(J6*M18/(1+'数据-取费表'!C42),0)</f>
        <v>0</v>
      </c>
      <c r="K18" s="3476" t="s">
        <v>720</v>
      </c>
      <c r="L18" s="302" t="s">
        <v>708</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721</v>
      </c>
      <c r="C19" s="21">
        <f ca="1">SUM(C14:C18)</f>
        <v>452959</v>
      </c>
      <c r="D19" s="131" t="s">
        <v>722</v>
      </c>
      <c r="E19" s="3487"/>
      <c r="F19" s="23"/>
      <c r="G19" s="1380"/>
      <c r="H19" s="978" t="s">
        <v>399</v>
      </c>
      <c r="I19" s="302" t="s">
        <v>723</v>
      </c>
      <c r="J19" s="21">
        <f ca="1">IF(K19="按租金收入计税",ROUND(J6*M19/(1+'数据-取费表'!C42),0),ROUND(C29*M19*0.7,0))</f>
        <v>0</v>
      </c>
      <c r="K19" s="1366" t="s">
        <v>3338</v>
      </c>
      <c r="L19" s="302" t="s">
        <v>708</v>
      </c>
      <c r="M19" s="322">
        <f>IF(K19="按租金收入计税",'数据-取费表'!B51,'数据-取费表'!B50)</f>
        <v>0.12</v>
      </c>
    </row>
    <row r="20" spans="1:37" s="1393" customFormat="1" ht="18" customHeight="1">
      <c r="A20" s="978" t="s">
        <v>402</v>
      </c>
      <c r="B20" s="302" t="s">
        <v>724</v>
      </c>
      <c r="C20" s="21">
        <f ca="1">ROUND(C19*F20,0)</f>
        <v>9059</v>
      </c>
      <c r="D20" s="2422" t="s">
        <v>725</v>
      </c>
      <c r="E20" s="302" t="s">
        <v>708</v>
      </c>
      <c r="F20" s="322">
        <f>'数据-取费表'!B37</f>
        <v>0.02</v>
      </c>
      <c r="G20" s="1392"/>
      <c r="H20" s="978" t="s">
        <v>676</v>
      </c>
      <c r="I20" s="155" t="s">
        <v>726</v>
      </c>
      <c r="J20" s="22">
        <f ca="1">ROUND(M20*M21,0)</f>
        <v>0</v>
      </c>
      <c r="K20" s="324" t="s">
        <v>727</v>
      </c>
      <c r="L20" s="302" t="s">
        <v>728</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729</v>
      </c>
      <c r="C21" s="21" t="s">
        <v>0</v>
      </c>
      <c r="D21" s="2422" t="s">
        <v>730</v>
      </c>
      <c r="E21" s="302" t="s">
        <v>731</v>
      </c>
      <c r="F21" s="322">
        <f>'数据-取费表'!B38</f>
        <v>0.02</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87"/>
      <c r="F22" s="23"/>
      <c r="G22" s="1380"/>
      <c r="H22" s="978" t="s">
        <v>402</v>
      </c>
      <c r="I22" s="302" t="s">
        <v>734</v>
      </c>
      <c r="J22" s="21">
        <f ca="1">ROUND(J14*M22,0)</f>
        <v>5959</v>
      </c>
      <c r="K22" s="3476" t="s">
        <v>735</v>
      </c>
      <c r="L22" s="302" t="s">
        <v>708</v>
      </c>
      <c r="M22" s="328">
        <f ca="1">INDIRECT("'数据-取费表'!Ak"&amp;$G$1)</f>
        <v>0.01</v>
      </c>
    </row>
    <row r="23" spans="1:37" s="1393" customFormat="1" ht="18" customHeight="1">
      <c r="A23" s="978" t="s">
        <v>397</v>
      </c>
      <c r="B23" s="302" t="s">
        <v>736</v>
      </c>
      <c r="C23" s="21">
        <f ca="1">IF('数据-取费表'!B22&lt;=1,ROUND(C19*F24*F23/2,0)+ROUND(C20*F24*F23/2,0),ROUND(C19*(POWER((1+F24),F23/2)-1),0)+ROUND(C20*(POWER((1+F24),F23/2)-1),0))</f>
        <v>19174</v>
      </c>
      <c r="D23" s="329" t="str">
        <f>IF(F23&lt;=1,"(建造成本+管理费用)×利率×(建设周期÷2)","(建造成本+管理费用)×((1+利率)^(建设周期÷2)-1)")</f>
        <v>(建造成本+管理费用)×((1+利率)^(建设周期÷2)-1)</v>
      </c>
      <c r="E23" s="302" t="s">
        <v>737</v>
      </c>
      <c r="F23" s="325">
        <f>'数据-取费表'!B20</f>
        <v>2</v>
      </c>
      <c r="G23" s="1392"/>
      <c r="H23" s="978" t="s">
        <v>437</v>
      </c>
      <c r="I23" s="302" t="s">
        <v>738</v>
      </c>
      <c r="J23" s="21">
        <f ca="1">ROUND(J13*M23,0)</f>
        <v>0</v>
      </c>
      <c r="K23" s="3476" t="s">
        <v>739</v>
      </c>
      <c r="L23" s="302" t="s">
        <v>708</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302" t="s">
        <v>742</v>
      </c>
      <c r="C24" s="21">
        <f ca="1">ROUND(IF('数据-取费表'!B22&lt;=1,F21*F24*F23/2,F21*(POWER((1+F24),F23/2)-1)),4)</f>
        <v>8.0000000000000004E-4</v>
      </c>
      <c r="D24" s="329" t="str">
        <f>IF(F23&lt;=1,"销售费用×利率×(建设周期÷2)","销售费用×((1+利率)^(建设周期÷2)-1)")</f>
        <v>销售费用×((1+利率)^(建设周期÷2)-1)</v>
      </c>
      <c r="E24" s="302" t="s">
        <v>743</v>
      </c>
      <c r="F24" s="331">
        <f ca="1">'数据-取费表'!B40</f>
        <v>4.1499999999999995E-2</v>
      </c>
      <c r="G24" s="1392"/>
      <c r="H24" s="1085" t="s">
        <v>679</v>
      </c>
      <c r="I24" s="1086" t="s">
        <v>724</v>
      </c>
      <c r="J24" s="1087">
        <f ca="1">ROUND(J5*M24,0)</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2" t="s">
        <v>746</v>
      </c>
      <c r="C25" s="21"/>
      <c r="D25" s="131" t="s">
        <v>747</v>
      </c>
      <c r="E25" s="3487"/>
      <c r="F25" s="23"/>
      <c r="G25" s="1380"/>
      <c r="H25" s="1075" t="s">
        <v>394</v>
      </c>
      <c r="I25" s="1090" t="s">
        <v>748</v>
      </c>
      <c r="J25" s="310">
        <f ca="1">J5-J16</f>
        <v>-5959</v>
      </c>
      <c r="K25" s="1091" t="s">
        <v>749</v>
      </c>
      <c r="L25" s="1092"/>
      <c r="M25" s="1093"/>
    </row>
    <row r="26" spans="1:37" ht="18" customHeight="1">
      <c r="A26" s="978" t="s">
        <v>397</v>
      </c>
      <c r="B26" s="302" t="s">
        <v>750</v>
      </c>
      <c r="C26" s="21">
        <f ca="1">ROUND((C19+C20)*F26,0)</f>
        <v>69303</v>
      </c>
      <c r="D26" s="2422" t="s">
        <v>751</v>
      </c>
      <c r="E26" s="313" t="s">
        <v>752</v>
      </c>
      <c r="F26" s="312">
        <f ca="1">INDIRECT("'数据-取费表'!q"&amp;$G$1)</f>
        <v>0.15</v>
      </c>
      <c r="G26" s="1380"/>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2422" t="s">
        <v>757</v>
      </c>
      <c r="E27" s="3457"/>
      <c r="F27" s="321"/>
      <c r="G27" s="1380"/>
      <c r="H27" s="304"/>
      <c r="I27" s="305"/>
      <c r="J27" s="306"/>
      <c r="K27" s="332" t="s">
        <v>758</v>
      </c>
      <c r="L27" s="302" t="s">
        <v>759</v>
      </c>
      <c r="M27" s="333">
        <f ca="1">INDIRECT("'数据-取费表'!ag"&amp;$G$1)</f>
        <v>0</v>
      </c>
    </row>
    <row r="28" spans="1:37" s="1393" customFormat="1" ht="18" customHeight="1">
      <c r="A28" s="978" t="s">
        <v>400</v>
      </c>
      <c r="B28" s="302" t="s">
        <v>760</v>
      </c>
      <c r="C28" s="21">
        <f>ROUND(F28/(1+'数据-取费表'!C42),4)</f>
        <v>5.2400000000000002E-2</v>
      </c>
      <c r="D28" s="2422" t="s">
        <v>761</v>
      </c>
      <c r="E28" s="302" t="s">
        <v>708</v>
      </c>
      <c r="F28" s="322">
        <f>'数据-取费表'!B41</f>
        <v>5.5000000000000007E-2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595903</v>
      </c>
      <c r="D29" s="1088"/>
      <c r="E29" s="1086"/>
      <c r="F29" s="1089"/>
      <c r="G29" s="1392"/>
      <c r="H29" s="334" t="s">
        <v>396</v>
      </c>
      <c r="I29" s="335" t="s">
        <v>764</v>
      </c>
      <c r="J29" s="336">
        <f ca="1">ROUND(J26/(1+F40)^F41,0)</f>
        <v>0</v>
      </c>
      <c r="K29" s="337" t="s">
        <v>765</v>
      </c>
      <c r="L29" s="338"/>
      <c r="M29" s="339">
        <f ca="1">INDIRECT("'数据-取费表'!k"&amp;$G$1)</f>
        <v>115.33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16905</v>
      </c>
      <c r="D30" s="1083" t="s">
        <v>711</v>
      </c>
      <c r="E30" s="3478"/>
      <c r="F30" s="1068"/>
      <c r="G30" s="1380"/>
      <c r="H30" s="2690"/>
      <c r="I30" s="1394"/>
      <c r="J30" s="1395"/>
      <c r="K30" s="2469"/>
      <c r="L30" s="2691"/>
      <c r="M30" s="2692"/>
    </row>
    <row r="31" spans="1:37" ht="18" customHeight="1">
      <c r="A31" s="978" t="s">
        <v>398</v>
      </c>
      <c r="B31" s="302" t="s">
        <v>715</v>
      </c>
      <c r="C31" s="2311">
        <f ca="1">ROUND(IF(AND(项目基本情况!B11="自然人",项目基本情况!B10="北京市"),C6*F31/(1+'数据-取费表'!C42),C32+C33+C34),0)</f>
        <v>8840</v>
      </c>
      <c r="D31" s="3473" t="s">
        <v>716</v>
      </c>
      <c r="E31" s="3476" t="s">
        <v>766</v>
      </c>
      <c r="F31" s="2310">
        <f ca="1">IF(项目基本情况!B11="企业","——",IF(M47="住宅",IF(F6*F7*F8/12/(1+'数据-取费表'!F30)&gt;100000,4%,2.5%),IF(F6*F7*F8/12/(1+'数据-取费表'!F30)&gt;100000,12%,7%)))</f>
        <v>7.0000000000000007E-2</v>
      </c>
      <c r="G31" s="1380"/>
      <c r="H31" s="2801" t="s">
        <v>2305</v>
      </c>
      <c r="I31" s="1394"/>
      <c r="J31" s="1395"/>
      <c r="K31" s="2469"/>
      <c r="L31" s="2691"/>
      <c r="M31" s="2692"/>
    </row>
    <row r="32" spans="1:37" ht="18" customHeight="1">
      <c r="A32" s="978" t="s">
        <v>397</v>
      </c>
      <c r="B32" s="302" t="s">
        <v>719</v>
      </c>
      <c r="C32" s="21" t="str">
        <f>IF(项目基本情况!B11="自然人","——",ROUND(C6*F32/(1+'数据-取费表'!C42),0))</f>
        <v>——</v>
      </c>
      <c r="D32" s="3476" t="s">
        <v>720</v>
      </c>
      <c r="E32" s="302" t="s">
        <v>708</v>
      </c>
      <c r="F32" s="331">
        <f>'数据-取费表'!B41</f>
        <v>5.5000000000000007E-2</v>
      </c>
      <c r="G32" s="1380"/>
      <c r="H32" s="2690"/>
      <c r="I32" s="1394"/>
      <c r="J32" s="1395"/>
      <c r="K32" s="2469"/>
      <c r="L32" s="2691"/>
      <c r="M32" s="2692"/>
    </row>
    <row r="33" spans="1:18" ht="18" customHeight="1">
      <c r="A33" s="978" t="s">
        <v>399</v>
      </c>
      <c r="B33" s="302" t="s">
        <v>723</v>
      </c>
      <c r="C33" s="21" t="str">
        <f ca="1">IF(项目基本情况!B11="自然人","——",IF(D33="按租金收入计税",ROUND(C6*F33/(1+'数据-取费表'!C42),0),IF(D33="按房产原值计税",ROUND(C29*F33*0.7,0),INDIRECT("'数据-取费表'!Aj"&amp;$G$1))))</f>
        <v>——</v>
      </c>
      <c r="D33" s="1366" t="s">
        <v>3338</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t="str">
        <f>IF(项目基本情况!B11="自然人","——",ROUND(F34*F35,0))</f>
        <v>——</v>
      </c>
      <c r="D34" s="324" t="s">
        <v>727</v>
      </c>
      <c r="E34" s="302" t="s">
        <v>728</v>
      </c>
      <c r="F34" s="325">
        <f>'数据-取费表'!B52</f>
        <v>1.5</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ROUND(C29*F36,0)</f>
        <v>5959</v>
      </c>
      <c r="D36" s="3476" t="s">
        <v>767</v>
      </c>
      <c r="E36" s="302" t="s">
        <v>708</v>
      </c>
      <c r="F36" s="328">
        <f ca="1">INDIRECT("'数据-取费表'!Ak"&amp;$G$1)</f>
        <v>0.01</v>
      </c>
      <c r="G36" s="1380"/>
      <c r="H36" s="2693"/>
      <c r="I36" s="1394"/>
      <c r="J36" s="1395"/>
      <c r="K36" s="2538"/>
      <c r="L36" s="2693"/>
      <c r="M36" s="2693"/>
    </row>
    <row r="37" spans="1:18" ht="18" customHeight="1">
      <c r="A37" s="978" t="s">
        <v>437</v>
      </c>
      <c r="B37" s="302" t="s">
        <v>738</v>
      </c>
      <c r="C37" s="21">
        <f ca="1">ROUND(C13*F37,0)</f>
        <v>778</v>
      </c>
      <c r="D37" s="3476" t="s">
        <v>739</v>
      </c>
      <c r="E37" s="302" t="s">
        <v>708</v>
      </c>
      <c r="F37" s="330">
        <f ca="1">INDIRECT("'数据-取费表'!Al"&amp;$G$1)</f>
        <v>1.5E-3</v>
      </c>
      <c r="G37" s="1380"/>
      <c r="H37" s="2693"/>
      <c r="I37" s="1394"/>
      <c r="J37" s="1395"/>
      <c r="K37" s="2538"/>
      <c r="L37" s="2693"/>
      <c r="M37" s="2693"/>
    </row>
    <row r="38" spans="1:18" ht="18" customHeight="1" thickBot="1">
      <c r="A38" s="1085" t="s">
        <v>679</v>
      </c>
      <c r="B38" s="1086" t="s">
        <v>724</v>
      </c>
      <c r="C38" s="1087">
        <f ca="1">ROUND(C5*F38,0)</f>
        <v>1328</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115862</v>
      </c>
      <c r="D39" s="1091" t="s">
        <v>749</v>
      </c>
      <c r="E39" s="1092"/>
      <c r="F39" s="1093"/>
      <c r="G39" s="1380"/>
      <c r="H39" s="2693"/>
      <c r="I39" s="1394"/>
      <c r="J39" s="1395"/>
      <c r="K39" s="2697"/>
      <c r="L39" s="2693"/>
      <c r="M39" s="2693"/>
    </row>
    <row r="40" spans="1:18" ht="18" customHeight="1">
      <c r="A40" s="299" t="s">
        <v>395</v>
      </c>
      <c r="B40" s="300" t="s">
        <v>770</v>
      </c>
      <c r="C40" s="301">
        <f ca="1">ROUND(C39*(1-((1+F42)/(1+F40))^F41)/(F40-F42),0)</f>
        <v>2307727</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26.42</v>
      </c>
      <c r="G41" s="1380"/>
      <c r="H41" s="1187"/>
      <c r="I41" s="1394"/>
      <c r="J41" s="1395"/>
      <c r="K41" s="2538"/>
      <c r="L41" s="1187"/>
      <c r="M41" s="1187"/>
    </row>
    <row r="42" spans="1:18" ht="18" customHeight="1">
      <c r="A42" s="308"/>
      <c r="B42" s="309"/>
      <c r="C42" s="310"/>
      <c r="D42" s="327"/>
      <c r="E42" s="302" t="s">
        <v>762</v>
      </c>
      <c r="F42" s="312">
        <f ca="1">INDIRECT("'数据-取费表'!v"&amp;$G$1)</f>
        <v>0.03</v>
      </c>
      <c r="G42" s="1380"/>
      <c r="H42" s="1187"/>
      <c r="I42" s="1394"/>
      <c r="J42" s="1395"/>
      <c r="K42" s="2538"/>
      <c r="L42" s="1187"/>
      <c r="M42" s="1187"/>
    </row>
    <row r="43" spans="1:18" ht="18" customHeight="1" thickBot="1">
      <c r="A43" s="334" t="s">
        <v>396</v>
      </c>
      <c r="B43" s="335" t="s">
        <v>772</v>
      </c>
      <c r="C43" s="336">
        <f ca="1">ROUND(C40/F43,0)</f>
        <v>20010</v>
      </c>
      <c r="D43" s="337" t="s">
        <v>773</v>
      </c>
      <c r="E43" s="338" t="s">
        <v>774</v>
      </c>
      <c r="F43" s="339">
        <f ca="1">INDIRECT("'数据-取费表'!k"&amp;$G$1)</f>
        <v>115.33</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3" t="s">
        <v>3354</v>
      </c>
      <c r="B45" s="1396"/>
      <c r="C45" s="1468">
        <f ca="1">ROUND((C68-C40)/10000,4)</f>
        <v>-240.5341</v>
      </c>
      <c r="D45" s="3424" t="s">
        <v>3355</v>
      </c>
      <c r="E45" s="1396"/>
      <c r="F45" s="1396"/>
      <c r="O45" s="1399" t="s">
        <v>804</v>
      </c>
      <c r="P45" s="1457"/>
      <c r="Q45" s="1457"/>
      <c r="R45" s="1457"/>
    </row>
    <row r="46" spans="1:18" s="1380" customFormat="1" ht="13.5" thickBot="1">
      <c r="A46" s="1400" t="s">
        <v>805</v>
      </c>
      <c r="C46" s="1401">
        <f ca="1">ROUND(C45,0)</f>
        <v>-241</v>
      </c>
      <c r="D46" s="1402" t="str">
        <f>C2</f>
        <v>万元</v>
      </c>
      <c r="I46" s="1403" t="s">
        <v>806</v>
      </c>
      <c r="J46" s="1404"/>
      <c r="K46" s="1405"/>
      <c r="L46" s="1406">
        <f ca="1">IF(M47="住宅",0,IF(L48&gt;J51,L60,J60))</f>
        <v>35271</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2"/>
      <c r="I47" s="1410" t="s">
        <v>811</v>
      </c>
      <c r="J47" s="1411" t="s">
        <v>3384</v>
      </c>
      <c r="K47" s="1412" t="s">
        <v>812</v>
      </c>
      <c r="L47" s="1413">
        <f ca="1">INDIRECT("'数据-取费表'!d"&amp;$G$1)</f>
        <v>50</v>
      </c>
      <c r="M47" s="1376" t="str">
        <f>IF(ISNUMBER(FIND("住宅",C1)),"住宅","非住宅")</f>
        <v>非住宅</v>
      </c>
      <c r="O47" s="1414" t="s">
        <v>403</v>
      </c>
      <c r="P47" s="1415" t="s">
        <v>813</v>
      </c>
      <c r="Q47" s="1416">
        <f ca="1">C40+J29</f>
        <v>2307727</v>
      </c>
      <c r="R47" s="1416" t="s">
        <v>814</v>
      </c>
    </row>
    <row r="48" spans="1:18" s="1380" customFormat="1" ht="28.5" thickBot="1">
      <c r="A48" s="1106" t="s">
        <v>438</v>
      </c>
      <c r="B48" s="300" t="s">
        <v>688</v>
      </c>
      <c r="C48" s="3486">
        <f ca="1">C49+C53+C55</f>
        <v>0</v>
      </c>
      <c r="D48" s="1108"/>
      <c r="E48" s="1109"/>
      <c r="F48" s="958"/>
      <c r="G48" s="722"/>
      <c r="H48" s="723"/>
      <c r="I48" s="1417" t="s">
        <v>815</v>
      </c>
      <c r="J48" s="1418" t="s">
        <v>3385</v>
      </c>
      <c r="K48" s="1419" t="s">
        <v>816</v>
      </c>
      <c r="L48" s="1420">
        <f ca="1">INDIRECT("'数据-取费表'!f"&amp;$G$1)</f>
        <v>26.42</v>
      </c>
      <c r="O48" s="1414" t="s">
        <v>404</v>
      </c>
      <c r="P48" s="1415" t="s">
        <v>817</v>
      </c>
      <c r="Q48" s="1416">
        <f ca="1">J60</f>
        <v>35271</v>
      </c>
      <c r="R48" s="1416" t="s">
        <v>818</v>
      </c>
    </row>
    <row r="49" spans="1:18" s="1380" customFormat="1" ht="13.5" thickBot="1">
      <c r="A49" s="971" t="s">
        <v>439</v>
      </c>
      <c r="B49" s="1367" t="s">
        <v>775</v>
      </c>
      <c r="C49" s="1110">
        <f ca="1">ROUND(F49*F51*F50*(1-F52),0)</f>
        <v>0</v>
      </c>
      <c r="D49" s="1051" t="s">
        <v>691</v>
      </c>
      <c r="E49" s="1368" t="s">
        <v>776</v>
      </c>
      <c r="F49" s="1056"/>
      <c r="G49" s="1421"/>
      <c r="H49" s="723"/>
      <c r="I49" s="1417" t="s">
        <v>819</v>
      </c>
      <c r="J49" s="1422">
        <v>2013</v>
      </c>
      <c r="K49" s="1419" t="s">
        <v>820</v>
      </c>
      <c r="L49" s="1423"/>
      <c r="O49" s="1424" t="s">
        <v>405</v>
      </c>
      <c r="P49" s="1415" t="s">
        <v>821</v>
      </c>
      <c r="Q49" s="1416">
        <f ca="1">C29</f>
        <v>595903</v>
      </c>
      <c r="R49" s="1416" t="s">
        <v>814</v>
      </c>
    </row>
    <row r="50" spans="1:18" s="1380" customFormat="1" ht="13.5" thickBot="1">
      <c r="A50" s="972"/>
      <c r="B50" s="975"/>
      <c r="C50" s="976"/>
      <c r="D50" s="949"/>
      <c r="E50" s="1052" t="s">
        <v>693</v>
      </c>
      <c r="F50" s="1053">
        <f ca="1">F7</f>
        <v>115.33</v>
      </c>
      <c r="H50" s="723"/>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3">
        <f ca="1">F8</f>
        <v>365</v>
      </c>
      <c r="I51" s="1428" t="s">
        <v>825</v>
      </c>
      <c r="J51" s="1429">
        <f>IF(J49="",J50,J49+J50-YEAR('数据-取费表'!B2))</f>
        <v>50</v>
      </c>
      <c r="K51" s="1430" t="s">
        <v>826</v>
      </c>
      <c r="L51" s="1431">
        <f ca="1">ROUND(-PV(INDIRECT("'数据-取费表'!h"&amp;$G$1),J51,(C39-C13*C76),0),0)</f>
        <v>1572492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26.42</v>
      </c>
      <c r="R52" s="1416" t="s">
        <v>831</v>
      </c>
    </row>
    <row r="53" spans="1:18" s="1380" customFormat="1" ht="30.75" customHeight="1" thickBot="1">
      <c r="A53" s="1107" t="s">
        <v>440</v>
      </c>
      <c r="B53" s="2422" t="s">
        <v>696</v>
      </c>
      <c r="C53" s="316">
        <f ca="1">ROUND(IF(F53="押一",C49/12*F11,IF(F53="押二",C49/12*2*F11,IF(F53="押三",C49/12*3*F11,C54*F11))),0)</f>
        <v>0</v>
      </c>
      <c r="D53" s="1362" t="s">
        <v>2114</v>
      </c>
      <c r="E53" s="313" t="s">
        <v>697</v>
      </c>
      <c r="F53" s="1112"/>
      <c r="I53" s="1435" t="s">
        <v>832</v>
      </c>
      <c r="J53" s="2163">
        <f ca="1">IF(M47="住宅",IF(D1="——",MAX(J51,L48),MAX(J51,L48-'数据-取费表'!B24)),IF(D1="——",MIN(J51,L48),MIN(J51,L48-'数据-取费表'!B24)))</f>
        <v>26.42</v>
      </c>
      <c r="K53" s="3678" t="s">
        <v>833</v>
      </c>
      <c r="L53" s="3679"/>
      <c r="O53" s="1414" t="s">
        <v>409</v>
      </c>
      <c r="P53" s="1415" t="s">
        <v>834</v>
      </c>
      <c r="Q53" s="1416">
        <f ca="1">Q47+Q48</f>
        <v>2342998</v>
      </c>
      <c r="R53" s="1416" t="s">
        <v>410</v>
      </c>
    </row>
    <row r="54" spans="1:18" s="1380" customFormat="1" ht="13.5" thickBot="1">
      <c r="A54" s="971"/>
      <c r="B54" s="1469" t="s">
        <v>887</v>
      </c>
      <c r="C54" s="955"/>
      <c r="D54" s="1362"/>
      <c r="E54" s="3465"/>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5"/>
      <c r="F55" s="1436"/>
      <c r="I55" s="1439" t="s">
        <v>836</v>
      </c>
      <c r="J55" s="1440">
        <f ca="1">ROUND(IF(J47="钢混",J57/J50,1-(1-2%)*(J50-J57)/J50),3)</f>
        <v>0.39300000000000002</v>
      </c>
      <c r="K55" s="1441" t="s">
        <v>837</v>
      </c>
      <c r="L55" s="1442"/>
      <c r="O55" s="1407" t="s">
        <v>807</v>
      </c>
      <c r="P55" s="1408" t="s">
        <v>808</v>
      </c>
      <c r="Q55" s="1409" t="s">
        <v>809</v>
      </c>
      <c r="R55" s="1409" t="s">
        <v>810</v>
      </c>
    </row>
    <row r="56" spans="1:18" s="1380" customFormat="1" ht="36" customHeight="1" thickTop="1" thickBot="1">
      <c r="A56" s="953">
        <v>2</v>
      </c>
      <c r="B56" s="954" t="s">
        <v>700</v>
      </c>
      <c r="C56" s="232">
        <f ca="1">C13</f>
        <v>518436</v>
      </c>
      <c r="D56" s="1443"/>
      <c r="E56" s="1444"/>
      <c r="F56" s="1436"/>
      <c r="I56" s="1445" t="s">
        <v>838</v>
      </c>
      <c r="J56" s="1446" t="s">
        <v>3386</v>
      </c>
      <c r="K56" s="1417" t="s">
        <v>839</v>
      </c>
      <c r="L56" s="1420" t="str">
        <f ca="1">IF(L48&lt;J51,"——",L48-J51)</f>
        <v>——</v>
      </c>
      <c r="O56" s="1414" t="s">
        <v>403</v>
      </c>
      <c r="P56" s="1415" t="s">
        <v>813</v>
      </c>
      <c r="Q56" s="1416">
        <f ca="1">C40+J29</f>
        <v>2307727</v>
      </c>
      <c r="R56" s="1416" t="s">
        <v>814</v>
      </c>
    </row>
    <row r="57" spans="1:18" s="1380" customFormat="1" ht="24.75" thickBot="1">
      <c r="A57" s="1447"/>
      <c r="B57" s="946" t="s">
        <v>763</v>
      </c>
      <c r="C57" s="238">
        <f ca="1">C29</f>
        <v>595903</v>
      </c>
      <c r="D57" s="1448"/>
      <c r="E57" s="1449"/>
      <c r="F57" s="1450"/>
      <c r="I57" s="1451" t="s">
        <v>840</v>
      </c>
      <c r="J57" s="1452">
        <f ca="1">IF(OR(M47="住宅",J51&lt;L48,J56="是"),"——",J51-L48)</f>
        <v>23.58</v>
      </c>
      <c r="K57" s="1417" t="s">
        <v>888</v>
      </c>
      <c r="L57" s="1420" t="str">
        <f ca="1">IF(L48&lt;J51,"——",IF(L55="比较法",L49,IF(L55="基准地价",L50,L51)))</f>
        <v>——</v>
      </c>
      <c r="O57" s="1414" t="s">
        <v>404</v>
      </c>
      <c r="P57" s="1415" t="s">
        <v>842</v>
      </c>
      <c r="Q57" s="1416">
        <f ca="1">L60</f>
        <v>0</v>
      </c>
      <c r="R57" s="1416" t="s">
        <v>843</v>
      </c>
    </row>
    <row r="58" spans="1:18" s="1380" customFormat="1" ht="24.75" thickBot="1">
      <c r="A58" s="315" t="s">
        <v>393</v>
      </c>
      <c r="B58" s="954" t="s">
        <v>710</v>
      </c>
      <c r="C58" s="316">
        <f ca="1">ROUND(C59+C64+C65+C66,0)</f>
        <v>6737</v>
      </c>
      <c r="D58" s="956" t="s">
        <v>711</v>
      </c>
      <c r="E58" s="957"/>
      <c r="F58" s="958"/>
      <c r="I58" s="1451" t="s">
        <v>844</v>
      </c>
      <c r="J58" s="1453">
        <f ca="1">IF(J55&lt;0.4,0.4,J55)</f>
        <v>0.4</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1">
        <f ca="1">ROUND(IF(AND(项目基本情况!B11="自然人",项目基本情况!B10="北京市"),C49*F59/(1+'数据-取费表'!C42),C60+C61+C62),0)</f>
        <v>0</v>
      </c>
      <c r="D59" s="959" t="s">
        <v>716</v>
      </c>
      <c r="E59" s="960" t="s">
        <v>717</v>
      </c>
      <c r="F59" s="2310">
        <f ca="1">IF(项目基本情况!B11="企业","——",IF('数据-取费表'!B10="住宅",IF(F49*F50*F51/12/(1+'数据-取费表'!F30)&gt;100000,4%,2.5%),IF(F49*F50*F51/12/(1+'数据-取费表'!F30)&gt;100000,12%,7%)))</f>
        <v>7.0000000000000007E-2</v>
      </c>
      <c r="I59" s="1451" t="s">
        <v>847</v>
      </c>
      <c r="J59" s="1452">
        <f ca="1">IF(OR(M47="住宅",J51&lt;L48,J56="是"),"——",ROUND(C29*J58,0))</f>
        <v>238361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t="str">
        <f>IF(项目基本情况!B11="自然人","——",ROUND(C48*F60/(1+'数据-取费表'!C42),0))</f>
        <v>——</v>
      </c>
      <c r="D60" s="960" t="s">
        <v>720</v>
      </c>
      <c r="E60" s="946" t="s">
        <v>708</v>
      </c>
      <c r="F60" s="331">
        <f t="shared" ref="F60:F66" si="0">F32</f>
        <v>5.5000000000000007E-2</v>
      </c>
      <c r="I60" s="1454" t="s">
        <v>849</v>
      </c>
      <c r="J60" s="1455">
        <f ca="1">IF(OR(M47="住宅",J51&lt;L48,J56="是"),"0",ROUND(J59/(1+J52)^J53,0))</f>
        <v>35271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723</v>
      </c>
      <c r="C61" s="21" t="str">
        <f ca="1">IF(项目基本情况!B11="自然人","——",IF(D61="按租金收入计税",ROUND(C49*F61/(1+'数据-取费表'!C42),0),IF(D61="按房产原值计税",ROUND(C57*F61*0.7,0),INDIRECT("'数据-取费表'!Aj"&amp;$G$1))))</f>
        <v>——</v>
      </c>
      <c r="D61" s="1366" t="s">
        <v>3338</v>
      </c>
      <c r="E61" s="946"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726</v>
      </c>
      <c r="C62" s="22" t="str">
        <f>IF(项目基本情况!B11="自然人","——",ROUND(F62*F63,0))</f>
        <v>——</v>
      </c>
      <c r="D62" s="961" t="s">
        <v>727</v>
      </c>
      <c r="E62" s="946" t="s">
        <v>728</v>
      </c>
      <c r="F62" s="325">
        <f t="shared" si="0"/>
        <v>1.5</v>
      </c>
      <c r="I62" s="1458" t="s">
        <v>854</v>
      </c>
      <c r="J62" s="1459" t="s">
        <v>855</v>
      </c>
      <c r="K62" s="1459" t="s">
        <v>856</v>
      </c>
      <c r="L62" s="1459" t="s">
        <v>857</v>
      </c>
      <c r="M62" s="1460" t="s">
        <v>858</v>
      </c>
      <c r="O62" s="1414" t="s">
        <v>409</v>
      </c>
      <c r="P62" s="1415" t="s">
        <v>834</v>
      </c>
      <c r="Q62" s="1416">
        <f ca="1">Q56+Q57</f>
        <v>2307727</v>
      </c>
      <c r="R62" s="1416" t="s">
        <v>410</v>
      </c>
    </row>
    <row r="63" spans="1:18" s="1380" customFormat="1" ht="13.5" thickBot="1">
      <c r="A63" s="326"/>
      <c r="B63" s="952"/>
      <c r="C63" s="26"/>
      <c r="D63" s="962"/>
      <c r="E63" s="946"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8" t="s">
        <v>402</v>
      </c>
      <c r="B64" s="946" t="s">
        <v>734</v>
      </c>
      <c r="C64" s="21">
        <f ca="1">ROUND(C57*F64,0)</f>
        <v>5959</v>
      </c>
      <c r="D64" s="960" t="s">
        <v>767</v>
      </c>
      <c r="E64" s="946" t="s">
        <v>708</v>
      </c>
      <c r="F64" s="328">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778</v>
      </c>
      <c r="D65" s="960" t="s">
        <v>739</v>
      </c>
      <c r="E65" s="946" t="s">
        <v>708</v>
      </c>
      <c r="F65" s="330">
        <f t="shared" ca="1" si="0"/>
        <v>1.5E-3</v>
      </c>
      <c r="I65" s="1458" t="s">
        <v>863</v>
      </c>
      <c r="J65" s="1459">
        <v>40</v>
      </c>
      <c r="K65" s="1459">
        <v>30</v>
      </c>
      <c r="L65" s="1459">
        <v>50</v>
      </c>
      <c r="M65" s="1461">
        <v>0.02</v>
      </c>
      <c r="O65" s="1414" t="s">
        <v>403</v>
      </c>
      <c r="P65" s="1415" t="s">
        <v>813</v>
      </c>
      <c r="Q65" s="1416">
        <f ca="1">C40+J29</f>
        <v>2307727</v>
      </c>
      <c r="R65" s="1416" t="s">
        <v>814</v>
      </c>
    </row>
    <row r="66" spans="1:18" s="1380" customFormat="1" ht="16.5" thickBot="1">
      <c r="A66" s="978" t="s">
        <v>789</v>
      </c>
      <c r="B66" s="946" t="s">
        <v>724</v>
      </c>
      <c r="C66" s="21">
        <f ca="1">ROUND(C48*F66,0)</f>
        <v>0</v>
      </c>
      <c r="D66" s="960" t="s">
        <v>744</v>
      </c>
      <c r="E66" s="946" t="s">
        <v>708</v>
      </c>
      <c r="F66" s="312">
        <f t="shared" ca="1" si="0"/>
        <v>0.01</v>
      </c>
      <c r="O66" s="1414" t="s">
        <v>404</v>
      </c>
      <c r="P66" s="1415" t="s">
        <v>842</v>
      </c>
      <c r="Q66" s="1416">
        <f ca="1">L60</f>
        <v>0</v>
      </c>
      <c r="R66" s="1416" t="s">
        <v>865</v>
      </c>
    </row>
    <row r="67" spans="1:18" s="1380" customFormat="1" ht="16.5" thickBot="1">
      <c r="A67" s="953" t="s">
        <v>394</v>
      </c>
      <c r="B67" s="963" t="s">
        <v>748</v>
      </c>
      <c r="C67" s="316">
        <f ca="1">C48-C58</f>
        <v>-6737</v>
      </c>
      <c r="D67" s="959" t="s">
        <v>749</v>
      </c>
      <c r="E67" s="964"/>
      <c r="F67" s="965"/>
      <c r="O67" s="1424" t="s">
        <v>405</v>
      </c>
      <c r="P67" s="1415" t="s">
        <v>846</v>
      </c>
      <c r="Q67" s="1462">
        <f ca="1">L51</f>
        <v>1572492</v>
      </c>
      <c r="R67" s="1416" t="s">
        <v>866</v>
      </c>
    </row>
    <row r="68" spans="1:18" s="1380" customFormat="1" ht="16.5" thickBot="1">
      <c r="A68" s="943" t="s">
        <v>395</v>
      </c>
      <c r="B68" s="944" t="s">
        <v>770</v>
      </c>
      <c r="C68" s="301">
        <f ca="1">ROUND(C67*(1-((1+F70)/(1+F68))^F69)/(F68-F70),0)</f>
        <v>-97614</v>
      </c>
      <c r="D68" s="961" t="s">
        <v>754</v>
      </c>
      <c r="E68" s="946" t="s">
        <v>755</v>
      </c>
      <c r="F68" s="312">
        <f ca="1">F40</f>
        <v>0.05</v>
      </c>
      <c r="O68" s="1424" t="s">
        <v>406</v>
      </c>
      <c r="P68" s="1463" t="s">
        <v>867</v>
      </c>
      <c r="Q68" s="1416">
        <f ca="1">ROUND(Q69-Q70*Q71,0)</f>
        <v>79571</v>
      </c>
      <c r="R68" s="1416" t="s">
        <v>414</v>
      </c>
    </row>
    <row r="69" spans="1:18" s="1380" customFormat="1" ht="13.5" thickBot="1">
      <c r="A69" s="947"/>
      <c r="B69" s="948"/>
      <c r="C69" s="306"/>
      <c r="D69" s="966" t="s">
        <v>758</v>
      </c>
      <c r="E69" s="946" t="s">
        <v>759</v>
      </c>
      <c r="F69" s="333">
        <f ca="1">F41</f>
        <v>26.42</v>
      </c>
      <c r="O69" s="1424" t="s">
        <v>411</v>
      </c>
      <c r="P69" s="1463" t="s">
        <v>868</v>
      </c>
      <c r="Q69" s="1416">
        <f ca="1">C39</f>
        <v>115862</v>
      </c>
      <c r="R69" s="1416" t="s">
        <v>814</v>
      </c>
    </row>
    <row r="70" spans="1:18" s="1380" customFormat="1" ht="13.5" thickBot="1">
      <c r="A70" s="950"/>
      <c r="B70" s="951"/>
      <c r="C70" s="310"/>
      <c r="D70" s="962"/>
      <c r="E70" s="946" t="s">
        <v>762</v>
      </c>
      <c r="F70" s="1050"/>
      <c r="O70" s="1424" t="s">
        <v>412</v>
      </c>
      <c r="P70" s="1463" t="s">
        <v>869</v>
      </c>
      <c r="Q70" s="1416">
        <f ca="1">C13</f>
        <v>518436</v>
      </c>
      <c r="R70" s="1416" t="s">
        <v>814</v>
      </c>
    </row>
    <row r="71" spans="1:18" s="1380" customFormat="1" ht="13.5" thickBot="1">
      <c r="A71" s="967" t="s">
        <v>396</v>
      </c>
      <c r="B71" s="968" t="s">
        <v>772</v>
      </c>
      <c r="C71" s="336">
        <f ca="1">ROUND(C68/F71,0)</f>
        <v>-846</v>
      </c>
      <c r="D71" s="969" t="s">
        <v>773</v>
      </c>
      <c r="E71" s="970" t="s">
        <v>774</v>
      </c>
      <c r="F71" s="339">
        <f ca="1">F43</f>
        <v>115.33</v>
      </c>
      <c r="O71" s="1424" t="s">
        <v>413</v>
      </c>
      <c r="P71" s="1463" t="s">
        <v>870</v>
      </c>
      <c r="Q71" s="1427">
        <f ca="1">C76</f>
        <v>7.0000000000000007E-2</v>
      </c>
      <c r="R71" s="1416"/>
    </row>
    <row r="72" spans="1:18" s="1380" customFormat="1" ht="13.5" thickBot="1">
      <c r="B72" s="726"/>
      <c r="C72" s="726"/>
      <c r="O72" s="1424" t="s">
        <v>407</v>
      </c>
      <c r="P72" s="1415" t="s">
        <v>848</v>
      </c>
      <c r="Q72" s="1427">
        <f>L52</f>
        <v>0</v>
      </c>
      <c r="R72" s="1416"/>
    </row>
    <row r="73" spans="1:18" ht="16.5" thickBot="1">
      <c r="A73" s="1380"/>
      <c r="B73" s="726"/>
      <c r="C73" s="726"/>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36291</v>
      </c>
      <c r="D75" s="1380"/>
      <c r="E75" s="1380"/>
      <c r="F75" s="1380"/>
      <c r="K75" s="1398"/>
      <c r="L75" s="1380"/>
      <c r="O75" s="1414" t="s">
        <v>409</v>
      </c>
      <c r="P75" s="1415" t="s">
        <v>834</v>
      </c>
      <c r="Q75" s="1416">
        <f ca="1">Q65+Q66</f>
        <v>2307727</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0.68700000000000006</v>
      </c>
    </row>
    <row r="80" spans="1:18">
      <c r="B80" s="340" t="s">
        <v>796</v>
      </c>
      <c r="C80" s="274">
        <f ca="1">ROUND(C75/C39,3)</f>
        <v>0.313</v>
      </c>
    </row>
    <row r="81" spans="2:3">
      <c r="B81" s="270" t="s">
        <v>797</v>
      </c>
      <c r="C81" s="238"/>
    </row>
    <row r="82" spans="2:3">
      <c r="B82" s="273" t="s">
        <v>798</v>
      </c>
      <c r="C82" s="275">
        <f ca="1">1-C83</f>
        <v>0.77500000000000002</v>
      </c>
    </row>
    <row r="83" spans="2:3">
      <c r="B83" s="273" t="s">
        <v>799</v>
      </c>
      <c r="C83" s="274">
        <f ca="1">ROUND(C13/C40,3)</f>
        <v>0.22500000000000001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1257</v>
      </c>
      <c r="B1" s="1743"/>
      <c r="C1" s="1744">
        <v>503</v>
      </c>
      <c r="D1" s="1743"/>
      <c r="E1" s="1743"/>
      <c r="F1" s="1745" t="s">
        <v>1258</v>
      </c>
      <c r="G1" s="1557" t="s">
        <v>3444</v>
      </c>
      <c r="H1" s="1746" t="str">
        <f>IF(G1="现房","——","估价对象范围")</f>
        <v>——</v>
      </c>
      <c r="I1" s="1747"/>
    </row>
    <row r="2" spans="1:12" ht="21.75" customHeight="1" thickBot="1">
      <c r="A2" s="3648" t="str">
        <f>项目基本情况!S2</f>
        <v>北京市金星西路501房地产</v>
      </c>
      <c r="B2" s="3649"/>
      <c r="C2" s="3649"/>
      <c r="D2" s="3649"/>
      <c r="E2" s="3649"/>
      <c r="F2" s="3649"/>
      <c r="G2" s="3649"/>
      <c r="H2" s="3649"/>
      <c r="I2" s="3650"/>
    </row>
    <row r="3" spans="1:12" ht="12.75">
      <c r="A3" s="3652" t="s">
        <v>1259</v>
      </c>
      <c r="B3" s="3653"/>
      <c r="C3" s="3653"/>
      <c r="D3" s="3653"/>
      <c r="E3" s="3653"/>
      <c r="F3" s="3653"/>
      <c r="G3" s="3653"/>
      <c r="H3" s="3653"/>
      <c r="I3" s="3653"/>
    </row>
    <row r="4" spans="1:12" ht="14.25">
      <c r="A4" s="1750" t="s">
        <v>1260</v>
      </c>
      <c r="B4" s="1751" t="s">
        <v>1261</v>
      </c>
      <c r="C4" s="1752" t="s">
        <v>3440</v>
      </c>
      <c r="D4" s="1752" t="s">
        <v>3434</v>
      </c>
      <c r="E4" s="3657" t="s">
        <v>1262</v>
      </c>
      <c r="F4" s="3658"/>
      <c r="G4" s="3658"/>
      <c r="H4" s="3658"/>
      <c r="I4" s="3659"/>
      <c r="K4" s="146" t="str">
        <f>IF(ISNUMBER(FIND("比较法",结果表503!C4)),"比较法",IF(ISNUMBER(FIND("成本法",结果表503!C4)),"成本法",IF(ISNUMBER(FIND("假设开发法",结果表503!C4)),"假设开发法",IF(ISNUMBER(FIND("收益法",结果表503!C4)),"收益法","基准地价系数修正法"))))</f>
        <v>比较法</v>
      </c>
      <c r="L4" s="146" t="str">
        <f>IF(ISNUMBER(FIND("比较法",结果表503!D4)),"比较法",IF(ISNUMBER(FIND("成本法",结果表503!D4)),"成本法",IF(ISNUMBER(FIND("假设开发法",结果表503!D4)),"假设开发法",IF(ISNUMBER(FIND("收益法",结果表503!D4)),"收益法","基准地价系数修正法"))))</f>
        <v>收益法</v>
      </c>
    </row>
    <row r="5" spans="1:12" ht="12.75">
      <c r="A5" s="3596" t="s">
        <v>1263</v>
      </c>
      <c r="B5" s="3651">
        <v>25</v>
      </c>
      <c r="C5" s="3654"/>
      <c r="D5" s="3642"/>
      <c r="E5" s="131" t="s">
        <v>1264</v>
      </c>
      <c r="F5" s="1753"/>
      <c r="G5" s="1753"/>
      <c r="H5" s="1753"/>
      <c r="I5" s="1369"/>
    </row>
    <row r="6" spans="1:12" ht="12.75">
      <c r="A6" s="3596"/>
      <c r="B6" s="3651"/>
      <c r="C6" s="3656"/>
      <c r="D6" s="3642"/>
      <c r="E6" s="131" t="s">
        <v>1265</v>
      </c>
      <c r="F6" s="1753"/>
      <c r="G6" s="1753"/>
      <c r="H6" s="1753"/>
      <c r="I6" s="1369"/>
    </row>
    <row r="7" spans="1:12" ht="12.75">
      <c r="A7" s="3596"/>
      <c r="B7" s="3651"/>
      <c r="C7" s="3655"/>
      <c r="D7" s="3642"/>
      <c r="E7" s="131" t="s">
        <v>1266</v>
      </c>
      <c r="F7" s="1753"/>
      <c r="G7" s="1753"/>
      <c r="H7" s="1753"/>
      <c r="I7" s="1369"/>
    </row>
    <row r="8" spans="1:12" ht="12.75">
      <c r="A8" s="3596" t="s">
        <v>1267</v>
      </c>
      <c r="B8" s="3651">
        <v>15</v>
      </c>
      <c r="C8" s="3654"/>
      <c r="D8" s="3642"/>
      <c r="E8" s="131" t="s">
        <v>1268</v>
      </c>
      <c r="F8" s="1753"/>
      <c r="G8" s="1753"/>
      <c r="H8" s="1753"/>
      <c r="I8" s="1369"/>
    </row>
    <row r="9" spans="1:12" ht="12.75">
      <c r="A9" s="3596"/>
      <c r="B9" s="3651"/>
      <c r="C9" s="3655"/>
      <c r="D9" s="3642"/>
      <c r="E9" s="131" t="s">
        <v>1269</v>
      </c>
      <c r="F9" s="1753"/>
      <c r="G9" s="1753"/>
      <c r="H9" s="1753"/>
      <c r="I9" s="1369"/>
    </row>
    <row r="10" spans="1:12" ht="12.75">
      <c r="A10" s="3596" t="s">
        <v>1270</v>
      </c>
      <c r="B10" s="3651">
        <v>15</v>
      </c>
      <c r="C10" s="3654"/>
      <c r="D10" s="3642"/>
      <c r="E10" s="131" t="s">
        <v>1271</v>
      </c>
      <c r="F10" s="1753"/>
      <c r="G10" s="1753"/>
      <c r="H10" s="1753"/>
      <c r="I10" s="1369"/>
    </row>
    <row r="11" spans="1:12" ht="12.75">
      <c r="A11" s="3596"/>
      <c r="B11" s="3651"/>
      <c r="C11" s="3655"/>
      <c r="D11" s="3642"/>
      <c r="E11" s="131" t="s">
        <v>1272</v>
      </c>
      <c r="F11" s="1753"/>
      <c r="G11" s="1753"/>
      <c r="H11" s="1753"/>
      <c r="I11" s="1369"/>
    </row>
    <row r="12" spans="1:12" ht="12.75">
      <c r="A12" s="3596" t="s">
        <v>1273</v>
      </c>
      <c r="B12" s="3651">
        <v>15</v>
      </c>
      <c r="C12" s="3654"/>
      <c r="D12" s="3642"/>
      <c r="E12" s="131" t="s">
        <v>1274</v>
      </c>
      <c r="F12" s="1753"/>
      <c r="G12" s="1753"/>
      <c r="H12" s="1753"/>
      <c r="I12" s="1369"/>
    </row>
    <row r="13" spans="1:12" ht="12.75">
      <c r="A13" s="3596"/>
      <c r="B13" s="3651"/>
      <c r="C13" s="3655"/>
      <c r="D13" s="3642"/>
      <c r="E13" s="131" t="s">
        <v>1275</v>
      </c>
      <c r="F13" s="1753"/>
      <c r="G13" s="1753"/>
      <c r="H13" s="1753"/>
      <c r="I13" s="1369"/>
    </row>
    <row r="14" spans="1:12" ht="12.75">
      <c r="A14" s="3596" t="s">
        <v>1276</v>
      </c>
      <c r="B14" s="3651">
        <v>30</v>
      </c>
      <c r="C14" s="3654">
        <v>7</v>
      </c>
      <c r="D14" s="3642">
        <v>3</v>
      </c>
      <c r="E14" s="131" t="s">
        <v>1277</v>
      </c>
      <c r="F14" s="1753"/>
      <c r="G14" s="1753"/>
      <c r="H14" s="1753"/>
      <c r="I14" s="1369"/>
    </row>
    <row r="15" spans="1:12" ht="12.75">
      <c r="A15" s="3596"/>
      <c r="B15" s="3651"/>
      <c r="C15" s="3656"/>
      <c r="D15" s="3642"/>
      <c r="E15" s="131" t="s">
        <v>1278</v>
      </c>
      <c r="F15" s="1753"/>
      <c r="G15" s="1753"/>
      <c r="H15" s="1753"/>
      <c r="I15" s="1369"/>
    </row>
    <row r="16" spans="1:12" ht="12.75">
      <c r="A16" s="3596"/>
      <c r="B16" s="3651"/>
      <c r="C16" s="3655"/>
      <c r="D16" s="3642"/>
      <c r="E16" s="131" t="s">
        <v>1279</v>
      </c>
      <c r="F16" s="1753"/>
      <c r="G16" s="1753"/>
      <c r="H16" s="1753"/>
      <c r="I16" s="1369"/>
    </row>
    <row r="17" spans="1:36" ht="15">
      <c r="A17" s="1754" t="s">
        <v>1280</v>
      </c>
      <c r="B17" s="56"/>
      <c r="C17" s="132">
        <f>SUM(C5:C16)</f>
        <v>7</v>
      </c>
      <c r="D17" s="132">
        <f>SUM(D5:D16)</f>
        <v>3</v>
      </c>
      <c r="E17" s="129"/>
      <c r="F17" s="129"/>
      <c r="G17" s="129"/>
      <c r="H17" s="129"/>
      <c r="I17" s="129"/>
      <c r="K17" s="302"/>
      <c r="L17" s="302" t="s">
        <v>1281</v>
      </c>
      <c r="M17" s="302" t="s">
        <v>1282</v>
      </c>
    </row>
    <row r="18" spans="1:36" ht="31.9" customHeight="1" thickBot="1">
      <c r="A18" s="1755" t="s">
        <v>1283</v>
      </c>
      <c r="B18" s="1756"/>
      <c r="C18" s="133">
        <f>ROUND(C17/SUM(C17:D17),2)</f>
        <v>0.7</v>
      </c>
      <c r="D18" s="133">
        <f>1-C18</f>
        <v>0.30000000000000004</v>
      </c>
      <c r="E18" s="3673" t="s">
        <v>2126</v>
      </c>
      <c r="F18" s="3674"/>
      <c r="G18" s="3674"/>
      <c r="H18" s="3674"/>
      <c r="I18" s="3674"/>
      <c r="K18" s="302" t="s">
        <v>1284</v>
      </c>
      <c r="L18" s="302">
        <f>IF(C1="",'数据-汇总表'!E3,SUMIF(项目类型,C1,'数据-汇总表'!E17:E26)+SUMIF(项目类型,C1,'数据-汇总表'!I17:I26))</f>
        <v>346.45</v>
      </c>
      <c r="M18" s="302">
        <f>IF(C1="",'数据-汇总表'!E3,SUMIF(项目类型,C1,'数据-汇总表'!E17:E26))</f>
        <v>346.45</v>
      </c>
    </row>
    <row r="19" spans="1:36" ht="15">
      <c r="A19" s="1757" t="s">
        <v>1285</v>
      </c>
      <c r="B19" s="1758" t="s">
        <v>1286</v>
      </c>
      <c r="C19" s="134">
        <f ca="1">SUMIF(INDIRECT("'"&amp;C4&amp;"'"&amp;"!A:A"),结果表503!B19,INDIRECT("'"&amp;C4&amp;"'"&amp;"!B:B"))</f>
        <v>951.28240000000005</v>
      </c>
      <c r="D19" s="135">
        <f ca="1">SUMIF(INDIRECT("'"&amp;D4&amp;"'"&amp;"!A:A"),结果表503!B19,INDIRECT("'"&amp;D4&amp;"'"&amp;"!B:B"))</f>
        <v>703.83590000000004</v>
      </c>
      <c r="E19" s="1757" t="s">
        <v>1287</v>
      </c>
      <c r="F19" s="1758" t="s">
        <v>1286</v>
      </c>
      <c r="G19" s="136">
        <f ca="1">ROUND(C19*$C$18+D19*$D$18,0)</f>
        <v>877</v>
      </c>
      <c r="H19" s="1759"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60"/>
      <c r="B20" s="1022" t="s">
        <v>1290</v>
      </c>
      <c r="C20" s="137">
        <f ca="1">SUMIF(INDIRECT("'"&amp;C4&amp;"'"&amp;"!A:A"),结果表503!B20,INDIRECT("'"&amp;C4&amp;"'"&amp;"!B:B"))</f>
        <v>27458</v>
      </c>
      <c r="D20" s="138">
        <f ca="1">SUMIF(INDIRECT("'"&amp;D4&amp;"'"&amp;"!A:A"),结果表503!B20,INDIRECT("'"&amp;D4&amp;"'"&amp;"!B:B"))</f>
        <v>20316</v>
      </c>
      <c r="E20" s="1760"/>
      <c r="F20" s="1022" t="s">
        <v>1290</v>
      </c>
      <c r="G20" s="139">
        <f ca="1">ROUND(C20*$C$18+D20*$D$18,0)</f>
        <v>25315</v>
      </c>
      <c r="H20" s="804" t="s">
        <v>1291</v>
      </c>
      <c r="I20" s="129"/>
    </row>
    <row r="21" spans="1:36" ht="15" customHeight="1" thickBot="1">
      <c r="A21" s="824"/>
      <c r="B21" s="1761" t="s">
        <v>1292</v>
      </c>
      <c r="C21" s="719" t="e">
        <f ca="1">ROUND(C19*10000/L19,0)</f>
        <v>#DIV/0!</v>
      </c>
      <c r="D21" s="720" t="e">
        <f ca="1">ROUND(D19*10000/L19,0)</f>
        <v>#DIV/0!</v>
      </c>
      <c r="E21" s="824"/>
      <c r="F21" s="1761" t="s">
        <v>1292</v>
      </c>
      <c r="G21" s="140" t="e">
        <f ca="1">ROUND(G19*10000/L19,0)</f>
        <v>#DIV/0!</v>
      </c>
      <c r="H21" s="1762" t="s">
        <v>1291</v>
      </c>
      <c r="I21" s="129"/>
    </row>
    <row r="22" spans="1:36" ht="15" thickBot="1">
      <c r="A22" s="1684" t="s">
        <v>1293</v>
      </c>
      <c r="B22" s="1763"/>
      <c r="C22" s="1764"/>
      <c r="D22" s="721">
        <f ca="1">IF(C19&lt;D19,D19/C19-1,C19/D19-1)</f>
        <v>0.35156845509017098</v>
      </c>
      <c r="E22" s="129"/>
      <c r="F22" s="129"/>
      <c r="G22" s="129"/>
      <c r="H22" s="129"/>
      <c r="I22" s="129"/>
    </row>
    <row r="23" spans="1:36" ht="13.5" thickBot="1">
      <c r="A23" s="1743"/>
      <c r="B23" s="1743"/>
      <c r="C23" s="1743"/>
      <c r="D23" s="1743"/>
      <c r="E23" s="129"/>
      <c r="F23" s="129"/>
      <c r="G23" s="129"/>
      <c r="H23" s="129"/>
      <c r="I23" s="129"/>
    </row>
    <row r="24" spans="1:36" ht="14.25">
      <c r="A24" s="3666" t="s">
        <v>1294</v>
      </c>
      <c r="B24" s="1758" t="s">
        <v>1286</v>
      </c>
      <c r="C24" s="136">
        <f>IF(B30=0,0,D30)</f>
        <v>0</v>
      </c>
      <c r="D24" s="1765"/>
      <c r="E24" s="129"/>
      <c r="F24" s="129"/>
      <c r="G24" s="129"/>
      <c r="H24" s="129"/>
      <c r="I24" s="129"/>
    </row>
    <row r="25" spans="1:36" ht="14.25">
      <c r="A25" s="3667"/>
      <c r="B25" s="1022" t="s">
        <v>1290</v>
      </c>
      <c r="C25" s="141">
        <f>IF(B30=0,0,C30)</f>
        <v>0</v>
      </c>
      <c r="D25" s="1766"/>
      <c r="E25" s="129"/>
      <c r="F25" s="129"/>
      <c r="G25" s="129"/>
      <c r="H25" s="129"/>
      <c r="I25" s="129"/>
    </row>
    <row r="26" spans="1:36" ht="13.5" customHeight="1">
      <c r="A26" s="1767" t="s">
        <v>1295</v>
      </c>
      <c r="B26" s="142" t="s">
        <v>1296</v>
      </c>
      <c r="C26" s="142" t="s">
        <v>1297</v>
      </c>
      <c r="D26" s="143" t="s">
        <v>1298</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1299</v>
      </c>
      <c r="B30" s="142"/>
      <c r="C30" s="142"/>
      <c r="D30" s="142"/>
      <c r="E30" s="2298" t="s">
        <v>2127</v>
      </c>
      <c r="F30" s="129"/>
      <c r="G30" s="129"/>
      <c r="H30" s="129"/>
      <c r="I30" s="129"/>
    </row>
    <row r="31" spans="1:36" s="2304" customFormat="1" ht="26.45" customHeight="1" thickTop="1" thickBot="1">
      <c r="A31" s="2299"/>
      <c r="B31" s="2300"/>
      <c r="C31" s="2300"/>
      <c r="D31" s="2300"/>
      <c r="E31" s="2300"/>
      <c r="F31" s="2300"/>
      <c r="G31" s="2300"/>
      <c r="H31" s="2300"/>
      <c r="I31" s="2301" t="s">
        <v>2128</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1300</v>
      </c>
      <c r="B32" s="1770"/>
      <c r="C32" s="144">
        <f ca="1">IF(D32="总价",G19-C24,G20-C25)</f>
        <v>25315</v>
      </c>
      <c r="D32" s="1771" t="s">
        <v>3424</v>
      </c>
      <c r="E32" s="129"/>
      <c r="F32" s="129"/>
      <c r="G32" s="129"/>
      <c r="H32" s="129"/>
      <c r="I32" s="129"/>
    </row>
    <row r="33" spans="1:15" ht="15">
      <c r="A33" s="782" t="s">
        <v>1301</v>
      </c>
      <c r="B33" s="1772"/>
      <c r="C33" s="1773" t="s">
        <v>3425</v>
      </c>
      <c r="D33" s="1774"/>
      <c r="E33" s="1775" t="s">
        <v>1302</v>
      </c>
      <c r="F33" s="1776" t="str">
        <f>IF(D32="楼面单价","取值（单价）","取值（总价）")</f>
        <v>取值（单价）</v>
      </c>
      <c r="G33" s="129"/>
      <c r="H33" s="129"/>
      <c r="I33" s="129"/>
    </row>
    <row r="34" spans="1:15" ht="15">
      <c r="A34" s="1777"/>
      <c r="B34" s="1778" t="s">
        <v>1303</v>
      </c>
      <c r="C34" s="148">
        <f>IF(C33="自定义",F34,C32-C35)</f>
        <v>0</v>
      </c>
      <c r="D34" s="857">
        <f ca="1">IF(C33="自定义",ROUND(C34/C32,3),IF(C33="收益比率",SUMIF(INDIRECT("'"&amp;D33&amp;"'"&amp;"!b:b"),"土地收益比率",INDIRECT("'"&amp;D33&amp;"'"&amp;"!c:c")),SUMIF(INDIRECT("'"&amp;D33&amp;"'"&amp;"!b:b"),"土地成本比率",INDIRECT("'"&amp;D33&amp;"'"&amp;"!c:c"))))</f>
        <v>0</v>
      </c>
      <c r="E34" s="1779" t="s">
        <v>1304</v>
      </c>
      <c r="F34" s="1326"/>
      <c r="G34" s="129"/>
      <c r="H34" s="129"/>
      <c r="I34" s="129"/>
    </row>
    <row r="35" spans="1:15" ht="15.75" thickBot="1">
      <c r="A35" s="1780"/>
      <c r="B35" s="1781" t="s">
        <v>1305</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1306</v>
      </c>
      <c r="F35" s="154"/>
      <c r="G35" s="129"/>
      <c r="H35" s="129"/>
      <c r="I35" s="129"/>
    </row>
    <row r="36" spans="1:15" ht="15.75" thickBot="1">
      <c r="A36" s="3643" t="s">
        <v>1307</v>
      </c>
      <c r="B36" s="1783" t="s">
        <v>1308</v>
      </c>
      <c r="C36" s="145"/>
      <c r="D36" s="1784"/>
      <c r="E36" s="1785"/>
      <c r="F36" s="1786"/>
      <c r="G36" s="129"/>
      <c r="H36" s="129"/>
      <c r="I36" s="129"/>
    </row>
    <row r="37" spans="1:15" ht="15.75" thickBot="1">
      <c r="A37" s="3644"/>
      <c r="B37" s="1670" t="s">
        <v>1309</v>
      </c>
      <c r="C37" s="147"/>
      <c r="D37" s="1135"/>
      <c r="E37" s="1135"/>
      <c r="F37" s="1786"/>
      <c r="G37" s="129"/>
      <c r="H37" s="129"/>
      <c r="I37" s="129"/>
    </row>
    <row r="38" spans="1:15" ht="15.75" thickBot="1">
      <c r="A38" s="3645"/>
      <c r="B38" s="1787" t="s">
        <v>1310</v>
      </c>
      <c r="C38" s="674"/>
      <c r="D38" s="1788" t="s">
        <v>1311</v>
      </c>
      <c r="E38" s="1135"/>
      <c r="F38" s="1786"/>
      <c r="G38" s="129"/>
      <c r="H38" s="129"/>
      <c r="I38" s="129"/>
    </row>
    <row r="39" spans="1:15" ht="15">
      <c r="A39" s="1760" t="s">
        <v>1312</v>
      </c>
      <c r="B39" s="1789" t="s">
        <v>1296</v>
      </c>
      <c r="C39" s="1790" t="s">
        <v>1297</v>
      </c>
      <c r="D39" s="1790" t="s">
        <v>1315</v>
      </c>
      <c r="E39" s="1791" t="s">
        <v>1298</v>
      </c>
      <c r="F39" s="1786"/>
      <c r="G39" s="129"/>
      <c r="H39" s="129"/>
      <c r="I39" s="129"/>
    </row>
    <row r="40" spans="1:15" ht="14.25">
      <c r="A40" s="1792" t="s">
        <v>1317</v>
      </c>
      <c r="B40" s="149"/>
      <c r="C40" s="150"/>
      <c r="D40" s="150"/>
      <c r="E40" s="151"/>
      <c r="F40" s="1786"/>
      <c r="G40" s="129"/>
      <c r="H40" s="129"/>
      <c r="I40" s="129"/>
    </row>
    <row r="41" spans="1:15" ht="14.25">
      <c r="A41" s="1792" t="s">
        <v>1318</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1319</v>
      </c>
      <c r="B44" s="1797"/>
      <c r="C44" s="1797"/>
      <c r="D44" s="1798"/>
      <c r="E44" s="1798"/>
      <c r="F44" s="1799"/>
      <c r="G44" s="1799"/>
      <c r="H44" s="1799"/>
      <c r="I44" s="1799"/>
      <c r="J44" s="1800" t="s">
        <v>1320</v>
      </c>
      <c r="K44" s="1801"/>
      <c r="L44" s="1801"/>
      <c r="M44" s="1801"/>
      <c r="N44" s="1801"/>
      <c r="O44" s="1801"/>
    </row>
    <row r="45" spans="1:15" ht="14.25" customHeight="1" thickBot="1">
      <c r="A45" s="3663" t="s">
        <v>1321</v>
      </c>
      <c r="B45" s="3664"/>
      <c r="C45" s="3665"/>
      <c r="D45" s="155">
        <f ca="1">ROUND(H101*F45,0)</f>
        <v>877</v>
      </c>
      <c r="E45" s="156" t="s">
        <v>1322</v>
      </c>
      <c r="F45" s="157">
        <v>1</v>
      </c>
      <c r="G45" s="158" t="s">
        <v>1323</v>
      </c>
      <c r="H45" s="129"/>
      <c r="I45" s="129"/>
      <c r="J45" s="3583" t="s">
        <v>1324</v>
      </c>
      <c r="K45" s="3583"/>
      <c r="L45" s="3583"/>
      <c r="M45" s="3583"/>
      <c r="N45" s="3583"/>
      <c r="O45" s="3583"/>
    </row>
    <row r="46" spans="1:15" ht="14.25" customHeight="1">
      <c r="A46" s="3660" t="s">
        <v>1325</v>
      </c>
      <c r="B46" s="3661"/>
      <c r="C46" s="3661"/>
      <c r="D46" s="3661"/>
      <c r="E46" s="3661"/>
      <c r="F46" s="3661"/>
      <c r="G46" s="3662"/>
      <c r="H46" s="1802"/>
      <c r="I46" s="159"/>
      <c r="J46" s="3466">
        <v>1</v>
      </c>
      <c r="K46" s="3584" t="s">
        <v>1326</v>
      </c>
      <c r="L46" s="3584"/>
      <c r="M46" s="3585"/>
      <c r="N46" s="3585"/>
      <c r="O46" s="3585"/>
    </row>
    <row r="47" spans="1:15" ht="12" customHeight="1">
      <c r="A47" s="160" t="s">
        <v>1327</v>
      </c>
      <c r="B47" s="161"/>
      <c r="C47" s="162"/>
      <c r="D47" s="1083" t="s">
        <v>1328</v>
      </c>
      <c r="E47" s="302" t="s">
        <v>1329</v>
      </c>
      <c r="F47" s="163" t="s">
        <v>1330</v>
      </c>
      <c r="G47" s="2540" t="s">
        <v>1331</v>
      </c>
      <c r="H47" s="2541"/>
      <c r="I47" s="159"/>
      <c r="J47" s="3466">
        <v>2</v>
      </c>
      <c r="K47" s="3584" t="s">
        <v>1332</v>
      </c>
      <c r="L47" s="3584"/>
      <c r="M47" s="3586">
        <f>'数据-取费表'!B2</f>
        <v>45034</v>
      </c>
      <c r="N47" s="3586"/>
      <c r="O47" s="3586"/>
    </row>
    <row r="48" spans="1:15" ht="25.5">
      <c r="A48" s="3646" t="s">
        <v>1333</v>
      </c>
      <c r="B48" s="3647"/>
      <c r="C48" s="3647"/>
      <c r="D48" s="3461" t="b">
        <f>IF(H48="情况1",0,IF(H48="情况2",D52,IF(H48="情况3",D53,IF(H48="情况4",D54))))</f>
        <v>0</v>
      </c>
      <c r="E48" s="3476" t="str">
        <f>IF(H48="情况4","(销售额-原购置价)×税（费）率","销售额×税（费）率")</f>
        <v>销售额×税（费）率</v>
      </c>
      <c r="F48" s="2542">
        <f>IF(H48="情况1","免征",'数据-取费表'!B41)</f>
        <v>5.5000000000000007E-2</v>
      </c>
      <c r="G48" s="2543" t="s">
        <v>1334</v>
      </c>
      <c r="H48" s="2544"/>
      <c r="I48" s="1802"/>
      <c r="J48" s="3466">
        <v>3</v>
      </c>
      <c r="K48" s="3584" t="s">
        <v>1335</v>
      </c>
      <c r="L48" s="3584"/>
      <c r="M48" s="3587">
        <f ca="1">H101</f>
        <v>877</v>
      </c>
      <c r="N48" s="3587"/>
      <c r="O48" s="3587"/>
    </row>
    <row r="49" spans="1:35" ht="25.5" customHeight="1">
      <c r="A49" s="3475" t="s">
        <v>1336</v>
      </c>
      <c r="B49" s="3632" t="s">
        <v>1337</v>
      </c>
      <c r="C49" s="3632"/>
      <c r="D49" s="1586">
        <v>0</v>
      </c>
      <c r="E49" s="324" t="s">
        <v>1338</v>
      </c>
      <c r="F49" s="3458" t="s">
        <v>28</v>
      </c>
      <c r="G49" s="3615"/>
      <c r="H49" s="2305" t="s">
        <v>2129</v>
      </c>
      <c r="I49" s="2306"/>
      <c r="J49" s="3466">
        <v>4</v>
      </c>
      <c r="K49" s="3584" t="str">
        <f>IF(项目基本情况!E8="房地产抵押价值","房地产抵押价值","抵押担保权已注销时的房地产抵押价值")</f>
        <v>房地产抵押价值</v>
      </c>
      <c r="L49" s="3584"/>
      <c r="M49" s="3587">
        <f ca="1">IF(项目基本情况!E8="房地产抵押价值",H107,H109)</f>
        <v>877</v>
      </c>
      <c r="N49" s="3587"/>
      <c r="O49" s="3587"/>
    </row>
    <row r="50" spans="1:35" ht="25.5" customHeight="1">
      <c r="A50" s="2545"/>
      <c r="B50" s="3632" t="s">
        <v>1339</v>
      </c>
      <c r="C50" s="3632"/>
      <c r="D50" s="2546"/>
      <c r="E50" s="332"/>
      <c r="F50" s="3458"/>
      <c r="G50" s="3616"/>
      <c r="H50" s="2307" t="s">
        <v>2130</v>
      </c>
      <c r="I50" s="2306"/>
      <c r="J50" s="3583" t="s">
        <v>1340</v>
      </c>
      <c r="K50" s="3583"/>
      <c r="L50" s="3583"/>
      <c r="M50" s="3583"/>
      <c r="N50" s="3583"/>
      <c r="O50" s="3583"/>
    </row>
    <row r="51" spans="1:35" ht="20.45" customHeight="1">
      <c r="A51" s="2547"/>
      <c r="B51" s="3632" t="s">
        <v>1341</v>
      </c>
      <c r="C51" s="3632"/>
      <c r="D51" s="1083"/>
      <c r="E51" s="327"/>
      <c r="F51" s="3458"/>
      <c r="G51" s="3617"/>
      <c r="H51" s="2307" t="s">
        <v>2131</v>
      </c>
      <c r="I51" s="2306"/>
      <c r="J51" s="3460" t="s">
        <v>1342</v>
      </c>
      <c r="K51" s="3584" t="s">
        <v>1343</v>
      </c>
      <c r="L51" s="3584"/>
      <c r="M51" s="3460" t="s">
        <v>1344</v>
      </c>
      <c r="N51" s="3460" t="s">
        <v>1345</v>
      </c>
      <c r="O51" s="3460" t="s">
        <v>1346</v>
      </c>
    </row>
    <row r="52" spans="1:35" ht="24" customHeight="1">
      <c r="A52" s="3479" t="s">
        <v>1347</v>
      </c>
      <c r="B52" s="3632" t="s">
        <v>1348</v>
      </c>
      <c r="C52" s="3632"/>
      <c r="D52" s="1083">
        <f ca="1">ROUND(D45*'数据-取费表'!B41/(1+'数据-取费表'!C42),0)</f>
        <v>46</v>
      </c>
      <c r="E52" s="3476" t="s">
        <v>1349</v>
      </c>
      <c r="F52" s="2548">
        <f>'数据-取费表'!B41</f>
        <v>5.5000000000000007E-2</v>
      </c>
      <c r="G52" s="2549"/>
      <c r="H52" s="2538"/>
      <c r="I52" s="1803"/>
      <c r="J52" s="3466">
        <v>1</v>
      </c>
      <c r="K52" s="3609" t="s">
        <v>1350</v>
      </c>
      <c r="L52" s="3609"/>
      <c r="M52" s="2519" t="b">
        <f>D48</f>
        <v>0</v>
      </c>
      <c r="N52" s="3466" t="str">
        <f>E48</f>
        <v>销售额×税（费）率</v>
      </c>
      <c r="O52" s="2520">
        <f>F48</f>
        <v>5.5000000000000007E-2</v>
      </c>
    </row>
    <row r="53" spans="1:35" ht="12" customHeight="1">
      <c r="A53" s="3479" t="s">
        <v>1351</v>
      </c>
      <c r="B53" s="3633" t="s">
        <v>2286</v>
      </c>
      <c r="C53" s="3634"/>
      <c r="D53" s="1083">
        <f ca="1">ROUND(D45*'数据-取费表'!B41/(1+'数据-取费表'!C42),0)</f>
        <v>46</v>
      </c>
      <c r="E53" s="3476" t="s">
        <v>1349</v>
      </c>
      <c r="F53" s="2548">
        <f>'数据-取费表'!B41</f>
        <v>5.5000000000000007E-2</v>
      </c>
      <c r="G53" s="2549"/>
      <c r="H53" s="2538"/>
      <c r="I53" s="1803"/>
      <c r="J53" s="3466">
        <v>2</v>
      </c>
      <c r="K53" s="3609" t="s">
        <v>1352</v>
      </c>
      <c r="L53" s="3609"/>
      <c r="M53" s="2519">
        <f t="shared" ref="M53:O54" ca="1" si="0">D55</f>
        <v>0</v>
      </c>
      <c r="N53" s="3466" t="str">
        <f t="shared" si="0"/>
        <v>销售额×税（费）率</v>
      </c>
      <c r="O53" s="2520" t="str">
        <f t="shared" si="0"/>
        <v>免征</v>
      </c>
    </row>
    <row r="54" spans="1:35" ht="12" customHeight="1">
      <c r="A54" s="3479" t="s">
        <v>1353</v>
      </c>
      <c r="B54" s="3633" t="s">
        <v>2287</v>
      </c>
      <c r="C54" s="3634"/>
      <c r="D54" s="1083">
        <f ca="1">C68</f>
        <v>46</v>
      </c>
      <c r="E54" s="327" t="s">
        <v>1354</v>
      </c>
      <c r="F54" s="2548">
        <f>'数据-取费表'!B41</f>
        <v>5.5000000000000007E-2</v>
      </c>
      <c r="G54" s="2549"/>
      <c r="H54" s="2550"/>
      <c r="I54" s="1803"/>
      <c r="J54" s="3466">
        <v>3</v>
      </c>
      <c r="K54" s="3609" t="s">
        <v>1355</v>
      </c>
      <c r="L54" s="3609"/>
      <c r="M54" s="2519">
        <f t="shared" ca="1" si="0"/>
        <v>497</v>
      </c>
      <c r="N54" s="3466" t="str">
        <f t="shared" si="0"/>
        <v>增值额×税（费）率</v>
      </c>
      <c r="O54" s="2521" t="str">
        <f t="shared" si="0"/>
        <v>免征</v>
      </c>
    </row>
    <row r="55" spans="1:35" ht="24" customHeight="1">
      <c r="A55" s="3669" t="s">
        <v>1356</v>
      </c>
      <c r="B55" s="3647"/>
      <c r="C55" s="3647"/>
      <c r="D55" s="3461">
        <f ca="1">IF(H55="个人住宅",0,ROUND(D45*I55,0))</f>
        <v>0</v>
      </c>
      <c r="E55" s="3476" t="s">
        <v>1357</v>
      </c>
      <c r="F55" s="2548" t="str">
        <f>IF(H55="正常",I55,"免征")</f>
        <v>免征</v>
      </c>
      <c r="G55" s="2549"/>
      <c r="H55" s="2544"/>
      <c r="I55" s="165">
        <f>'数据-取费表'!B49</f>
        <v>5.0000000000000001E-4</v>
      </c>
      <c r="J55" s="3466">
        <f>IF(H59="非个人房产","",4)</f>
        <v>4</v>
      </c>
      <c r="K55" s="3609" t="str">
        <f>IF(H59="非个人房产","——","个人所得税")</f>
        <v>个人所得税</v>
      </c>
      <c r="L55" s="3609"/>
      <c r="M55" s="2522">
        <f ca="1">D59</f>
        <v>8</v>
      </c>
      <c r="N55" s="3467" t="str">
        <f>E59</f>
        <v>差额计税</v>
      </c>
      <c r="O55" s="2523">
        <f>F59</f>
        <v>0.01</v>
      </c>
    </row>
    <row r="56" spans="1:35" ht="24.75">
      <c r="A56" s="3669" t="s">
        <v>1358</v>
      </c>
      <c r="B56" s="3647"/>
      <c r="C56" s="3647"/>
      <c r="D56" s="3461">
        <f ca="1">IF(H56="个人住宅",D57,D58)</f>
        <v>497</v>
      </c>
      <c r="E56" s="3476" t="s">
        <v>1359</v>
      </c>
      <c r="F56" s="2548" t="str">
        <f>IF(H56="正常",F58,"免征")</f>
        <v>免征</v>
      </c>
      <c r="G56" s="2551" t="s">
        <v>1360</v>
      </c>
      <c r="H56" s="2552"/>
      <c r="I56" s="1804"/>
      <c r="J56" s="3466" t="str">
        <f>IF(项目基本情况!K6="上海银行",IF(J55="",4,J55+1),"")</f>
        <v/>
      </c>
      <c r="K56" s="3590" t="str">
        <f>IF(项目基本情况!K6="上海银行","其他处置费用","")</f>
        <v/>
      </c>
      <c r="L56" s="3591"/>
      <c r="M56" s="2519" t="str">
        <f>IF(项目基本情况!K6="上海银行",M69,"")</f>
        <v/>
      </c>
      <c r="N56" s="3590" t="str">
        <f>IF(项目基本情况!K6="上海银行","包含处置中涉及的律师、诉讼、拍卖、评估等费用","")</f>
        <v/>
      </c>
      <c r="O56" s="3593"/>
    </row>
    <row r="57" spans="1:35" ht="12.75">
      <c r="A57" s="3479" t="s">
        <v>1336</v>
      </c>
      <c r="B57" s="3633" t="s">
        <v>1361</v>
      </c>
      <c r="C57" s="3634"/>
      <c r="D57" s="1586">
        <v>0</v>
      </c>
      <c r="E57" s="324" t="s">
        <v>1338</v>
      </c>
      <c r="F57" s="302"/>
      <c r="G57" s="2549"/>
      <c r="H57" s="2553"/>
      <c r="I57" s="1804"/>
      <c r="J57" s="3609">
        <f>IF(AND(J55="",J56=""),4,IF(项目基本情况!K6="上海银行",结果表503!J56+1,结果表503!J55+1))</f>
        <v>5</v>
      </c>
      <c r="K57" s="3609" t="s">
        <v>1362</v>
      </c>
      <c r="L57" s="2524" t="s">
        <v>1363</v>
      </c>
      <c r="M57" s="2525"/>
      <c r="N57" s="2526">
        <f ca="1">SUMIF(M52:M56,"&lt;9e307")</f>
        <v>505</v>
      </c>
      <c r="O57" s="2527"/>
      <c r="P57" s="2683">
        <f ca="1">N57/M49</f>
        <v>0.5758266818700114</v>
      </c>
    </row>
    <row r="58" spans="1:35" ht="24.75">
      <c r="A58" s="3479" t="s">
        <v>1347</v>
      </c>
      <c r="B58" s="3633" t="s">
        <v>1364</v>
      </c>
      <c r="C58" s="3632"/>
      <c r="D58" s="3461">
        <f ca="1">IF(H58="转让取得",C81,C97)</f>
        <v>497</v>
      </c>
      <c r="E58" s="3476" t="s">
        <v>1359</v>
      </c>
      <c r="F58" s="302" t="s">
        <v>28</v>
      </c>
      <c r="G58" s="2549"/>
      <c r="H58" s="2552"/>
      <c r="I58" s="1804"/>
      <c r="J58" s="3609"/>
      <c r="K58" s="3609"/>
      <c r="L58" s="2524" t="s">
        <v>1365</v>
      </c>
      <c r="M58" s="2528"/>
      <c r="N58" s="2529" t="str">
        <f ca="1">NUMBERSTRING(INT(N57*10000),2)&amp;"元整"</f>
        <v>伍佰零伍万元整</v>
      </c>
      <c r="O58" s="2530"/>
    </row>
    <row r="59" spans="1:35" ht="24.75" thickBot="1">
      <c r="A59" s="3613" t="s">
        <v>1366</v>
      </c>
      <c r="B59" s="3614"/>
      <c r="C59" s="3614"/>
      <c r="D59" s="2554">
        <f ca="1">IF(H59="非个人房产","——",IF(H59="个人住宅（满五唯一有凭证）",0,IF(H59="个人其他（无凭证）",ROUND(D45*F59,0),ROUND(C67*F59,0))))</f>
        <v>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09"/>
      <c r="I59" s="2308" t="s">
        <v>2132</v>
      </c>
      <c r="J59" s="3611">
        <f>J57+1</f>
        <v>6</v>
      </c>
      <c r="K59" s="3609" t="s">
        <v>1367</v>
      </c>
      <c r="L59" s="3466" t="s">
        <v>1363</v>
      </c>
      <c r="M59" s="2531"/>
      <c r="N59" s="2532">
        <f ca="1">M49-N57</f>
        <v>372</v>
      </c>
      <c r="O59" s="2533"/>
    </row>
    <row r="60" spans="1:35" ht="12" customHeight="1">
      <c r="A60" s="1805"/>
      <c r="B60" s="1743"/>
      <c r="C60" s="1743"/>
      <c r="D60" s="1743"/>
      <c r="E60" s="1574"/>
      <c r="F60" s="1804"/>
      <c r="G60" s="1804"/>
      <c r="H60" s="1806"/>
      <c r="I60" s="129"/>
      <c r="J60" s="3612"/>
      <c r="K60" s="3609"/>
      <c r="L60" s="2524" t="s">
        <v>1365</v>
      </c>
      <c r="M60" s="2528"/>
      <c r="N60" s="2529" t="str">
        <f ca="1">NUMBERSTRING(INT(N59*10000),2)&amp;"元整"</f>
        <v>叁佰柒拾贰万元整</v>
      </c>
      <c r="O60" s="2530"/>
    </row>
    <row r="61" spans="1:35" ht="13.5" thickBot="1">
      <c r="A61" s="3668" t="s">
        <v>1368</v>
      </c>
      <c r="B61" s="3668"/>
      <c r="C61" s="3668"/>
      <c r="D61" s="3668"/>
      <c r="E61" s="3668"/>
      <c r="F61" s="1804"/>
      <c r="G61" s="1804"/>
      <c r="H61" s="1806"/>
      <c r="I61" s="129"/>
      <c r="J61" s="3466">
        <f>J59+1</f>
        <v>7</v>
      </c>
      <c r="K61" s="3609" t="s">
        <v>1369</v>
      </c>
      <c r="L61" s="3609"/>
      <c r="M61" s="2534"/>
      <c r="N61" s="2535">
        <f ca="1">ROUND(N59*10000/'数据-汇总表'!E3,0)</f>
        <v>5470</v>
      </c>
      <c r="O61" s="2536"/>
    </row>
    <row r="62" spans="1:35" ht="12.75">
      <c r="A62" s="3628" t="s">
        <v>1370</v>
      </c>
      <c r="B62" s="3629"/>
      <c r="C62" s="3471"/>
      <c r="D62" s="3471" t="s">
        <v>1371</v>
      </c>
      <c r="E62" s="166" t="s">
        <v>1372</v>
      </c>
      <c r="F62" s="1804"/>
      <c r="G62" s="1804"/>
      <c r="H62" s="1806"/>
      <c r="I62" s="129"/>
    </row>
    <row r="63" spans="1:35" ht="12.75">
      <c r="A63" s="173" t="s">
        <v>330</v>
      </c>
      <c r="B63" s="167" t="s">
        <v>1373</v>
      </c>
      <c r="C63" s="2558">
        <f ca="1">ROUND((C64+C65)/(1+'数据-取费表'!C42),0)</f>
        <v>835</v>
      </c>
      <c r="D63" s="167"/>
      <c r="E63" s="168"/>
      <c r="F63" s="1804"/>
      <c r="G63" s="1804"/>
      <c r="H63" s="1806"/>
      <c r="I63" s="129"/>
      <c r="J63" s="3592" t="s">
        <v>1374</v>
      </c>
      <c r="K63" s="3462" t="s">
        <v>1375</v>
      </c>
      <c r="L63" s="3462">
        <f ca="1">IF(M49&gt;10000,M49*0.5%,IF(AND(M49&gt;1000,M49&lt;=10000),M49*1%,IF(AND(M49&gt;100,M49&lt;=1000),M49*3%,IF(AND(M49&gt;10,M49&lt;=100),M49*5%,M49*8%))))</f>
        <v>26.31</v>
      </c>
      <c r="M63" s="302">
        <f ca="1">ROUND(L63,1)</f>
        <v>26.3</v>
      </c>
      <c r="N63" s="2537"/>
      <c r="Z63" s="1748"/>
      <c r="AI63" s="1749"/>
    </row>
    <row r="64" spans="1:35" ht="14.25" customHeight="1">
      <c r="A64" s="169" t="s">
        <v>325</v>
      </c>
      <c r="B64" s="170" t="s">
        <v>1376</v>
      </c>
      <c r="C64" s="2559">
        <f ca="1">D45</f>
        <v>877</v>
      </c>
      <c r="D64" s="170" t="s">
        <v>26</v>
      </c>
      <c r="E64" s="172"/>
      <c r="F64" s="1804"/>
      <c r="G64" s="1804"/>
      <c r="H64" s="1806"/>
      <c r="I64" s="129"/>
      <c r="J64" s="3592"/>
      <c r="K64" s="3462" t="s">
        <v>1377</v>
      </c>
      <c r="L64" s="3462">
        <f ca="1">IF(M49&gt;2000,M49*0.5%,IF(AND(M49&gt;1000,M49&lt;=2000),M49*0.6%,IF(AND(M49&gt;500,M49&lt;=1000),M49*0.7%,IF(AND(M49&gt;200,M49&lt;=500),M49*0.8%,IF(AND(M49&gt;100,M49&lt;=200),M49*0.9%,IF(AND(M49&gt;50,M49&lt;=100),M49*1%,IF(AND(M49&gt;20,M49&lt;=50),M49*1.5%,IF(AND(M49&gt;10,M49&lt;=20),M49*2%,IF(AND(M49&gt;1,M49&lt;=10),M49*2.5%)))))))))</f>
        <v>6.1389999999999993</v>
      </c>
      <c r="M64" s="302">
        <f t="shared" ref="M64:M65" ca="1" si="1">ROUND(L64,1)</f>
        <v>6.1</v>
      </c>
      <c r="N64" s="2538" t="s">
        <v>1378</v>
      </c>
      <c r="Z64" s="1748"/>
      <c r="AI64" s="1749"/>
    </row>
    <row r="65" spans="1:35" ht="14.25" customHeight="1">
      <c r="A65" s="169" t="s">
        <v>326</v>
      </c>
      <c r="B65" s="170" t="s">
        <v>1379</v>
      </c>
      <c r="C65" s="2560"/>
      <c r="D65" s="170"/>
      <c r="E65" s="172"/>
      <c r="F65" s="1804"/>
      <c r="G65" s="1804"/>
      <c r="H65" s="1806"/>
      <c r="I65" s="129"/>
      <c r="J65" s="3592"/>
      <c r="K65" s="3462" t="s">
        <v>1380</v>
      </c>
      <c r="L65" s="3462">
        <f ca="1">IF(M49&gt;1000,M49*0.1%,IF(AND(M49&gt;500,M49&lt;=1000),M49*0.5%,IF(AND(M49&gt;50,M49&lt;=500),M49*1%,IF(AND(M49&gt;1,M49&lt;=50),M49*1.5%))))</f>
        <v>4.3849999999999998</v>
      </c>
      <c r="M65" s="302">
        <f t="shared" ca="1" si="1"/>
        <v>4.4000000000000004</v>
      </c>
      <c r="N65" s="2538" t="s">
        <v>1378</v>
      </c>
      <c r="Z65" s="1748"/>
      <c r="AI65" s="1749"/>
    </row>
    <row r="66" spans="1:35" ht="14.25" customHeight="1">
      <c r="A66" s="173" t="s">
        <v>327</v>
      </c>
      <c r="B66" s="174" t="s">
        <v>1381</v>
      </c>
      <c r="C66" s="2561"/>
      <c r="D66" s="174" t="s">
        <v>26</v>
      </c>
      <c r="E66" s="1334" t="s">
        <v>667</v>
      </c>
      <c r="F66" s="1804"/>
      <c r="G66" s="1804"/>
      <c r="H66" s="1806"/>
      <c r="I66" s="129"/>
      <c r="J66" s="3592"/>
      <c r="K66" s="3462" t="s">
        <v>1382</v>
      </c>
      <c r="L66" s="3462">
        <f ca="1">M49*0.5%</f>
        <v>4.3849999999999998</v>
      </c>
      <c r="M66" s="302">
        <f ca="1">IF(L66&gt;0.5,0.5,ROUND(L66,0))</f>
        <v>0.5</v>
      </c>
      <c r="N66" s="2538" t="s">
        <v>1383</v>
      </c>
      <c r="Z66" s="1748"/>
      <c r="AI66" s="1749"/>
    </row>
    <row r="67" spans="1:35" ht="14.25" customHeight="1">
      <c r="A67" s="173" t="s">
        <v>328</v>
      </c>
      <c r="B67" s="174" t="s">
        <v>1384</v>
      </c>
      <c r="C67" s="2562">
        <f ca="1">C63-C66</f>
        <v>835</v>
      </c>
      <c r="D67" s="170" t="s">
        <v>26</v>
      </c>
      <c r="E67" s="172"/>
      <c r="F67" s="1804"/>
      <c r="G67" s="1804"/>
      <c r="H67" s="1806"/>
      <c r="I67" s="129"/>
      <c r="J67" s="3592"/>
      <c r="K67" s="3462" t="s">
        <v>1385</v>
      </c>
      <c r="L67" s="3462">
        <f ca="1">IF(M49&gt;=10000,(8.25+(M49-10000)*0.01%),IF(AND(M49&gt;=8000,M49&lt;10000),(7.85+(M49-8000)*0.02%),IF(AND(M49&gt;=5000,M49&lt;8000),(6.65+(M49-5000)*0.04%),IF(AND(M49&gt;=2000,M49&lt;5000),(4.25+(PM49-2000)*0.08%),IF(AND(M49&gt;=1000,M49&lt;2000),(2.75+(M49-1000)*0.15%),IF(AND(M49&gt;=100,M49&lt;1000),(0.5+(M49-100)*0.25%),IF(AND(M49&gt;0,M49&lt;100),M49*0.5%)))))))</f>
        <v>2.4424999999999999</v>
      </c>
      <c r="M67" s="302">
        <f ca="1">ROUND(L67*0.9,1)</f>
        <v>2.2000000000000002</v>
      </c>
      <c r="N67" s="2537"/>
      <c r="Z67" s="1748"/>
      <c r="AI67" s="1749"/>
    </row>
    <row r="68" spans="1:35" ht="14.25" customHeight="1" thickBot="1">
      <c r="A68" s="176" t="s">
        <v>329</v>
      </c>
      <c r="B68" s="177" t="s">
        <v>1386</v>
      </c>
      <c r="C68" s="2563">
        <f ca="1">IF(C67&lt;=0,0,ROUND(C67*D68,0))</f>
        <v>46</v>
      </c>
      <c r="D68" s="2564">
        <f>'数据-取费表'!B41</f>
        <v>5.5000000000000007E-2</v>
      </c>
      <c r="E68" s="178"/>
      <c r="F68" s="1804"/>
      <c r="G68" s="1804"/>
      <c r="H68" s="1806"/>
      <c r="I68" s="129"/>
      <c r="J68" s="3592"/>
      <c r="K68" s="3462" t="s">
        <v>1387</v>
      </c>
      <c r="L68" s="3462">
        <f ca="1">IF(M49&gt;10000,M49*0.5%,IF(AND(M49&gt;5000,M49&lt;=10000),M49*1%,IF(AND(M49&gt;1000,M49&lt;=5000),M49*2%,IF(AND(M49&gt;200,M49&lt;=1000),M49*3%,M49*5%))))</f>
        <v>26.31</v>
      </c>
      <c r="M68" s="302">
        <f ca="1">ROUND(L68,1)</f>
        <v>26.3</v>
      </c>
      <c r="N68" s="2537"/>
      <c r="Z68" s="1748"/>
      <c r="AI68" s="1749"/>
    </row>
    <row r="69" spans="1:35" s="1768" customFormat="1" ht="16.5" customHeight="1">
      <c r="A69" s="1807"/>
      <c r="B69" s="1808"/>
      <c r="C69" s="1809"/>
      <c r="D69" s="1810"/>
      <c r="E69" s="1811"/>
      <c r="F69" s="1574"/>
      <c r="G69" s="1574"/>
      <c r="H69" s="1573"/>
      <c r="I69" s="1743"/>
      <c r="J69" s="3592"/>
      <c r="K69" s="3462" t="s">
        <v>1388</v>
      </c>
      <c r="L69" s="3462"/>
      <c r="M69" s="302">
        <f ca="1">ROUND(SUM(M63:M68),0)</f>
        <v>66</v>
      </c>
      <c r="N69" s="2539">
        <f ca="1">M69/M49</f>
        <v>7.5256556442417327E-2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6" t="s">
        <v>1389</v>
      </c>
      <c r="B70" s="3637"/>
      <c r="C70" s="3637"/>
      <c r="D70" s="3637"/>
      <c r="E70" s="3637"/>
      <c r="F70" s="3637"/>
      <c r="G70" s="3637"/>
      <c r="H70" s="363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8" t="s">
        <v>1370</v>
      </c>
      <c r="B71" s="3629"/>
      <c r="C71" s="3471"/>
      <c r="D71" s="3471" t="s">
        <v>1371</v>
      </c>
      <c r="E71" s="179" t="s">
        <v>1372</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1390</v>
      </c>
      <c r="C72" s="2562">
        <f ca="1">ROUND(D45/(1+'数据-取费表'!C42),0)</f>
        <v>835</v>
      </c>
      <c r="D72" s="170" t="s">
        <v>26</v>
      </c>
      <c r="E72" s="3473"/>
      <c r="F72" s="3472"/>
      <c r="G72" s="3472"/>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1391</v>
      </c>
      <c r="C73" s="2562">
        <f ca="1">C74+C78</f>
        <v>4</v>
      </c>
      <c r="D73" s="170" t="s">
        <v>26</v>
      </c>
      <c r="E73" s="3473"/>
      <c r="F73" s="3472"/>
      <c r="G73" s="3472"/>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1392</v>
      </c>
      <c r="C74" s="170">
        <f>ROUND(IF(G77="2016年5月1日后购买",C75/(1+'数据-取费表'!C42)+C76+C77,C75+C76+C77),0)</f>
        <v>0</v>
      </c>
      <c r="D74" s="170" t="s">
        <v>26</v>
      </c>
      <c r="E74" s="3473"/>
      <c r="F74" s="3472"/>
      <c r="G74" s="3472"/>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1393</v>
      </c>
      <c r="C75" s="2565"/>
      <c r="D75" s="170" t="s">
        <v>26</v>
      </c>
      <c r="E75" s="184" t="s">
        <v>1394</v>
      </c>
      <c r="F75" s="2566"/>
      <c r="G75" s="184" t="s">
        <v>1395</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1396</v>
      </c>
      <c r="C76" s="170">
        <f>IF(F75="购房发票",ROUND(C75*H75*D76,0),0)</f>
        <v>0</v>
      </c>
      <c r="D76" s="2568">
        <v>0.05</v>
      </c>
      <c r="E76" s="3633" t="s">
        <v>1397</v>
      </c>
      <c r="F76" s="3632"/>
      <c r="G76" s="3632"/>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1398</v>
      </c>
      <c r="C77" s="170">
        <f>ROUND(IF(G77="个人住宅",0,IF(G77="2016年5月1日前购买",C75*D77,C75*D77/(1+'数据-取费表'!C42))),0)</f>
        <v>0</v>
      </c>
      <c r="D77" s="2569">
        <f>'数据-取费表'!B48+'数据-取费表'!B49</f>
        <v>3.0499999999999999E-2</v>
      </c>
      <c r="E77" s="3461" t="s">
        <v>1399</v>
      </c>
      <c r="F77" s="186"/>
      <c r="G77" s="1818"/>
      <c r="H77" s="3474"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1400</v>
      </c>
      <c r="C78" s="2570">
        <f ca="1">ROUND(D45*D78/(1+'数据-取费表'!C42),0)</f>
        <v>4</v>
      </c>
      <c r="D78" s="2571">
        <f>'数据-取费表'!B43</f>
        <v>5.000000000000001E-3</v>
      </c>
      <c r="E78" s="3625" t="s">
        <v>1401</v>
      </c>
      <c r="F78" s="3626"/>
      <c r="G78" s="3626"/>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328</v>
      </c>
      <c r="B79" s="174" t="s">
        <v>1402</v>
      </c>
      <c r="C79" s="2562">
        <f ca="1">C72-C73</f>
        <v>831</v>
      </c>
      <c r="D79" s="170" t="s">
        <v>26</v>
      </c>
      <c r="E79" s="3473"/>
      <c r="F79" s="3472"/>
      <c r="G79" s="3472"/>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1403</v>
      </c>
      <c r="C80" s="2572">
        <f ca="1">IF(C79&lt;=0,0,C79/C73)</f>
        <v>207.75</v>
      </c>
      <c r="D80" s="170" t="s">
        <v>26</v>
      </c>
      <c r="E80" s="3461" t="str">
        <f ca="1">IF(C80&gt;=200%,"增值额超过扣除项目金额200%",IF(C80&gt;=100%,"增值额超过扣除项目金额100%，未超过200%",IF(C80&gt;=50%,"增值额超过扣除项目金额50%，未超过100%",IF(C80&lt;50%,"增值额未超过扣除项目金额50%"))))</f>
        <v>增值额超过扣除项目金额200%</v>
      </c>
      <c r="F80" s="3472"/>
      <c r="G80" s="3472"/>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1404</v>
      </c>
      <c r="C81" s="2573">
        <f ca="1">ROUND(IF(C79&lt;=0,0,IF(C80&gt;=200%,C79*60%-C73*35%,IF(C80&gt;=100%,C79*50%-C73*15%,IF(C80&gt;=50%,C79*40%-C73*5%,IF(C80&lt;50%,C79*30%,0))))),0)</f>
        <v>497</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1405</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8" t="s">
        <v>1370</v>
      </c>
      <c r="B84" s="3629"/>
      <c r="C84" s="3471"/>
      <c r="D84" s="3471" t="s">
        <v>1371</v>
      </c>
      <c r="E84" s="179" t="s">
        <v>1372</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1390</v>
      </c>
      <c r="C85" s="2562">
        <f ca="1">ROUND(D45/(1+'数据-取费表'!C42),0)</f>
        <v>835</v>
      </c>
      <c r="D85" s="170" t="s">
        <v>26</v>
      </c>
      <c r="E85" s="3473"/>
      <c r="F85" s="3472"/>
      <c r="G85" s="3472"/>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1391</v>
      </c>
      <c r="C86" s="2562">
        <f ca="1">IF(H88="仅含出让金",C87+C90+C91+C92+C93+C94,C87+C91+C92+C93+C94)</f>
        <v>4</v>
      </c>
      <c r="D86" s="2575"/>
      <c r="E86" s="3473"/>
      <c r="F86" s="3472"/>
      <c r="G86" s="3472"/>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1406</v>
      </c>
      <c r="C87" s="2570">
        <f>C88+C89</f>
        <v>0</v>
      </c>
      <c r="D87" s="2571"/>
      <c r="E87" s="3468"/>
      <c r="F87" s="3469"/>
      <c r="G87" s="3469"/>
      <c r="H87" s="3470"/>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1407</v>
      </c>
      <c r="C88" s="2576"/>
      <c r="D88" s="2571"/>
      <c r="E88" s="193" t="s">
        <v>1408</v>
      </c>
      <c r="F88" s="3469"/>
      <c r="G88" s="194" t="s">
        <v>1409</v>
      </c>
      <c r="H88" s="1820"/>
      <c r="I88" s="1817"/>
      <c r="J88" s="2515"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1398</v>
      </c>
      <c r="C89" s="2570">
        <f>ROUND(C88*D89,0)</f>
        <v>0</v>
      </c>
      <c r="D89" s="2571">
        <f>'数据-取费表'!B48+'数据-取费表'!B49</f>
        <v>3.0499999999999999E-2</v>
      </c>
      <c r="E89" s="193" t="s">
        <v>1410</v>
      </c>
      <c r="F89" s="3469"/>
      <c r="G89" s="3469"/>
      <c r="H89" s="3470"/>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1411</v>
      </c>
      <c r="C90" s="2576"/>
      <c r="D90" s="2571"/>
      <c r="E90" s="193" t="str">
        <f>IF(H88="-","土地取得成本中已包含该笔费用"," ")</f>
        <v xml:space="preserve"> </v>
      </c>
      <c r="F90" s="3469"/>
      <c r="G90" s="3594" t="s">
        <v>2124</v>
      </c>
      <c r="H90" s="3595"/>
      <c r="I90" s="1817"/>
      <c r="J90" s="2515"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1412</v>
      </c>
      <c r="B91" s="170" t="s">
        <v>1413</v>
      </c>
      <c r="C91" s="2570">
        <f>IF(H91="——",成本法!C33,I91)</f>
        <v>0</v>
      </c>
      <c r="D91" s="2571"/>
      <c r="E91" s="3625" t="s">
        <v>1414</v>
      </c>
      <c r="F91" s="3626"/>
      <c r="G91" s="362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1415</v>
      </c>
      <c r="B92" s="170" t="s">
        <v>1416</v>
      </c>
      <c r="C92" s="2570">
        <f>ROUND((C87+C90+C91)*D92,0)</f>
        <v>0</v>
      </c>
      <c r="D92" s="2577"/>
      <c r="E92" s="3625" t="s">
        <v>1417</v>
      </c>
      <c r="F92" s="3626"/>
      <c r="G92" s="3626"/>
      <c r="H92" s="3627"/>
      <c r="I92" s="1817"/>
      <c r="J92" s="2516"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1418</v>
      </c>
      <c r="B93" s="170" t="s">
        <v>1400</v>
      </c>
      <c r="C93" s="2570">
        <f ca="1">ROUND(D45*D93/(1+'数据-取费表'!C42),0)</f>
        <v>4</v>
      </c>
      <c r="D93" s="2571">
        <f>'数据-取费表'!B43</f>
        <v>5.000000000000001E-3</v>
      </c>
      <c r="E93" s="3625" t="s">
        <v>1401</v>
      </c>
      <c r="F93" s="3626"/>
      <c r="G93" s="3626"/>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1419</v>
      </c>
      <c r="B94" s="170" t="s">
        <v>1420</v>
      </c>
      <c r="C94" s="2576">
        <f>ROUND((C87+C90+C91)*D94,0)</f>
        <v>0</v>
      </c>
      <c r="D94" s="2571">
        <v>0.2</v>
      </c>
      <c r="E94" s="3670" t="s">
        <v>1421</v>
      </c>
      <c r="F94" s="3671"/>
      <c r="G94" s="3671"/>
      <c r="H94" s="367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328</v>
      </c>
      <c r="B95" s="174" t="s">
        <v>1402</v>
      </c>
      <c r="C95" s="2562">
        <f ca="1">ROUND(C85-C86,0)</f>
        <v>831</v>
      </c>
      <c r="D95" s="170" t="s">
        <v>26</v>
      </c>
      <c r="E95" s="3473"/>
      <c r="F95" s="3472"/>
      <c r="G95" s="3472"/>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1403</v>
      </c>
      <c r="C96" s="2572">
        <f ca="1">IF(C95&lt;=0,0,C95/C86)</f>
        <v>207.75</v>
      </c>
      <c r="D96" s="170" t="s">
        <v>26</v>
      </c>
      <c r="E96" s="3461" t="str">
        <f ca="1">IF(C96&gt;=200%,"增值额超过扣除项目金额200%",IF(C96&gt;=100%,"增值额超过扣除项目金额100%，未超过200%",IF(C96&gt;=50%,"增值额超过扣除项目金额50%，未超过100%",IF(C96&lt;50%,"增值额未超过扣除项目金额50%"))))</f>
        <v>增值额超过扣除项目金额200%</v>
      </c>
      <c r="F96" s="3472"/>
      <c r="G96" s="3472"/>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1404</v>
      </c>
      <c r="C97" s="2573">
        <f ca="1">ROUND(IF(C95&lt;=0,0,IF(C96&gt;=200%,C95*60%-C86*35%,IF(C96&gt;=100%,C95*50%-C86*15%,IF(C96&gt;=50%,C95*40%-C86*5%,IF(C96&lt;50%,C95*30%,0))))),0)</f>
        <v>497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1422</v>
      </c>
      <c r="B99" s="1743"/>
      <c r="C99" s="1743"/>
      <c r="D99" s="1743"/>
      <c r="E99" s="1574"/>
      <c r="F99" s="1574"/>
      <c r="G99" s="1574"/>
      <c r="H99" s="1573"/>
      <c r="I99" s="129"/>
    </row>
    <row r="100" spans="1:35" ht="18.75" customHeight="1">
      <c r="A100" s="3575" t="s">
        <v>1423</v>
      </c>
      <c r="B100" s="3576"/>
      <c r="C100" s="3576"/>
      <c r="D100" s="3610"/>
      <c r="E100" s="3576" t="s">
        <v>1424</v>
      </c>
      <c r="F100" s="3576"/>
      <c r="G100" s="3576"/>
      <c r="H100" s="3610"/>
      <c r="I100" s="129"/>
    </row>
    <row r="101" spans="1:35" ht="18.75" customHeight="1">
      <c r="A101" s="3618" t="s">
        <v>1425</v>
      </c>
      <c r="B101" s="3619"/>
      <c r="C101" s="2579" t="str">
        <f>C4</f>
        <v>比较法-办公503</v>
      </c>
      <c r="D101" s="2580" t="str">
        <f>D4</f>
        <v>收益法503</v>
      </c>
      <c r="E101" s="3588" t="s">
        <v>1426</v>
      </c>
      <c r="F101" s="3589"/>
      <c r="G101" s="1823" t="s">
        <v>1427</v>
      </c>
      <c r="H101" s="2589">
        <f ca="1">H118</f>
        <v>877</v>
      </c>
      <c r="I101" s="129"/>
    </row>
    <row r="102" spans="1:35" ht="18.75" customHeight="1">
      <c r="A102" s="3620" t="s">
        <v>1428</v>
      </c>
      <c r="B102" s="2578" t="s">
        <v>1427</v>
      </c>
      <c r="C102" s="2579">
        <f ca="1">IF(D32="楼面单价",ROUND(C19,0),C19)</f>
        <v>951</v>
      </c>
      <c r="D102" s="2580">
        <f ca="1">IF(D32="楼面单价",ROUND(D19,0),D19)</f>
        <v>704</v>
      </c>
      <c r="E102" s="3588"/>
      <c r="F102" s="3589"/>
      <c r="G102" s="1823" t="s">
        <v>1429</v>
      </c>
      <c r="H102" s="2549">
        <f ca="1">I118</f>
        <v>25315</v>
      </c>
      <c r="I102" s="129"/>
    </row>
    <row r="103" spans="1:35" ht="42.75" customHeight="1">
      <c r="A103" s="3620"/>
      <c r="B103" s="2578" t="s">
        <v>1429</v>
      </c>
      <c r="C103" s="2581">
        <f ca="1">C20</f>
        <v>27458</v>
      </c>
      <c r="D103" s="2582">
        <f ca="1">D20</f>
        <v>20316</v>
      </c>
      <c r="E103" s="3581" t="s">
        <v>1430</v>
      </c>
      <c r="F103" s="3582"/>
      <c r="G103" s="1824" t="s">
        <v>1431</v>
      </c>
      <c r="H103" s="2589">
        <f>IF(D36="正常操作",H104+H105+H106,H105+H106)</f>
        <v>0</v>
      </c>
      <c r="I103" s="129"/>
    </row>
    <row r="104" spans="1:35" ht="18.75" customHeight="1">
      <c r="A104" s="3620" t="s">
        <v>1432</v>
      </c>
      <c r="B104" s="2583" t="s">
        <v>1427</v>
      </c>
      <c r="C104" s="2584">
        <f ca="1">H118</f>
        <v>877</v>
      </c>
      <c r="D104" s="2585"/>
      <c r="E104" s="1670" t="s">
        <v>1433</v>
      </c>
      <c r="F104" s="1662"/>
      <c r="G104" s="1824" t="s">
        <v>1431</v>
      </c>
      <c r="H104" s="2590">
        <f>IF(D36="同一抵押权人同一抵押物续贷",C36&amp;"（续贷，未扣减，详见特别提示）",C36)</f>
        <v>0</v>
      </c>
      <c r="I104" s="129"/>
    </row>
    <row r="105" spans="1:35" ht="18.75" customHeight="1" thickBot="1">
      <c r="A105" s="3630"/>
      <c r="B105" s="2586" t="s">
        <v>1429</v>
      </c>
      <c r="C105" s="2587">
        <f ca="1">I118</f>
        <v>25315</v>
      </c>
      <c r="D105" s="2588"/>
      <c r="E105" s="1670" t="s">
        <v>1434</v>
      </c>
      <c r="F105" s="1662"/>
      <c r="G105" s="1824" t="s">
        <v>1431</v>
      </c>
      <c r="H105" s="2591">
        <f>C37</f>
        <v>0</v>
      </c>
      <c r="I105" s="129"/>
    </row>
    <row r="106" spans="1:35" ht="18.75" customHeight="1">
      <c r="A106" s="1743" t="s">
        <v>1435</v>
      </c>
      <c r="B106" s="1743"/>
      <c r="C106" s="1743"/>
      <c r="D106" s="1743"/>
      <c r="E106" s="1825" t="s">
        <v>1436</v>
      </c>
      <c r="F106" s="1662"/>
      <c r="G106" s="1824" t="s">
        <v>1431</v>
      </c>
      <c r="H106" s="2591">
        <f>C38</f>
        <v>0</v>
      </c>
      <c r="I106" s="129"/>
    </row>
    <row r="107" spans="1:35" ht="18.75" customHeight="1">
      <c r="A107" s="129"/>
      <c r="B107" s="129"/>
      <c r="C107" s="129"/>
      <c r="D107" s="129"/>
      <c r="E107" s="3621" t="str">
        <f>IF(项目基本情况!E8="已注销","——","3.房地产抵押价值")</f>
        <v>3.房地产抵押价值</v>
      </c>
      <c r="F107" s="3589"/>
      <c r="G107" s="1823" t="s">
        <v>1427</v>
      </c>
      <c r="H107" s="2589">
        <f ca="1">IF(E107="——","——",H101-H103)</f>
        <v>877</v>
      </c>
      <c r="I107" s="129"/>
    </row>
    <row r="108" spans="1:35" ht="18.75" customHeight="1">
      <c r="A108" s="129"/>
      <c r="B108" s="129"/>
      <c r="C108" s="129"/>
      <c r="D108" s="129"/>
      <c r="E108" s="3621"/>
      <c r="F108" s="3589"/>
      <c r="G108" s="1823" t="s">
        <v>1429</v>
      </c>
      <c r="H108" s="2549">
        <f ca="1">IF(H107=H101,H102,ROUND(H107*10000/'数据-汇总表'!E3,0))</f>
        <v>25315</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3" t="s">
        <v>1427</v>
      </c>
      <c r="H109" s="2592" t="str">
        <f>IF(E109="——","——",H101-H105-H106)</f>
        <v>——</v>
      </c>
      <c r="I109" s="129"/>
    </row>
    <row r="110" spans="1:35" ht="18.75" customHeight="1">
      <c r="A110" s="129"/>
      <c r="B110" s="129"/>
      <c r="C110" s="129"/>
      <c r="D110" s="129"/>
      <c r="E110" s="3621"/>
      <c r="F110" s="3589"/>
      <c r="G110" s="1823" t="s">
        <v>1429</v>
      </c>
      <c r="H110" s="2549"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3" t="s">
        <v>1427</v>
      </c>
      <c r="H111" s="2589" t="str">
        <f>IF(E111="——","——",N59)</f>
        <v>——</v>
      </c>
      <c r="I111" s="129"/>
    </row>
    <row r="112" spans="1:35" ht="18.75" customHeight="1" thickBot="1">
      <c r="A112" s="129"/>
      <c r="B112" s="129"/>
      <c r="C112" s="129"/>
      <c r="D112" s="129"/>
      <c r="E112" s="3623"/>
      <c r="F112" s="3624"/>
      <c r="G112" s="1826" t="s">
        <v>1429</v>
      </c>
      <c r="H112" s="2593" t="str">
        <f>IF(E111="——","——",N61)</f>
        <v>——</v>
      </c>
      <c r="I112" s="129"/>
    </row>
    <row r="113" spans="1:27" ht="18.75" customHeight="1">
      <c r="A113" s="129"/>
      <c r="B113" s="129"/>
      <c r="C113" s="129"/>
      <c r="D113" s="129"/>
      <c r="E113" s="3631" t="s">
        <v>1435</v>
      </c>
      <c r="F113" s="3631"/>
      <c r="G113" s="3631"/>
      <c r="H113" s="3631"/>
      <c r="I113" s="129"/>
    </row>
    <row r="114" spans="1:27" ht="3.75" customHeight="1">
      <c r="A114" s="1743"/>
      <c r="B114" s="1743"/>
      <c r="C114" s="1743"/>
      <c r="D114" s="1743"/>
      <c r="E114" s="1805"/>
      <c r="F114" s="1805"/>
      <c r="G114" s="1805"/>
      <c r="H114" s="1805"/>
      <c r="I114" s="1743"/>
    </row>
    <row r="115" spans="1:27" ht="18.75" customHeight="1">
      <c r="A115" s="3639" t="s">
        <v>1437</v>
      </c>
      <c r="B115" s="3640"/>
      <c r="C115" s="3640"/>
      <c r="D115" s="3640"/>
      <c r="E115" s="3640"/>
      <c r="F115" s="3640"/>
      <c r="G115" s="3640"/>
      <c r="H115" s="3640"/>
      <c r="I115" s="3641"/>
    </row>
    <row r="116" spans="1:27" ht="27" customHeight="1">
      <c r="A116" s="3596" t="s">
        <v>1438</v>
      </c>
      <c r="B116" s="3600" t="s">
        <v>1439</v>
      </c>
      <c r="C116" s="3600" t="s">
        <v>1440</v>
      </c>
      <c r="D116" s="3606" t="s">
        <v>1441</v>
      </c>
      <c r="E116" s="3607"/>
      <c r="F116" s="3638" t="s">
        <v>1442</v>
      </c>
      <c r="G116" s="3638"/>
      <c r="H116" s="3596" t="s">
        <v>1443</v>
      </c>
      <c r="I116" s="3596"/>
    </row>
    <row r="117" spans="1:27" ht="18.75" customHeight="1">
      <c r="A117" s="3596"/>
      <c r="B117" s="3601"/>
      <c r="C117" s="3601"/>
      <c r="D117" s="3464" t="s">
        <v>1444</v>
      </c>
      <c r="E117" s="3464" t="s">
        <v>1445</v>
      </c>
      <c r="F117" s="3464" t="s">
        <v>1444</v>
      </c>
      <c r="G117" s="3464" t="s">
        <v>1446</v>
      </c>
      <c r="H117" s="3464" t="s">
        <v>1444</v>
      </c>
      <c r="I117" s="3464" t="s">
        <v>1446</v>
      </c>
    </row>
    <row r="118" spans="1:27" ht="24.75" customHeight="1">
      <c r="A118" s="2594" t="str">
        <f>项目基本情况!S2</f>
        <v>北京市金星西路501房地产</v>
      </c>
      <c r="B118" s="3464">
        <f>M18</f>
        <v>346.45</v>
      </c>
      <c r="C118" s="3464">
        <f>M19</f>
        <v>0</v>
      </c>
      <c r="D118" s="3464">
        <f>ROUND(IF(D32="总价",C34,E118*B118/10000),0)</f>
        <v>0</v>
      </c>
      <c r="E118" s="3464">
        <f>ROUND(IF(C33="自定义",IF(D32="楼面单价",C34,D118*10000/B118),I118-G118),0)</f>
        <v>0</v>
      </c>
      <c r="F118" s="3464">
        <f>ROUND(IF(D32="总价",C35,G118*B118/10000),0)</f>
        <v>0</v>
      </c>
      <c r="G118" s="3464">
        <f>ROUND(IF(D32="楼面单价",C35,F118*10000/B118),0)</f>
        <v>0</v>
      </c>
      <c r="H118" s="3464">
        <f ca="1">ROUND(IF(D32="总价",C32,I118*B118/10000),0)</f>
        <v>877</v>
      </c>
      <c r="I118" s="3464">
        <f ca="1">ROUND(IF(D32="楼面单价",C32,H118*10000/B118),0)</f>
        <v>25315</v>
      </c>
    </row>
    <row r="119" spans="1:27" ht="18.75" customHeight="1">
      <c r="A119" s="3596" t="s">
        <v>1447</v>
      </c>
      <c r="B119" s="3596"/>
      <c r="C119" s="3596"/>
      <c r="D119" s="3602" t="str">
        <f>NUMBERSTRING(INT(D118*10000),2)&amp;"元整"</f>
        <v>零元整</v>
      </c>
      <c r="E119" s="3603"/>
      <c r="F119" s="3602" t="str">
        <f>NUMBERSTRING(INT(F118*10000),2)&amp;"元整"</f>
        <v>零元整</v>
      </c>
      <c r="G119" s="3603"/>
      <c r="H119" s="3602" t="str">
        <f ca="1">NUMBERSTRING(INT(H118*10000),2)&amp;"元整"</f>
        <v>捌佰柒拾柒万元整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2" t="s">
        <v>1447</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877</v>
      </c>
      <c r="E122" s="3598"/>
      <c r="F122" s="3598"/>
      <c r="G122" s="3598"/>
      <c r="H122" s="3598"/>
      <c r="I122" s="3599"/>
      <c r="AA122" s="725"/>
    </row>
    <row r="123" spans="1:27" ht="18.75" customHeight="1">
      <c r="A123" s="3596" t="s">
        <v>1447</v>
      </c>
      <c r="B123" s="3596"/>
      <c r="C123" s="3596"/>
      <c r="D123" s="3602" t="str">
        <f ca="1">NUMBERSTRING(INT(D122*10000),2)&amp;"元整"</f>
        <v>捌佰柒拾柒万元整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1447</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1447</v>
      </c>
      <c r="B127" s="3596"/>
      <c r="C127" s="3596"/>
      <c r="D127" s="3602" t="e">
        <f>NUMBERSTRING(INT(D126*10000),2)&amp;"元整"</f>
        <v>#VALUE!</v>
      </c>
      <c r="E127" s="3604"/>
      <c r="F127" s="3604"/>
      <c r="G127" s="3604"/>
      <c r="H127" s="3604"/>
      <c r="I127" s="3603"/>
      <c r="AA127" s="725"/>
    </row>
    <row r="128" spans="1:27" ht="21.75" customHeight="1">
      <c r="A128" s="3605" t="s">
        <v>1448</v>
      </c>
      <c r="B128" s="3605"/>
      <c r="C128" s="3605"/>
      <c r="D128" s="3605"/>
      <c r="E128" s="3605"/>
      <c r="F128" s="3605"/>
      <c r="G128" s="3605"/>
      <c r="H128" s="3605"/>
      <c r="I128" s="3605"/>
      <c r="AA128" s="725"/>
    </row>
    <row r="129" spans="1:35" ht="21.75" customHeight="1">
      <c r="A129" s="1827" t="s">
        <v>1449</v>
      </c>
      <c r="B129" s="1828"/>
      <c r="C129" s="1829" t="s">
        <v>1450</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1451</v>
      </c>
      <c r="G135" s="1844"/>
      <c r="H135" s="1844"/>
      <c r="I135" s="1845" t="s">
        <v>1452</v>
      </c>
    </row>
    <row r="136" spans="1:35" ht="21.75" customHeight="1">
      <c r="A136" s="725"/>
      <c r="B136" s="1846"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1454</v>
      </c>
    </row>
    <row r="139" spans="1:35" ht="21.75" customHeight="1">
      <c r="A139" s="725"/>
      <c r="B139" s="1846" t="s">
        <v>1455</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1454</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G41" sqref="G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953" t="s">
        <v>1805</v>
      </c>
      <c r="C1" s="1220" t="s">
        <v>1657</v>
      </c>
      <c r="D1" s="1221">
        <v>503</v>
      </c>
      <c r="E1" s="3425" t="s">
        <v>3387</v>
      </c>
      <c r="F1" s="1875" t="s">
        <v>3423</v>
      </c>
      <c r="G1" s="1231" t="s">
        <v>1658</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681</v>
      </c>
      <c r="B2" s="1160">
        <f>IF(E1="项目模式",IF(C2="——",ROUND(C50*D3/10000,0),ROUND(C50*D3/10000,0)-D2),IF(E1="单套模式",IF(C2="——",ROUND(C50*D3/10000,4),ROUND(C50*D3/10000,4)-D2)))</f>
        <v>951.28240000000005</v>
      </c>
      <c r="C2" s="1877" t="s">
        <v>43</v>
      </c>
      <c r="D2" s="1111" t="e">
        <f ca="1">IF(E1="项目模式",SUMIF(INDIRECT("'"&amp;F2&amp;"'"&amp;"!A:A"),"承租人权益价值",INDIRECT("'"&amp;F2&amp;"'"&amp;"!c:c")),SUMIF(INDIRECT("'"&amp;F2&amp;"'"&amp;"!A:A"),"承租人权益价值（单套）",INDIRECT("'"&amp;F2&amp;"'"&amp;"!c:c")))</f>
        <v>#REF!</v>
      </c>
      <c r="E2" s="1878" t="s">
        <v>1458</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682</v>
      </c>
      <c r="B3" s="558">
        <f>IF(C2="——",C50,ROUND(B2*10000/D3,0))</f>
        <v>27458</v>
      </c>
      <c r="C3" s="354" t="s">
        <v>1660</v>
      </c>
      <c r="D3" s="353">
        <f>IF(D1="",'数据-汇总表'!E3,SUMIF('数据-汇总表'!$C19:$C33,D1,'数据-汇总表'!$E19:$E33))</f>
        <v>346.45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1661</v>
      </c>
      <c r="B4" s="356"/>
      <c r="C4" s="3686" t="s">
        <v>1662</v>
      </c>
      <c r="D4" s="3687"/>
      <c r="E4" s="3688" t="s">
        <v>1663</v>
      </c>
      <c r="F4" s="3689"/>
      <c r="G4" s="3686" t="s">
        <v>1664</v>
      </c>
      <c r="H4" s="3687"/>
      <c r="I4" s="3686" t="s">
        <v>1665</v>
      </c>
      <c r="J4" s="3687"/>
      <c r="K4" s="559" t="s">
        <v>1666</v>
      </c>
      <c r="L4" s="2708"/>
      <c r="M4" s="2709"/>
      <c r="N4" s="2709"/>
      <c r="O4" s="2709"/>
      <c r="P4" s="3690" t="s">
        <v>1667</v>
      </c>
      <c r="Q4" s="3691"/>
      <c r="R4" s="3696" t="s">
        <v>1663</v>
      </c>
      <c r="S4" s="3697"/>
      <c r="T4" s="3696" t="s">
        <v>1664</v>
      </c>
      <c r="U4" s="3697"/>
      <c r="V4" s="3708" t="s">
        <v>1665</v>
      </c>
      <c r="W4" s="3708"/>
      <c r="X4" s="3485"/>
      <c r="Y4" s="3696" t="s">
        <v>1667</v>
      </c>
      <c r="Z4" s="3697"/>
      <c r="AA4" s="3710" t="s">
        <v>1663</v>
      </c>
      <c r="AB4" s="3710" t="s">
        <v>1664</v>
      </c>
      <c r="AC4" s="3683" t="s">
        <v>1665</v>
      </c>
    </row>
    <row r="5" spans="1:29" ht="15">
      <c r="A5" s="358"/>
      <c r="B5" s="359"/>
      <c r="C5" s="3700" t="s">
        <v>3442</v>
      </c>
      <c r="D5" s="3701"/>
      <c r="E5" s="3700" t="s">
        <v>3442</v>
      </c>
      <c r="F5" s="3701"/>
      <c r="G5" s="3700" t="s">
        <v>3442</v>
      </c>
      <c r="H5" s="3701"/>
      <c r="I5" s="3700" t="s">
        <v>3442</v>
      </c>
      <c r="J5" s="3701"/>
      <c r="K5" s="559"/>
      <c r="L5" s="2708"/>
      <c r="M5" s="2709"/>
      <c r="N5" s="2709"/>
      <c r="O5" s="2709"/>
      <c r="P5" s="3692"/>
      <c r="Q5" s="3693"/>
      <c r="R5" s="3698"/>
      <c r="S5" s="3699"/>
      <c r="T5" s="3698"/>
      <c r="U5" s="3699"/>
      <c r="V5" s="3709"/>
      <c r="W5" s="3709"/>
      <c r="X5" s="3480"/>
      <c r="Y5" s="3698"/>
      <c r="Z5" s="3699"/>
      <c r="AA5" s="3711"/>
      <c r="AB5" s="3711"/>
      <c r="AC5" s="3684"/>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694"/>
      <c r="Q6" s="3695"/>
      <c r="R6" s="3698"/>
      <c r="S6" s="3699"/>
      <c r="T6" s="3706"/>
      <c r="U6" s="3707"/>
      <c r="V6" s="3709"/>
      <c r="W6" s="3709"/>
      <c r="X6" s="3480"/>
      <c r="Y6" s="3706"/>
      <c r="Z6" s="3707"/>
      <c r="AA6" s="3712"/>
      <c r="AB6" s="3712"/>
      <c r="AC6" s="3685"/>
    </row>
    <row r="7" spans="1:29" s="108" customFormat="1" ht="15.75" thickBot="1">
      <c r="A7" s="362" t="s">
        <v>1674</v>
      </c>
      <c r="B7" s="363"/>
      <c r="C7" s="364">
        <f>'数据-取费表'!B2</f>
        <v>45034</v>
      </c>
      <c r="D7" s="365">
        <v>100</v>
      </c>
      <c r="E7" s="366">
        <v>45017</v>
      </c>
      <c r="F7" s="367">
        <f>SUMIF(59:59,YEAR(E7)&amp;"-"&amp;MONTH(E7),60:60)</f>
        <v>100</v>
      </c>
      <c r="G7" s="366">
        <v>45017</v>
      </c>
      <c r="H7" s="365">
        <f>SUMIF(59:59,YEAR(G7)&amp;"-"&amp;MONTH(G7),60:60)</f>
        <v>100</v>
      </c>
      <c r="I7" s="366">
        <v>45017</v>
      </c>
      <c r="J7" s="365">
        <f>SUMIF(59:59,YEAR(I7)&amp;"-"&amp;MONTH(I7),60:60)</f>
        <v>100</v>
      </c>
      <c r="K7" s="560"/>
      <c r="L7" s="2710"/>
      <c r="M7" s="2711"/>
      <c r="N7" s="2711"/>
      <c r="O7" s="2711"/>
      <c r="P7" s="3713" t="s">
        <v>1675</v>
      </c>
      <c r="Q7" s="3714"/>
      <c r="R7" s="701" t="s">
        <v>14</v>
      </c>
      <c r="S7" s="702">
        <f t="shared" ref="S7:S15" si="0">F7</f>
        <v>100</v>
      </c>
      <c r="T7" s="701" t="s">
        <v>14</v>
      </c>
      <c r="U7" s="702">
        <f t="shared" ref="U7:U15" si="1">H7</f>
        <v>100</v>
      </c>
      <c r="V7" s="701" t="s">
        <v>14</v>
      </c>
      <c r="W7" s="702">
        <f t="shared" ref="W7:W15" si="2">J7</f>
        <v>100</v>
      </c>
      <c r="X7" s="703"/>
      <c r="Y7" s="3716" t="s">
        <v>1675</v>
      </c>
      <c r="Z7" s="3715"/>
      <c r="AA7" s="704">
        <f>D7/F7</f>
        <v>1</v>
      </c>
      <c r="AB7" s="704">
        <f>D7/H7</f>
        <v>1</v>
      </c>
      <c r="AC7" s="1954">
        <f>D7/J7</f>
        <v>1</v>
      </c>
    </row>
    <row r="8" spans="1:29" s="108" customFormat="1" ht="15.75" thickBot="1">
      <c r="A8" s="362" t="s">
        <v>1676</v>
      </c>
      <c r="B8" s="363"/>
      <c r="C8" s="368" t="s">
        <v>3388</v>
      </c>
      <c r="D8" s="365">
        <v>100</v>
      </c>
      <c r="E8" s="368" t="s">
        <v>3389</v>
      </c>
      <c r="F8" s="367">
        <f>SUMIF(62:62,E8,63:63)-SUMIF(62:62,C8,63:63)+100</f>
        <v>102</v>
      </c>
      <c r="G8" s="368" t="s">
        <v>3389</v>
      </c>
      <c r="H8" s="365">
        <f>SUMIF(62:62,G8,63:63)-SUMIF(62:62,C8,63:63)+100</f>
        <v>102</v>
      </c>
      <c r="I8" s="368" t="s">
        <v>3389</v>
      </c>
      <c r="J8" s="365">
        <f>SUMIF(62:62,I8,63:63)-SUMIF(62:62,C8,63:63)+100</f>
        <v>102</v>
      </c>
      <c r="K8" s="560"/>
      <c r="L8" s="2710"/>
      <c r="M8" s="2711"/>
      <c r="N8" s="2711"/>
      <c r="O8" s="2711"/>
      <c r="P8" s="3713" t="s">
        <v>1678</v>
      </c>
      <c r="Q8" s="3715"/>
      <c r="R8" s="701" t="s">
        <v>14</v>
      </c>
      <c r="S8" s="702">
        <f t="shared" si="0"/>
        <v>102</v>
      </c>
      <c r="T8" s="701" t="s">
        <v>14</v>
      </c>
      <c r="U8" s="702">
        <f t="shared" si="1"/>
        <v>102</v>
      </c>
      <c r="V8" s="701" t="s">
        <v>14</v>
      </c>
      <c r="W8" s="702">
        <f t="shared" si="2"/>
        <v>102</v>
      </c>
      <c r="X8" s="703"/>
      <c r="Y8" s="3716" t="s">
        <v>1678</v>
      </c>
      <c r="Z8" s="3715"/>
      <c r="AA8" s="704">
        <f t="shared" ref="AA8:AA47" si="3">D8/F8</f>
        <v>0.98039215686274506</v>
      </c>
      <c r="AB8" s="704">
        <f t="shared" ref="AB8:AB47" si="4">D8/H8</f>
        <v>0.98039215686274506</v>
      </c>
      <c r="AC8" s="1954">
        <f t="shared" ref="AC8:AC47" si="5">D8/J8</f>
        <v>0.98039215686274506</v>
      </c>
    </row>
    <row r="9" spans="1:29" s="108" customFormat="1">
      <c r="A9" s="369" t="s">
        <v>1679</v>
      </c>
      <c r="B9" s="63" t="s">
        <v>1680</v>
      </c>
      <c r="C9" s="3454" t="s">
        <v>3422</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7" t="s">
        <v>1681</v>
      </c>
      <c r="Q9" s="3477" t="str">
        <f t="shared" ref="Q9:Q15" si="6">B9</f>
        <v>用途</v>
      </c>
      <c r="R9" s="701" t="s">
        <v>14</v>
      </c>
      <c r="S9" s="702">
        <f t="shared" si="0"/>
        <v>100</v>
      </c>
      <c r="T9" s="701" t="s">
        <v>14</v>
      </c>
      <c r="U9" s="702">
        <f t="shared" si="1"/>
        <v>100</v>
      </c>
      <c r="V9" s="701" t="s">
        <v>14</v>
      </c>
      <c r="W9" s="702">
        <f t="shared" si="2"/>
        <v>100</v>
      </c>
      <c r="X9" s="703"/>
      <c r="Y9" s="3651" t="s">
        <v>1682</v>
      </c>
      <c r="Z9" s="3459" t="str">
        <f t="shared" ref="Z9:Z15" si="7">Q9</f>
        <v>用途</v>
      </c>
      <c r="AA9" s="704">
        <f t="shared" si="3"/>
        <v>1</v>
      </c>
      <c r="AB9" s="704">
        <f t="shared" si="4"/>
        <v>1</v>
      </c>
      <c r="AC9" s="1954">
        <f t="shared" si="5"/>
        <v>1</v>
      </c>
    </row>
    <row r="10" spans="1:29" s="378" customFormat="1" ht="27.75" thickBot="1">
      <c r="A10" s="374"/>
      <c r="B10" s="375" t="s">
        <v>1683</v>
      </c>
      <c r="C10" s="3426" t="s">
        <v>3443</v>
      </c>
      <c r="D10" s="127">
        <v>100</v>
      </c>
      <c r="E10" s="3426" t="s">
        <v>3443</v>
      </c>
      <c r="F10" s="127">
        <f>SUMIF(66:66,E10,67:67)-SUMIF(66:66,C10,67:67)+100</f>
        <v>100</v>
      </c>
      <c r="G10" s="3426" t="s">
        <v>3443</v>
      </c>
      <c r="H10" s="127">
        <f>SUMIF(66:66,G10,67:67)-SUMIF(66:66,C10,67:67)+100</f>
        <v>100</v>
      </c>
      <c r="I10" s="3426" t="s">
        <v>3443</v>
      </c>
      <c r="J10" s="127">
        <f>SUMIF(66:66,I10,67:67)-SUMIF(66:66,C10,67:67)+100</f>
        <v>100</v>
      </c>
      <c r="K10" s="560"/>
      <c r="L10" s="2712"/>
      <c r="M10" s="2713"/>
      <c r="N10" s="2713"/>
      <c r="O10" s="2713"/>
      <c r="P10" s="3717"/>
      <c r="Q10" s="3477" t="str">
        <f t="shared" si="6"/>
        <v>土地使用年限（年）</v>
      </c>
      <c r="R10" s="701" t="s">
        <v>14</v>
      </c>
      <c r="S10" s="702">
        <f t="shared" si="0"/>
        <v>100</v>
      </c>
      <c r="T10" s="701" t="s">
        <v>14</v>
      </c>
      <c r="U10" s="702">
        <f t="shared" si="1"/>
        <v>100</v>
      </c>
      <c r="V10" s="701" t="s">
        <v>14</v>
      </c>
      <c r="W10" s="702">
        <f t="shared" si="2"/>
        <v>100</v>
      </c>
      <c r="X10" s="703"/>
      <c r="Y10" s="3651"/>
      <c r="Z10" s="3459" t="str">
        <f t="shared" si="7"/>
        <v>土地使用年限（年）</v>
      </c>
      <c r="AA10" s="704">
        <f t="shared" si="3"/>
        <v>1</v>
      </c>
      <c r="AB10" s="704">
        <f t="shared" si="4"/>
        <v>1</v>
      </c>
      <c r="AC10" s="1954">
        <f t="shared" si="5"/>
        <v>1</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7"/>
      <c r="Q11" s="3477" t="str">
        <f t="shared" si="6"/>
        <v>容积率</v>
      </c>
      <c r="R11" s="701" t="s">
        <v>14</v>
      </c>
      <c r="S11" s="702">
        <f t="shared" si="0"/>
        <v>100</v>
      </c>
      <c r="T11" s="701" t="s">
        <v>14</v>
      </c>
      <c r="U11" s="702">
        <f t="shared" si="1"/>
        <v>100</v>
      </c>
      <c r="V11" s="701" t="s">
        <v>14</v>
      </c>
      <c r="W11" s="702">
        <f t="shared" si="2"/>
        <v>100</v>
      </c>
      <c r="X11" s="703"/>
      <c r="Y11" s="3651"/>
      <c r="Z11" s="3459" t="str">
        <f t="shared" si="7"/>
        <v>容积率</v>
      </c>
      <c r="AA11" s="704">
        <f t="shared" si="3"/>
        <v>1</v>
      </c>
      <c r="AB11" s="704">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0"/>
      <c r="M12" s="2711"/>
      <c r="N12" s="2711"/>
      <c r="O12" s="2711"/>
      <c r="P12" s="3717"/>
      <c r="Q12" s="3477">
        <f t="shared" si="6"/>
        <v>111</v>
      </c>
      <c r="R12" s="701" t="s">
        <v>14</v>
      </c>
      <c r="S12" s="702">
        <f t="shared" si="0"/>
        <v>100</v>
      </c>
      <c r="T12" s="701" t="s">
        <v>14</v>
      </c>
      <c r="U12" s="702">
        <f t="shared" si="1"/>
        <v>100</v>
      </c>
      <c r="V12" s="701" t="s">
        <v>14</v>
      </c>
      <c r="W12" s="702">
        <f t="shared" si="2"/>
        <v>100</v>
      </c>
      <c r="X12" s="703"/>
      <c r="Y12" s="3651"/>
      <c r="Z12" s="3459">
        <f t="shared" si="7"/>
        <v>111</v>
      </c>
      <c r="AA12" s="704">
        <f>D12/F12</f>
        <v>1</v>
      </c>
      <c r="AB12" s="704">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5"/>
      <c r="M13" s="2709"/>
      <c r="N13" s="2709"/>
      <c r="O13" s="2709"/>
      <c r="P13" s="3717"/>
      <c r="Q13" s="3477">
        <f t="shared" si="6"/>
        <v>111</v>
      </c>
      <c r="R13" s="701" t="s">
        <v>14</v>
      </c>
      <c r="S13" s="702">
        <f t="shared" si="0"/>
        <v>100</v>
      </c>
      <c r="T13" s="701" t="s">
        <v>14</v>
      </c>
      <c r="U13" s="702">
        <f t="shared" si="1"/>
        <v>100</v>
      </c>
      <c r="V13" s="701" t="s">
        <v>14</v>
      </c>
      <c r="W13" s="702">
        <f t="shared" si="2"/>
        <v>100</v>
      </c>
      <c r="X13" s="703"/>
      <c r="Y13" s="3651"/>
      <c r="Z13" s="3459">
        <f t="shared" si="7"/>
        <v>111</v>
      </c>
      <c r="AA13" s="704">
        <f t="shared" si="3"/>
        <v>1</v>
      </c>
      <c r="AB13" s="704">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5"/>
      <c r="M14" s="2709"/>
      <c r="N14" s="2709"/>
      <c r="O14" s="2709"/>
      <c r="P14" s="3717"/>
      <c r="Q14" s="3477">
        <f t="shared" si="6"/>
        <v>111</v>
      </c>
      <c r="R14" s="701" t="s">
        <v>14</v>
      </c>
      <c r="S14" s="702">
        <f t="shared" si="0"/>
        <v>100</v>
      </c>
      <c r="T14" s="701" t="s">
        <v>14</v>
      </c>
      <c r="U14" s="702">
        <f t="shared" si="1"/>
        <v>100</v>
      </c>
      <c r="V14" s="701" t="s">
        <v>14</v>
      </c>
      <c r="W14" s="702">
        <f t="shared" si="2"/>
        <v>100</v>
      </c>
      <c r="X14" s="703"/>
      <c r="Y14" s="3651"/>
      <c r="Z14" s="3459">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18" t="s">
        <v>1686</v>
      </c>
      <c r="Q15" s="3483" t="str">
        <f t="shared" si="6"/>
        <v>办公集聚程度</v>
      </c>
      <c r="R15" s="705" t="s">
        <v>14</v>
      </c>
      <c r="S15" s="706">
        <f t="shared" si="0"/>
        <v>100</v>
      </c>
      <c r="T15" s="705" t="s">
        <v>14</v>
      </c>
      <c r="U15" s="706">
        <f t="shared" si="1"/>
        <v>100</v>
      </c>
      <c r="V15" s="705" t="s">
        <v>14</v>
      </c>
      <c r="W15" s="706">
        <f t="shared" si="2"/>
        <v>100</v>
      </c>
      <c r="X15" s="3480"/>
      <c r="Y15" s="3720" t="s">
        <v>1686</v>
      </c>
      <c r="Z15" s="3481" t="str">
        <f t="shared" si="7"/>
        <v>办公集聚程度</v>
      </c>
      <c r="AA15" s="3484">
        <f t="shared" si="3"/>
        <v>1</v>
      </c>
      <c r="AB15" s="3484">
        <f t="shared" si="4"/>
        <v>1</v>
      </c>
      <c r="AC15" s="1957">
        <f t="shared" si="5"/>
        <v>1</v>
      </c>
    </row>
    <row r="16" spans="1:29" ht="15">
      <c r="A16" s="379"/>
      <c r="B16" s="578"/>
      <c r="C16" s="1900" t="s">
        <v>3406</v>
      </c>
      <c r="D16" s="399"/>
      <c r="E16" s="1900" t="s">
        <v>3406</v>
      </c>
      <c r="F16" s="399"/>
      <c r="G16" s="1900" t="s">
        <v>3406</v>
      </c>
      <c r="H16" s="401"/>
      <c r="I16" s="1900" t="s">
        <v>3406</v>
      </c>
      <c r="J16" s="399"/>
      <c r="K16" s="564"/>
      <c r="L16" s="2715"/>
      <c r="M16" s="2709"/>
      <c r="N16" s="2709"/>
      <c r="O16" s="2709"/>
      <c r="P16" s="3719"/>
      <c r="Q16" s="3483"/>
      <c r="R16" s="705"/>
      <c r="S16" s="706"/>
      <c r="T16" s="705"/>
      <c r="U16" s="706"/>
      <c r="V16" s="705"/>
      <c r="W16" s="706"/>
      <c r="X16" s="3480"/>
      <c r="Y16" s="3721"/>
      <c r="Z16" s="3481"/>
      <c r="AA16" s="3484">
        <v>1</v>
      </c>
      <c r="AB16" s="3484">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19"/>
      <c r="Q17" s="3483" t="str">
        <f>B17</f>
        <v>交通便捷度</v>
      </c>
      <c r="R17" s="705" t="s">
        <v>14</v>
      </c>
      <c r="S17" s="706">
        <f>F17</f>
        <v>100</v>
      </c>
      <c r="T17" s="705" t="s">
        <v>14</v>
      </c>
      <c r="U17" s="706">
        <f>H17</f>
        <v>100</v>
      </c>
      <c r="V17" s="705" t="s">
        <v>14</v>
      </c>
      <c r="W17" s="706">
        <f>J17</f>
        <v>100</v>
      </c>
      <c r="X17" s="3480"/>
      <c r="Y17" s="3721"/>
      <c r="Z17" s="3481" t="str">
        <f>Q17</f>
        <v>交通便捷度</v>
      </c>
      <c r="AA17" s="3484">
        <f t="shared" si="3"/>
        <v>1</v>
      </c>
      <c r="AB17" s="3484">
        <f t="shared" si="4"/>
        <v>1</v>
      </c>
      <c r="AC17" s="1957">
        <f t="shared" si="5"/>
        <v>1</v>
      </c>
    </row>
    <row r="18" spans="1:29" ht="15">
      <c r="A18" s="379"/>
      <c r="B18" s="580"/>
      <c r="C18" s="1959" t="s">
        <v>3406</v>
      </c>
      <c r="D18" s="401"/>
      <c r="E18" s="1959" t="s">
        <v>3406</v>
      </c>
      <c r="F18" s="401"/>
      <c r="G18" s="1959" t="s">
        <v>3406</v>
      </c>
      <c r="H18" s="399"/>
      <c r="I18" s="1959" t="s">
        <v>3406</v>
      </c>
      <c r="J18" s="399"/>
      <c r="K18" s="564"/>
      <c r="L18" s="2715"/>
      <c r="M18" s="2709"/>
      <c r="N18" s="2709"/>
      <c r="O18" s="2709"/>
      <c r="P18" s="3719"/>
      <c r="Q18" s="3483"/>
      <c r="R18" s="705"/>
      <c r="S18" s="706"/>
      <c r="T18" s="705"/>
      <c r="U18" s="706"/>
      <c r="V18" s="705"/>
      <c r="W18" s="706"/>
      <c r="X18" s="3480"/>
      <c r="Y18" s="3721"/>
      <c r="Z18" s="3481"/>
      <c r="AA18" s="3484">
        <v>1</v>
      </c>
      <c r="AB18" s="3484">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19"/>
      <c r="Q19" s="3483" t="str">
        <f>B19</f>
        <v>公共配套设施</v>
      </c>
      <c r="R19" s="705" t="s">
        <v>14</v>
      </c>
      <c r="S19" s="706">
        <f>F19</f>
        <v>100</v>
      </c>
      <c r="T19" s="705" t="s">
        <v>14</v>
      </c>
      <c r="U19" s="706">
        <f>H19</f>
        <v>100</v>
      </c>
      <c r="V19" s="705" t="s">
        <v>14</v>
      </c>
      <c r="W19" s="706">
        <f>J19</f>
        <v>100</v>
      </c>
      <c r="X19" s="3480"/>
      <c r="Y19" s="3721"/>
      <c r="Z19" s="3481" t="str">
        <f>Q19</f>
        <v>公共配套设施</v>
      </c>
      <c r="AA19" s="3484">
        <f t="shared" si="3"/>
        <v>1</v>
      </c>
      <c r="AB19" s="3484">
        <f t="shared" si="4"/>
        <v>1</v>
      </c>
      <c r="AC19" s="1957">
        <f t="shared" si="5"/>
        <v>1</v>
      </c>
    </row>
    <row r="20" spans="1:29" ht="15">
      <c r="A20" s="379"/>
      <c r="B20" s="580"/>
      <c r="C20" s="1900" t="s">
        <v>3406</v>
      </c>
      <c r="D20" s="399"/>
      <c r="E20" s="1900" t="s">
        <v>3406</v>
      </c>
      <c r="F20" s="399"/>
      <c r="G20" s="1900" t="s">
        <v>3406</v>
      </c>
      <c r="H20" s="399"/>
      <c r="I20" s="1900" t="s">
        <v>3406</v>
      </c>
      <c r="J20" s="399"/>
      <c r="K20" s="564"/>
      <c r="L20" s="2715"/>
      <c r="M20" s="2709"/>
      <c r="N20" s="2709"/>
      <c r="O20" s="2709"/>
      <c r="P20" s="3719"/>
      <c r="Q20" s="3483"/>
      <c r="R20" s="705"/>
      <c r="S20" s="706"/>
      <c r="T20" s="705"/>
      <c r="U20" s="706"/>
      <c r="V20" s="705"/>
      <c r="W20" s="706"/>
      <c r="X20" s="3480"/>
      <c r="Y20" s="3721"/>
      <c r="Z20" s="3481"/>
      <c r="AA20" s="3484">
        <v>1</v>
      </c>
      <c r="AB20" s="3484">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19"/>
      <c r="Q21" s="3483" t="str">
        <f>B21</f>
        <v>基础设施水平</v>
      </c>
      <c r="R21" s="705" t="s">
        <v>14</v>
      </c>
      <c r="S21" s="706">
        <f>F21</f>
        <v>100</v>
      </c>
      <c r="T21" s="705" t="s">
        <v>14</v>
      </c>
      <c r="U21" s="706">
        <f>H21</f>
        <v>100</v>
      </c>
      <c r="V21" s="705" t="s">
        <v>14</v>
      </c>
      <c r="W21" s="706">
        <f>J21</f>
        <v>100</v>
      </c>
      <c r="X21" s="3480"/>
      <c r="Y21" s="3721"/>
      <c r="Z21" s="3481" t="str">
        <f>Q21</f>
        <v>基础设施水平</v>
      </c>
      <c r="AA21" s="3484">
        <f t="shared" ref="AA21" si="8">D21/F21</f>
        <v>1</v>
      </c>
      <c r="AB21" s="3484">
        <f t="shared" ref="AB21" si="9">D21/H21</f>
        <v>1</v>
      </c>
      <c r="AC21" s="1957">
        <f t="shared" ref="AC21" si="10">D21/J21</f>
        <v>1</v>
      </c>
    </row>
    <row r="22" spans="1:29" ht="15">
      <c r="A22" s="379"/>
      <c r="B22" s="581"/>
      <c r="C22" s="1959" t="s">
        <v>3410</v>
      </c>
      <c r="D22" s="399"/>
      <c r="E22" s="1959" t="s">
        <v>3410</v>
      </c>
      <c r="F22" s="399"/>
      <c r="G22" s="1959" t="s">
        <v>3410</v>
      </c>
      <c r="H22" s="399"/>
      <c r="I22" s="1959" t="s">
        <v>3410</v>
      </c>
      <c r="J22" s="399"/>
      <c r="K22" s="1126"/>
      <c r="L22" s="2715"/>
      <c r="M22" s="2709"/>
      <c r="N22" s="2709"/>
      <c r="O22" s="2709"/>
      <c r="P22" s="3719"/>
      <c r="Q22" s="3483"/>
      <c r="R22" s="705"/>
      <c r="S22" s="706"/>
      <c r="T22" s="705"/>
      <c r="U22" s="706"/>
      <c r="V22" s="705"/>
      <c r="W22" s="706"/>
      <c r="X22" s="3480"/>
      <c r="Y22" s="3721"/>
      <c r="Z22" s="3481"/>
      <c r="AA22" s="3484">
        <v>1</v>
      </c>
      <c r="AB22" s="3484">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19"/>
      <c r="Q23" s="3483" t="str">
        <f>B23</f>
        <v>环境质量</v>
      </c>
      <c r="R23" s="705" t="s">
        <v>14</v>
      </c>
      <c r="S23" s="706">
        <f>F23</f>
        <v>100</v>
      </c>
      <c r="T23" s="705" t="s">
        <v>14</v>
      </c>
      <c r="U23" s="706">
        <f>H23</f>
        <v>100</v>
      </c>
      <c r="V23" s="705" t="s">
        <v>14</v>
      </c>
      <c r="W23" s="706">
        <f>J23</f>
        <v>100</v>
      </c>
      <c r="X23" s="3480"/>
      <c r="Y23" s="3721"/>
      <c r="Z23" s="3481" t="str">
        <f>Q23</f>
        <v>环境质量</v>
      </c>
      <c r="AA23" s="3484">
        <f t="shared" si="3"/>
        <v>1</v>
      </c>
      <c r="AB23" s="3484">
        <f t="shared" si="4"/>
        <v>1</v>
      </c>
      <c r="AC23" s="1957">
        <f t="shared" si="5"/>
        <v>1</v>
      </c>
    </row>
    <row r="24" spans="1:29" ht="15">
      <c r="A24" s="379"/>
      <c r="B24" s="581"/>
      <c r="C24" s="1900" t="s">
        <v>3406</v>
      </c>
      <c r="D24" s="399"/>
      <c r="E24" s="1900" t="s">
        <v>3406</v>
      </c>
      <c r="F24" s="399"/>
      <c r="G24" s="1900" t="s">
        <v>3406</v>
      </c>
      <c r="H24" s="399"/>
      <c r="I24" s="1900" t="s">
        <v>3406</v>
      </c>
      <c r="J24" s="399"/>
      <c r="K24" s="564"/>
      <c r="L24" s="2715"/>
      <c r="M24" s="2709"/>
      <c r="N24" s="2709"/>
      <c r="O24" s="2709"/>
      <c r="P24" s="3719"/>
      <c r="Q24" s="3483"/>
      <c r="R24" s="705"/>
      <c r="S24" s="706"/>
      <c r="T24" s="705"/>
      <c r="U24" s="706"/>
      <c r="V24" s="705"/>
      <c r="W24" s="706"/>
      <c r="X24" s="3480"/>
      <c r="Y24" s="3721"/>
      <c r="Z24" s="3481"/>
      <c r="AA24" s="3484">
        <v>1</v>
      </c>
      <c r="AB24" s="3484">
        <v>1</v>
      </c>
      <c r="AC24" s="1957">
        <v>1</v>
      </c>
    </row>
    <row r="25" spans="1:29" ht="27" hidden="1">
      <c r="A25" s="358"/>
      <c r="B25" s="579" t="s">
        <v>1810</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9"/>
      <c r="Q25" s="3483" t="str">
        <f>B25</f>
        <v>毗邻道路的类型与等级</v>
      </c>
      <c r="R25" s="705" t="s">
        <v>14</v>
      </c>
      <c r="S25" s="706">
        <f>F25</f>
        <v>100</v>
      </c>
      <c r="T25" s="705" t="s">
        <v>14</v>
      </c>
      <c r="U25" s="706">
        <f>H25</f>
        <v>100</v>
      </c>
      <c r="V25" s="705" t="s">
        <v>14</v>
      </c>
      <c r="W25" s="706">
        <f>J25</f>
        <v>100</v>
      </c>
      <c r="X25" s="3480"/>
      <c r="Y25" s="3721"/>
      <c r="Z25" s="3481" t="str">
        <f>Q25</f>
        <v>毗邻道路的类型与等级</v>
      </c>
      <c r="AA25" s="3484">
        <f t="shared" si="3"/>
        <v>1</v>
      </c>
      <c r="AB25" s="3484">
        <f t="shared" si="4"/>
        <v>1</v>
      </c>
      <c r="AC25" s="1957">
        <f t="shared" si="5"/>
        <v>1</v>
      </c>
    </row>
    <row r="26" spans="1:29" ht="15" hidden="1">
      <c r="A26" s="358"/>
      <c r="B26" s="580"/>
      <c r="C26" s="582"/>
      <c r="D26" s="386"/>
      <c r="E26" s="565"/>
      <c r="F26" s="386"/>
      <c r="G26" s="582"/>
      <c r="H26" s="386"/>
      <c r="I26" s="565"/>
      <c r="J26" s="386"/>
      <c r="K26" s="564"/>
      <c r="L26" s="2715"/>
      <c r="M26" s="2709"/>
      <c r="N26" s="2709"/>
      <c r="O26" s="2709"/>
      <c r="P26" s="3719"/>
      <c r="Q26" s="3483"/>
      <c r="R26" s="705"/>
      <c r="S26" s="706"/>
      <c r="T26" s="705"/>
      <c r="U26" s="706"/>
      <c r="V26" s="705"/>
      <c r="W26" s="706"/>
      <c r="X26" s="3480"/>
      <c r="Y26" s="3721"/>
      <c r="Z26" s="3481"/>
      <c r="AA26" s="3484">
        <v>1</v>
      </c>
      <c r="AB26" s="3484">
        <v>1</v>
      </c>
      <c r="AC26" s="1957">
        <v>1</v>
      </c>
    </row>
    <row r="27" spans="1:29" ht="15.75" thickBot="1">
      <c r="A27" s="379"/>
      <c r="B27" s="580" t="s">
        <v>1778</v>
      </c>
      <c r="C27" s="582" t="s">
        <v>3420</v>
      </c>
      <c r="D27" s="386">
        <v>100</v>
      </c>
      <c r="E27" s="565" t="s">
        <v>3420</v>
      </c>
      <c r="F27" s="386">
        <f>SUMIF(89:89,E27,90:90)-SUMIF(89:89,C27,90:90)+100</f>
        <v>100</v>
      </c>
      <c r="G27" s="582" t="s">
        <v>3417</v>
      </c>
      <c r="H27" s="386">
        <f>SUMIF(89:89,G27,90:90)-SUMIF(89:89,C27,90:90)+100</f>
        <v>104</v>
      </c>
      <c r="I27" s="565" t="s">
        <v>3420</v>
      </c>
      <c r="J27" s="386">
        <f>SUMIF(89:89,I27,90:90)-SUMIF(89:89,C27,90:90)+100</f>
        <v>100</v>
      </c>
      <c r="K27" s="561">
        <v>2</v>
      </c>
      <c r="L27" s="2715"/>
      <c r="M27" s="2709"/>
      <c r="N27" s="2709"/>
      <c r="O27" s="2709"/>
      <c r="P27" s="3719"/>
      <c r="Q27" s="3483" t="str">
        <f t="shared" ref="Q27:Q47" si="11">B27</f>
        <v>楼层</v>
      </c>
      <c r="R27" s="705" t="s">
        <v>14</v>
      </c>
      <c r="S27" s="706">
        <f>F27</f>
        <v>100</v>
      </c>
      <c r="T27" s="705" t="s">
        <v>14</v>
      </c>
      <c r="U27" s="706">
        <f>H27</f>
        <v>104</v>
      </c>
      <c r="V27" s="705" t="s">
        <v>14</v>
      </c>
      <c r="W27" s="706">
        <f>J27</f>
        <v>100</v>
      </c>
      <c r="X27" s="3480"/>
      <c r="Y27" s="3721"/>
      <c r="Z27" s="3481" t="str">
        <f>Q27</f>
        <v>楼层</v>
      </c>
      <c r="AA27" s="3484">
        <f t="shared" si="3"/>
        <v>1</v>
      </c>
      <c r="AB27" s="3484">
        <f t="shared" si="4"/>
        <v>0.96153846153846156</v>
      </c>
      <c r="AC27" s="1957">
        <f t="shared" si="5"/>
        <v>1</v>
      </c>
    </row>
    <row r="28" spans="1:29" s="108" customFormat="1" ht="15.75" hidden="1" thickBot="1">
      <c r="A28" s="382"/>
      <c r="B28" s="579" t="s">
        <v>1811</v>
      </c>
      <c r="C28" s="1960"/>
      <c r="D28" s="413">
        <v>100</v>
      </c>
      <c r="E28" s="1952"/>
      <c r="F28" s="413">
        <f>SUMIF(91:91,E28,92:92)-SUMIF(91:91,C28,92:92)+100</f>
        <v>100</v>
      </c>
      <c r="G28" s="1960"/>
      <c r="H28" s="413">
        <f>SUMIF(91:91,G28,92:92)-SUMIF(91:91,C28,92:92)+100</f>
        <v>100</v>
      </c>
      <c r="I28" s="1952"/>
      <c r="J28" s="413">
        <f>SUMIF(91:91,I28,92:92)-SUMIF(91:91,C28,92:92)+100</f>
        <v>100</v>
      </c>
      <c r="K28" s="561"/>
      <c r="L28" s="2710"/>
      <c r="M28" s="2711"/>
      <c r="N28" s="2711"/>
      <c r="O28" s="2711"/>
      <c r="P28" s="3719"/>
      <c r="Q28" s="3477" t="str">
        <f t="shared" si="11"/>
        <v>朝向</v>
      </c>
      <c r="R28" s="701" t="s">
        <v>14</v>
      </c>
      <c r="S28" s="702">
        <f>F28</f>
        <v>100</v>
      </c>
      <c r="T28" s="701" t="s">
        <v>14</v>
      </c>
      <c r="U28" s="702">
        <f>H28</f>
        <v>100</v>
      </c>
      <c r="V28" s="701" t="s">
        <v>14</v>
      </c>
      <c r="W28" s="702">
        <f>J28</f>
        <v>100</v>
      </c>
      <c r="X28" s="703"/>
      <c r="Y28" s="3721"/>
      <c r="Z28" s="3459" t="str">
        <f>Q28</f>
        <v>朝向</v>
      </c>
      <c r="AA28" s="3484">
        <f>D28/F28</f>
        <v>1</v>
      </c>
      <c r="AB28" s="3484">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5"/>
      <c r="M29" s="2709"/>
      <c r="N29" s="2709"/>
      <c r="O29" s="2709"/>
      <c r="P29" s="3719"/>
      <c r="Q29" s="3483">
        <f t="shared" si="11"/>
        <v>111</v>
      </c>
      <c r="R29" s="705" t="s">
        <v>14</v>
      </c>
      <c r="S29" s="706">
        <f t="shared" ref="S29:S47" si="12">F29</f>
        <v>100</v>
      </c>
      <c r="T29" s="705" t="s">
        <v>14</v>
      </c>
      <c r="U29" s="706">
        <f t="shared" ref="U29:U47" si="13">H29</f>
        <v>100</v>
      </c>
      <c r="V29" s="705" t="s">
        <v>14</v>
      </c>
      <c r="W29" s="706">
        <f t="shared" ref="W29:W47" si="14">J29</f>
        <v>100</v>
      </c>
      <c r="X29" s="3480"/>
      <c r="Y29" s="3721"/>
      <c r="Z29" s="3481">
        <f t="shared" ref="Z29:Z47" si="15">Q29</f>
        <v>111</v>
      </c>
      <c r="AA29" s="3484">
        <f t="shared" si="3"/>
        <v>1</v>
      </c>
      <c r="AB29" s="3484">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5"/>
      <c r="M30" s="2709"/>
      <c r="N30" s="2709"/>
      <c r="O30" s="2709"/>
      <c r="P30" s="3719"/>
      <c r="Q30" s="3483">
        <f t="shared" si="11"/>
        <v>111</v>
      </c>
      <c r="R30" s="705" t="s">
        <v>14</v>
      </c>
      <c r="S30" s="706">
        <f t="shared" si="12"/>
        <v>100</v>
      </c>
      <c r="T30" s="705" t="s">
        <v>14</v>
      </c>
      <c r="U30" s="706">
        <f t="shared" si="13"/>
        <v>100</v>
      </c>
      <c r="V30" s="705" t="s">
        <v>14</v>
      </c>
      <c r="W30" s="706">
        <f t="shared" si="14"/>
        <v>100</v>
      </c>
      <c r="X30" s="3480"/>
      <c r="Y30" s="3721"/>
      <c r="Z30" s="3481">
        <f t="shared" si="15"/>
        <v>111</v>
      </c>
      <c r="AA30" s="3484">
        <f t="shared" si="3"/>
        <v>1</v>
      </c>
      <c r="AB30" s="3484">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5"/>
      <c r="M31" s="2709"/>
      <c r="N31" s="2709"/>
      <c r="O31" s="2709"/>
      <c r="P31" s="3719"/>
      <c r="Q31" s="3483">
        <f t="shared" si="11"/>
        <v>111</v>
      </c>
      <c r="R31" s="705" t="s">
        <v>14</v>
      </c>
      <c r="S31" s="706">
        <f t="shared" si="12"/>
        <v>100</v>
      </c>
      <c r="T31" s="705" t="s">
        <v>14</v>
      </c>
      <c r="U31" s="706">
        <f t="shared" si="13"/>
        <v>100</v>
      </c>
      <c r="V31" s="705" t="s">
        <v>14</v>
      </c>
      <c r="W31" s="706">
        <f t="shared" si="14"/>
        <v>100</v>
      </c>
      <c r="X31" s="3480"/>
      <c r="Y31" s="3721"/>
      <c r="Z31" s="3481">
        <f t="shared" si="15"/>
        <v>111</v>
      </c>
      <c r="AA31" s="3484">
        <f t="shared" si="3"/>
        <v>1</v>
      </c>
      <c r="AB31" s="3484">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5"/>
      <c r="M32" s="2709"/>
      <c r="N32" s="2709"/>
      <c r="O32" s="2709"/>
      <c r="P32" s="3719"/>
      <c r="Q32" s="3483">
        <f t="shared" si="11"/>
        <v>111</v>
      </c>
      <c r="R32" s="705" t="s">
        <v>14</v>
      </c>
      <c r="S32" s="706">
        <f t="shared" si="12"/>
        <v>100</v>
      </c>
      <c r="T32" s="705" t="s">
        <v>14</v>
      </c>
      <c r="U32" s="706">
        <f t="shared" si="13"/>
        <v>100</v>
      </c>
      <c r="V32" s="705" t="s">
        <v>14</v>
      </c>
      <c r="W32" s="706">
        <f t="shared" si="14"/>
        <v>100</v>
      </c>
      <c r="X32" s="3480"/>
      <c r="Y32" s="3721"/>
      <c r="Z32" s="3481">
        <f t="shared" si="15"/>
        <v>111</v>
      </c>
      <c r="AA32" s="3484">
        <f t="shared" si="3"/>
        <v>1</v>
      </c>
      <c r="AB32" s="3484">
        <f t="shared" si="4"/>
        <v>1</v>
      </c>
      <c r="AC32" s="1957">
        <f t="shared" si="5"/>
        <v>1</v>
      </c>
    </row>
    <row r="33" spans="1:29" ht="15">
      <c r="A33" s="391" t="s">
        <v>1689</v>
      </c>
      <c r="B33" s="63" t="s">
        <v>1812</v>
      </c>
      <c r="C33" s="1962" t="s">
        <v>3392</v>
      </c>
      <c r="D33" s="418">
        <v>100</v>
      </c>
      <c r="E33" s="1962" t="s">
        <v>3392</v>
      </c>
      <c r="F33" s="412">
        <f>SUMIF(101:101,E33,102:102)-SUMIF(101:101,C33,102:102)+100</f>
        <v>100</v>
      </c>
      <c r="G33" s="1962" t="s">
        <v>3392</v>
      </c>
      <c r="H33" s="386">
        <f>SUMIF(101:101,G33,102:102)-SUMIF(101:101,C33,102:102)+100</f>
        <v>100</v>
      </c>
      <c r="I33" s="1962" t="s">
        <v>3392</v>
      </c>
      <c r="J33" s="418">
        <f>SUMIF(101:101,I33,102:102)-SUMIF(101:101,C33,102:102)+100</f>
        <v>100</v>
      </c>
      <c r="K33" s="561">
        <v>2</v>
      </c>
      <c r="L33" s="2715"/>
      <c r="M33" s="2709"/>
      <c r="N33" s="2709"/>
      <c r="O33" s="2709"/>
      <c r="P33" s="3722" t="s">
        <v>1691</v>
      </c>
      <c r="Q33" s="3483" t="str">
        <f t="shared" si="11"/>
        <v>建筑类型</v>
      </c>
      <c r="R33" s="705" t="s">
        <v>14</v>
      </c>
      <c r="S33" s="706">
        <f t="shared" si="12"/>
        <v>100</v>
      </c>
      <c r="T33" s="705" t="s">
        <v>14</v>
      </c>
      <c r="U33" s="706">
        <f t="shared" si="13"/>
        <v>100</v>
      </c>
      <c r="V33" s="705" t="s">
        <v>14</v>
      </c>
      <c r="W33" s="706">
        <f t="shared" si="14"/>
        <v>100</v>
      </c>
      <c r="X33" s="3480"/>
      <c r="Y33" s="3725" t="s">
        <v>1691</v>
      </c>
      <c r="Z33" s="3481" t="str">
        <f t="shared" si="15"/>
        <v>建筑类型</v>
      </c>
      <c r="AA33" s="3484">
        <f t="shared" si="3"/>
        <v>1</v>
      </c>
      <c r="AB33" s="3484">
        <f t="shared" si="4"/>
        <v>1</v>
      </c>
      <c r="AC33" s="1957">
        <f t="shared" si="5"/>
        <v>1</v>
      </c>
    </row>
    <row r="34" spans="1:29" s="422" customFormat="1" ht="15">
      <c r="A34" s="419"/>
      <c r="B34" s="375" t="s">
        <v>1692</v>
      </c>
      <c r="C34" s="420">
        <f>D3</f>
        <v>346.45</v>
      </c>
      <c r="D34" s="127">
        <v>100</v>
      </c>
      <c r="E34" s="381">
        <v>1432.25</v>
      </c>
      <c r="F34" s="376">
        <f>LOOKUP(E34,104:104,105:105)-LOOKUP(C34,104:104,105:105)+100</f>
        <v>97</v>
      </c>
      <c r="G34" s="380">
        <v>111</v>
      </c>
      <c r="H34" s="127">
        <f>LOOKUP(G34,104:104,105:105)-LOOKUP(C34,104:104,105:105)+100</f>
        <v>99</v>
      </c>
      <c r="I34" s="380">
        <v>99</v>
      </c>
      <c r="J34" s="127">
        <f>LOOKUP(I34,104:104,105:105)-LOOKUP(C34,104:104,105:105)+100</f>
        <v>98</v>
      </c>
      <c r="K34" s="562"/>
      <c r="L34" s="2714"/>
      <c r="M34" s="2716"/>
      <c r="N34" s="2716"/>
      <c r="O34" s="2716"/>
      <c r="P34" s="3723"/>
      <c r="Q34" s="707" t="str">
        <f t="shared" si="11"/>
        <v>项目建筑规模</v>
      </c>
      <c r="R34" s="708" t="s">
        <v>14</v>
      </c>
      <c r="S34" s="709">
        <f t="shared" si="12"/>
        <v>97</v>
      </c>
      <c r="T34" s="708" t="s">
        <v>14</v>
      </c>
      <c r="U34" s="709">
        <f t="shared" si="13"/>
        <v>99</v>
      </c>
      <c r="V34" s="708" t="s">
        <v>14</v>
      </c>
      <c r="W34" s="709">
        <f t="shared" si="14"/>
        <v>98</v>
      </c>
      <c r="X34" s="710"/>
      <c r="Y34" s="3725"/>
      <c r="Z34" s="711" t="str">
        <f t="shared" si="15"/>
        <v>项目建筑规模</v>
      </c>
      <c r="AA34" s="3484">
        <f t="shared" si="3"/>
        <v>1.0309278350515463</v>
      </c>
      <c r="AB34" s="3484">
        <f t="shared" si="4"/>
        <v>1.0101010101010102</v>
      </c>
      <c r="AC34" s="1957">
        <f t="shared" si="5"/>
        <v>1.0204081632653061</v>
      </c>
    </row>
    <row r="35" spans="1:29" ht="15">
      <c r="A35" s="423"/>
      <c r="B35" s="375" t="s">
        <v>1693</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1</v>
      </c>
      <c r="L35" s="2715"/>
      <c r="M35" s="2709"/>
      <c r="N35" s="2709"/>
      <c r="O35" s="2709"/>
      <c r="P35" s="3723"/>
      <c r="Q35" s="3483" t="str">
        <f t="shared" si="11"/>
        <v>建筑结构</v>
      </c>
      <c r="R35" s="705" t="s">
        <v>14</v>
      </c>
      <c r="S35" s="706">
        <f t="shared" si="12"/>
        <v>100</v>
      </c>
      <c r="T35" s="705" t="s">
        <v>14</v>
      </c>
      <c r="U35" s="706">
        <f t="shared" si="13"/>
        <v>100</v>
      </c>
      <c r="V35" s="705" t="s">
        <v>14</v>
      </c>
      <c r="W35" s="706">
        <f t="shared" si="14"/>
        <v>100</v>
      </c>
      <c r="X35" s="3480"/>
      <c r="Y35" s="3725"/>
      <c r="Z35" s="3481" t="str">
        <f t="shared" si="15"/>
        <v>建筑结构</v>
      </c>
      <c r="AA35" s="3484">
        <f t="shared" si="3"/>
        <v>1</v>
      </c>
      <c r="AB35" s="3484">
        <f t="shared" si="4"/>
        <v>1</v>
      </c>
      <c r="AC35" s="1957">
        <f t="shared" si="5"/>
        <v>1</v>
      </c>
    </row>
    <row r="36" spans="1:29" ht="15">
      <c r="A36" s="423"/>
      <c r="B36" s="375" t="s">
        <v>1780</v>
      </c>
      <c r="C36" s="411" t="s">
        <v>3395</v>
      </c>
      <c r="D36" s="386">
        <v>100</v>
      </c>
      <c r="E36" s="411" t="s">
        <v>3395</v>
      </c>
      <c r="F36" s="412">
        <f>SUMIF(108:108,E36,109:109)-SUMIF(108:108,C36,109:109)+100</f>
        <v>100</v>
      </c>
      <c r="G36" s="411" t="s">
        <v>3395</v>
      </c>
      <c r="H36" s="386">
        <f>SUMIF(108:108,G36,109:109)-SUMIF(108:108,C36,109:109)+100</f>
        <v>100</v>
      </c>
      <c r="I36" s="411" t="s">
        <v>3395</v>
      </c>
      <c r="J36" s="386">
        <f>SUMIF(108:108,I36,109:109)-SUMIF(108:108,C36,109:109)+100</f>
        <v>100</v>
      </c>
      <c r="K36" s="561">
        <v>2</v>
      </c>
      <c r="L36" s="2715"/>
      <c r="M36" s="2709"/>
      <c r="N36" s="2709"/>
      <c r="O36" s="2709"/>
      <c r="P36" s="3723"/>
      <c r="Q36" s="3483" t="str">
        <f t="shared" si="11"/>
        <v>公共部分装修</v>
      </c>
      <c r="R36" s="705" t="s">
        <v>14</v>
      </c>
      <c r="S36" s="706">
        <f t="shared" si="12"/>
        <v>100</v>
      </c>
      <c r="T36" s="705" t="s">
        <v>14</v>
      </c>
      <c r="U36" s="706">
        <f t="shared" si="13"/>
        <v>100</v>
      </c>
      <c r="V36" s="705" t="s">
        <v>14</v>
      </c>
      <c r="W36" s="706">
        <f t="shared" si="14"/>
        <v>100</v>
      </c>
      <c r="X36" s="3480"/>
      <c r="Y36" s="3725"/>
      <c r="Z36" s="3481" t="str">
        <f t="shared" si="15"/>
        <v>公共部分装修</v>
      </c>
      <c r="AA36" s="3484">
        <f t="shared" si="3"/>
        <v>1</v>
      </c>
      <c r="AB36" s="3484">
        <f t="shared" si="4"/>
        <v>1</v>
      </c>
      <c r="AC36" s="1957">
        <f t="shared" si="5"/>
        <v>1</v>
      </c>
    </row>
    <row r="37" spans="1:29" ht="15">
      <c r="A37" s="423"/>
      <c r="B37" s="375" t="s">
        <v>1781</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1</v>
      </c>
      <c r="L37" s="2715"/>
      <c r="M37" s="2709"/>
      <c r="N37" s="2709"/>
      <c r="O37" s="2709"/>
      <c r="P37" s="3723"/>
      <c r="Q37" s="3483" t="str">
        <f t="shared" si="11"/>
        <v>成新度</v>
      </c>
      <c r="R37" s="705" t="s">
        <v>14</v>
      </c>
      <c r="S37" s="706">
        <f t="shared" si="12"/>
        <v>100</v>
      </c>
      <c r="T37" s="705" t="s">
        <v>14</v>
      </c>
      <c r="U37" s="706">
        <f t="shared" si="13"/>
        <v>100</v>
      </c>
      <c r="V37" s="705" t="s">
        <v>14</v>
      </c>
      <c r="W37" s="706">
        <f t="shared" si="14"/>
        <v>100</v>
      </c>
      <c r="X37" s="3480"/>
      <c r="Y37" s="3725"/>
      <c r="Z37" s="3481" t="str">
        <f t="shared" si="15"/>
        <v>成新度</v>
      </c>
      <c r="AA37" s="3484">
        <f t="shared" si="3"/>
        <v>1</v>
      </c>
      <c r="AB37" s="3484">
        <f t="shared" si="4"/>
        <v>1</v>
      </c>
      <c r="AC37" s="1957">
        <f t="shared" si="5"/>
        <v>1</v>
      </c>
    </row>
    <row r="38" spans="1:29" s="108" customFormat="1" ht="15">
      <c r="A38" s="424"/>
      <c r="B38" s="375" t="s">
        <v>1813</v>
      </c>
      <c r="C38" s="411" t="s">
        <v>3403</v>
      </c>
      <c r="D38" s="127">
        <v>100</v>
      </c>
      <c r="E38" s="411" t="s">
        <v>3403</v>
      </c>
      <c r="F38" s="412">
        <f>SUMIF(113:113,E38,114:114)-SUMIF(113:113,C38,114:114)+100</f>
        <v>100</v>
      </c>
      <c r="G38" s="411" t="s">
        <v>3403</v>
      </c>
      <c r="H38" s="386">
        <f>SUMIF(113:113,G38,114:114)-SUMIF(113:113,C38,114:114)+100</f>
        <v>100</v>
      </c>
      <c r="I38" s="411" t="s">
        <v>3403</v>
      </c>
      <c r="J38" s="386">
        <f>SUMIF(113:113,I38,114:114)-SUMIF(113:113,C38,114:114)+100</f>
        <v>100</v>
      </c>
      <c r="K38" s="561">
        <v>2</v>
      </c>
      <c r="L38" s="2710"/>
      <c r="M38" s="2711"/>
      <c r="N38" s="2711"/>
      <c r="O38" s="2711"/>
      <c r="P38" s="3723"/>
      <c r="Q38" s="3477" t="str">
        <f t="shared" si="11"/>
        <v>写字楼等级</v>
      </c>
      <c r="R38" s="701" t="s">
        <v>14</v>
      </c>
      <c r="S38" s="702">
        <f t="shared" si="12"/>
        <v>100</v>
      </c>
      <c r="T38" s="701" t="s">
        <v>14</v>
      </c>
      <c r="U38" s="702">
        <f t="shared" si="13"/>
        <v>100</v>
      </c>
      <c r="V38" s="701" t="s">
        <v>14</v>
      </c>
      <c r="W38" s="702">
        <f t="shared" si="14"/>
        <v>100</v>
      </c>
      <c r="X38" s="703"/>
      <c r="Y38" s="3725"/>
      <c r="Z38" s="3459" t="str">
        <f t="shared" si="15"/>
        <v>写字楼等级</v>
      </c>
      <c r="AA38" s="704">
        <f t="shared" si="3"/>
        <v>1</v>
      </c>
      <c r="AB38" s="704">
        <f t="shared" si="4"/>
        <v>1</v>
      </c>
      <c r="AC38" s="1954">
        <f t="shared" si="5"/>
        <v>1</v>
      </c>
    </row>
    <row r="39" spans="1:29" ht="15">
      <c r="A39" s="423"/>
      <c r="B39" s="375" t="s">
        <v>1814</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v>1</v>
      </c>
      <c r="L39" s="2715"/>
      <c r="M39" s="2709"/>
      <c r="N39" s="2709"/>
      <c r="O39" s="2709"/>
      <c r="P39" s="3723" t="s">
        <v>1691</v>
      </c>
      <c r="Q39" s="3483" t="str">
        <f t="shared" si="11"/>
        <v>物业管理</v>
      </c>
      <c r="R39" s="705" t="s">
        <v>14</v>
      </c>
      <c r="S39" s="706">
        <f t="shared" si="12"/>
        <v>100</v>
      </c>
      <c r="T39" s="705" t="s">
        <v>14</v>
      </c>
      <c r="U39" s="706">
        <f t="shared" si="13"/>
        <v>100</v>
      </c>
      <c r="V39" s="705" t="s">
        <v>14</v>
      </c>
      <c r="W39" s="706">
        <f t="shared" si="14"/>
        <v>100</v>
      </c>
      <c r="X39" s="3480"/>
      <c r="Y39" s="3725" t="s">
        <v>1691</v>
      </c>
      <c r="Z39" s="3481" t="str">
        <f t="shared" si="15"/>
        <v>物业管理</v>
      </c>
      <c r="AA39" s="3484">
        <f t="shared" si="3"/>
        <v>1</v>
      </c>
      <c r="AB39" s="3484">
        <f t="shared" si="4"/>
        <v>1</v>
      </c>
      <c r="AC39" s="1957">
        <f t="shared" si="5"/>
        <v>1</v>
      </c>
    </row>
    <row r="40" spans="1:29" ht="15">
      <c r="A40" s="423"/>
      <c r="B40" s="375" t="s">
        <v>1782</v>
      </c>
      <c r="C40" s="411" t="s">
        <v>3412</v>
      </c>
      <c r="D40" s="386">
        <v>100</v>
      </c>
      <c r="E40" s="411" t="s">
        <v>3412</v>
      </c>
      <c r="F40" s="412">
        <f>SUMIF(117:117,E40,118:118)-SUMIF(117:117,C40,118:118)+100</f>
        <v>100</v>
      </c>
      <c r="G40" s="411" t="s">
        <v>3412</v>
      </c>
      <c r="H40" s="386">
        <f>SUMIF(117:117,G40,118:118)-SUMIF(117:117,C40,118:118)+100</f>
        <v>100</v>
      </c>
      <c r="I40" s="411" t="s">
        <v>3412</v>
      </c>
      <c r="J40" s="386">
        <f>SUMIF(117:117,I40,118:118)-SUMIF(117:117,C40,118:118)+100</f>
        <v>100</v>
      </c>
      <c r="K40" s="561">
        <v>1</v>
      </c>
      <c r="L40" s="2715"/>
      <c r="M40" s="2709"/>
      <c r="N40" s="2709"/>
      <c r="O40" s="2709"/>
      <c r="P40" s="3723"/>
      <c r="Q40" s="3483" t="str">
        <f t="shared" si="11"/>
        <v>市政基础设施</v>
      </c>
      <c r="R40" s="705" t="s">
        <v>14</v>
      </c>
      <c r="S40" s="706">
        <f t="shared" si="12"/>
        <v>100</v>
      </c>
      <c r="T40" s="705" t="s">
        <v>14</v>
      </c>
      <c r="U40" s="706">
        <f t="shared" si="13"/>
        <v>100</v>
      </c>
      <c r="V40" s="705" t="s">
        <v>14</v>
      </c>
      <c r="W40" s="706">
        <f t="shared" si="14"/>
        <v>100</v>
      </c>
      <c r="X40" s="3480"/>
      <c r="Y40" s="3725"/>
      <c r="Z40" s="3481" t="str">
        <f t="shared" si="15"/>
        <v>市政基础设施</v>
      </c>
      <c r="AA40" s="3484">
        <f t="shared" si="3"/>
        <v>1</v>
      </c>
      <c r="AB40" s="3484">
        <f t="shared" si="4"/>
        <v>1</v>
      </c>
      <c r="AC40" s="1957">
        <f t="shared" si="5"/>
        <v>1</v>
      </c>
    </row>
    <row r="41" spans="1:29" ht="15">
      <c r="A41" s="423"/>
      <c r="B41" s="375" t="s">
        <v>1784</v>
      </c>
      <c r="C41" s="565" t="s">
        <v>3415</v>
      </c>
      <c r="D41" s="386">
        <v>100</v>
      </c>
      <c r="E41" s="565" t="s">
        <v>3415</v>
      </c>
      <c r="F41" s="412">
        <f>SUMIF(119:119,E41,120:120)-SUMIF(119:119,C41,120:120)+100</f>
        <v>100</v>
      </c>
      <c r="G41" s="565" t="s">
        <v>3415</v>
      </c>
      <c r="H41" s="386">
        <f>SUMIF(119:119,G41,120:120)-SUMIF(119:119,C41,120:120)+100</f>
        <v>100</v>
      </c>
      <c r="I41" s="565" t="s">
        <v>3415</v>
      </c>
      <c r="J41" s="386">
        <f>SUMIF(119:119,I41,120:120)-SUMIF(119:119,C41,120:120)+100</f>
        <v>100</v>
      </c>
      <c r="K41" s="561">
        <v>2</v>
      </c>
      <c r="L41" s="2715"/>
      <c r="M41" s="2709"/>
      <c r="N41" s="2709"/>
      <c r="O41" s="2709"/>
      <c r="P41" s="3723"/>
      <c r="Q41" s="3483" t="str">
        <f t="shared" si="11"/>
        <v>层高</v>
      </c>
      <c r="R41" s="705" t="s">
        <v>14</v>
      </c>
      <c r="S41" s="706">
        <f t="shared" si="12"/>
        <v>100</v>
      </c>
      <c r="T41" s="705" t="s">
        <v>14</v>
      </c>
      <c r="U41" s="706">
        <f t="shared" si="13"/>
        <v>100</v>
      </c>
      <c r="V41" s="705" t="s">
        <v>14</v>
      </c>
      <c r="W41" s="706">
        <f t="shared" si="14"/>
        <v>100</v>
      </c>
      <c r="X41" s="3480"/>
      <c r="Y41" s="3725"/>
      <c r="Z41" s="3481" t="str">
        <f t="shared" si="15"/>
        <v>层高</v>
      </c>
      <c r="AA41" s="3484">
        <f t="shared" si="3"/>
        <v>1</v>
      </c>
      <c r="AB41" s="3484">
        <f t="shared" si="4"/>
        <v>1</v>
      </c>
      <c r="AC41" s="1957">
        <f t="shared" si="5"/>
        <v>1</v>
      </c>
    </row>
    <row r="42" spans="1:29" s="422" customFormat="1" ht="15" hidden="1">
      <c r="A42" s="419"/>
      <c r="B42" s="3482"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3484">
        <f t="shared" si="3"/>
        <v>1</v>
      </c>
      <c r="AB42" s="3484">
        <f t="shared" si="4"/>
        <v>1</v>
      </c>
      <c r="AC42" s="1957">
        <f t="shared" si="5"/>
        <v>1</v>
      </c>
    </row>
    <row r="43" spans="1:29" ht="15">
      <c r="A43" s="423"/>
      <c r="B43" s="375" t="s">
        <v>1787</v>
      </c>
      <c r="C43" s="411" t="s">
        <v>3397</v>
      </c>
      <c r="D43" s="386">
        <v>100</v>
      </c>
      <c r="E43" s="411" t="s">
        <v>3397</v>
      </c>
      <c r="F43" s="412">
        <f>SUMIF(123:123,E43,124:124)-SUMIF(123:123,C43,124:124)+100</f>
        <v>100</v>
      </c>
      <c r="G43" s="411" t="s">
        <v>3397</v>
      </c>
      <c r="H43" s="386">
        <f>SUMIF(123:123,G43,124:124)-SUMIF(123:123,C43,124:124)+100</f>
        <v>100</v>
      </c>
      <c r="I43" s="411" t="s">
        <v>3397</v>
      </c>
      <c r="J43" s="386">
        <f>SUMIF(123:123,I43,124:124)-SUMIF(123:123,C43,124:124)+100</f>
        <v>100</v>
      </c>
      <c r="K43" s="561">
        <v>2</v>
      </c>
      <c r="L43" s="2715"/>
      <c r="M43" s="2709"/>
      <c r="N43" s="2709"/>
      <c r="O43" s="2709"/>
      <c r="P43" s="3723"/>
      <c r="Q43" s="3483" t="str">
        <f t="shared" si="11"/>
        <v>内部装修</v>
      </c>
      <c r="R43" s="705" t="s">
        <v>14</v>
      </c>
      <c r="S43" s="706">
        <f t="shared" si="12"/>
        <v>100</v>
      </c>
      <c r="T43" s="705" t="s">
        <v>14</v>
      </c>
      <c r="U43" s="706">
        <f t="shared" si="13"/>
        <v>100</v>
      </c>
      <c r="V43" s="705" t="s">
        <v>14</v>
      </c>
      <c r="W43" s="706">
        <f t="shared" si="14"/>
        <v>100</v>
      </c>
      <c r="X43" s="3480"/>
      <c r="Y43" s="3725"/>
      <c r="Z43" s="3481" t="str">
        <f t="shared" si="15"/>
        <v>内部装修</v>
      </c>
      <c r="AA43" s="3484">
        <f t="shared" si="3"/>
        <v>1</v>
      </c>
      <c r="AB43" s="3484">
        <f t="shared" si="4"/>
        <v>1</v>
      </c>
      <c r="AC43" s="1957">
        <f t="shared" si="5"/>
        <v>1</v>
      </c>
    </row>
    <row r="44" spans="1:29" ht="15.75" thickBot="1">
      <c r="A44" s="423"/>
      <c r="B44" s="375" t="s">
        <v>1702</v>
      </c>
      <c r="C44" s="411" t="s">
        <v>3406</v>
      </c>
      <c r="D44" s="386">
        <v>100</v>
      </c>
      <c r="E44" s="411" t="s">
        <v>3406</v>
      </c>
      <c r="F44" s="412">
        <f>SUMIF(125:125,E44,126:126)-SUMIF(125:125,C44,126:126)+100</f>
        <v>100</v>
      </c>
      <c r="G44" s="411" t="s">
        <v>3406</v>
      </c>
      <c r="H44" s="386">
        <f>SUMIF(125:125,G44,126:126)-SUMIF(125:125,C44,126:126)+100</f>
        <v>100</v>
      </c>
      <c r="I44" s="411" t="s">
        <v>3406</v>
      </c>
      <c r="J44" s="386">
        <f>SUMIF(125:125,I44,126:126)-SUMIF(125:125,C44,126:126)+100</f>
        <v>100</v>
      </c>
      <c r="K44" s="561">
        <v>1</v>
      </c>
      <c r="L44" s="2715"/>
      <c r="M44" s="2709"/>
      <c r="N44" s="2709"/>
      <c r="O44" s="2709"/>
      <c r="P44" s="3723"/>
      <c r="Q44" s="3483" t="str">
        <f t="shared" si="11"/>
        <v>内部装修维护情况</v>
      </c>
      <c r="R44" s="705" t="s">
        <v>14</v>
      </c>
      <c r="S44" s="706">
        <f t="shared" si="12"/>
        <v>100</v>
      </c>
      <c r="T44" s="705" t="s">
        <v>14</v>
      </c>
      <c r="U44" s="706">
        <f t="shared" si="13"/>
        <v>100</v>
      </c>
      <c r="V44" s="705" t="s">
        <v>14</v>
      </c>
      <c r="W44" s="706">
        <f t="shared" si="14"/>
        <v>100</v>
      </c>
      <c r="X44" s="3480"/>
      <c r="Y44" s="3725"/>
      <c r="Z44" s="3481" t="str">
        <f t="shared" si="15"/>
        <v>内部装修维护情况</v>
      </c>
      <c r="AA44" s="3484">
        <f t="shared" si="3"/>
        <v>1</v>
      </c>
      <c r="AB44" s="3484">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3"/>
      <c r="Q45" s="3477">
        <f t="shared" si="11"/>
        <v>111</v>
      </c>
      <c r="R45" s="701" t="s">
        <v>14</v>
      </c>
      <c r="S45" s="702">
        <f t="shared" si="12"/>
        <v>100</v>
      </c>
      <c r="T45" s="701" t="s">
        <v>14</v>
      </c>
      <c r="U45" s="702">
        <f t="shared" si="13"/>
        <v>100</v>
      </c>
      <c r="V45" s="701" t="s">
        <v>14</v>
      </c>
      <c r="W45" s="702">
        <f t="shared" si="14"/>
        <v>100</v>
      </c>
      <c r="X45" s="703"/>
      <c r="Y45" s="3725"/>
      <c r="Z45" s="3459">
        <f t="shared" si="15"/>
        <v>111</v>
      </c>
      <c r="AA45" s="704">
        <f t="shared" si="3"/>
        <v>1</v>
      </c>
      <c r="AB45" s="704">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3"/>
      <c r="Q46" s="3483">
        <f t="shared" si="11"/>
        <v>111</v>
      </c>
      <c r="R46" s="705" t="s">
        <v>14</v>
      </c>
      <c r="S46" s="706">
        <f t="shared" si="12"/>
        <v>100</v>
      </c>
      <c r="T46" s="705" t="s">
        <v>14</v>
      </c>
      <c r="U46" s="706">
        <f t="shared" si="13"/>
        <v>100</v>
      </c>
      <c r="V46" s="705" t="s">
        <v>14</v>
      </c>
      <c r="W46" s="706">
        <f t="shared" si="14"/>
        <v>100</v>
      </c>
      <c r="X46" s="3480"/>
      <c r="Y46" s="3725"/>
      <c r="Z46" s="3481">
        <f t="shared" si="15"/>
        <v>111</v>
      </c>
      <c r="AA46" s="3484">
        <f t="shared" si="3"/>
        <v>1</v>
      </c>
      <c r="AB46" s="3484">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4"/>
      <c r="Q47" s="3483">
        <f t="shared" si="11"/>
        <v>111</v>
      </c>
      <c r="R47" s="705" t="s">
        <v>14</v>
      </c>
      <c r="S47" s="706">
        <f t="shared" si="12"/>
        <v>100</v>
      </c>
      <c r="T47" s="705" t="s">
        <v>14</v>
      </c>
      <c r="U47" s="706">
        <f t="shared" si="13"/>
        <v>100</v>
      </c>
      <c r="V47" s="705" t="s">
        <v>14</v>
      </c>
      <c r="W47" s="706">
        <f t="shared" si="14"/>
        <v>100</v>
      </c>
      <c r="X47" s="3480"/>
      <c r="Y47" s="3726"/>
      <c r="Z47" s="3481">
        <f t="shared" si="15"/>
        <v>111</v>
      </c>
      <c r="AA47" s="3484">
        <f t="shared" si="3"/>
        <v>1</v>
      </c>
      <c r="AB47" s="3484">
        <f t="shared" si="4"/>
        <v>1</v>
      </c>
      <c r="AC47" s="1957">
        <f t="shared" si="5"/>
        <v>1</v>
      </c>
    </row>
    <row r="48" spans="1:29" ht="15">
      <c r="A48" s="430" t="s">
        <v>1703</v>
      </c>
      <c r="B48" s="431"/>
      <c r="C48" s="1150" t="s">
        <v>0</v>
      </c>
      <c r="D48" s="1151"/>
      <c r="E48" s="1152">
        <v>27998</v>
      </c>
      <c r="F48" s="1153"/>
      <c r="G48" s="1154">
        <v>29730</v>
      </c>
      <c r="H48" s="1155"/>
      <c r="I48" s="1152">
        <v>25758</v>
      </c>
      <c r="J48" s="436"/>
      <c r="K48" s="714"/>
      <c r="L48" s="2717"/>
      <c r="M48" s="2709"/>
      <c r="N48" s="2709"/>
      <c r="O48" s="2709"/>
      <c r="P48" s="3717" t="str">
        <f>A48</f>
        <v>成交单价（元/平方米）</v>
      </c>
      <c r="Q48" s="3727"/>
      <c r="R48" s="3728">
        <f>E48</f>
        <v>27998</v>
      </c>
      <c r="S48" s="3728"/>
      <c r="T48" s="3728">
        <f>G48</f>
        <v>29730</v>
      </c>
      <c r="U48" s="3728"/>
      <c r="V48" s="3728">
        <f>I48</f>
        <v>25758</v>
      </c>
      <c r="W48" s="3728"/>
      <c r="X48" s="397"/>
      <c r="Y48" s="712"/>
      <c r="Z48" s="397"/>
      <c r="AA48" s="397"/>
      <c r="AB48" s="397"/>
      <c r="AC48" s="578"/>
    </row>
    <row r="49" spans="1:29" ht="15.75" thickBot="1">
      <c r="A49" s="437" t="s">
        <v>1704</v>
      </c>
      <c r="B49" s="438"/>
      <c r="C49" s="1156">
        <f>R50</f>
        <v>27458</v>
      </c>
      <c r="D49" s="2312" t="s">
        <v>2133</v>
      </c>
      <c r="E49" s="1157">
        <f>R49</f>
        <v>28298</v>
      </c>
      <c r="F49" s="2313"/>
      <c r="G49" s="1156">
        <f>T49</f>
        <v>28309</v>
      </c>
      <c r="H49" s="2313"/>
      <c r="I49" s="1157">
        <f>V49</f>
        <v>25768</v>
      </c>
      <c r="J49" s="2313"/>
      <c r="K49" s="2315">
        <f>F49+H49+J49</f>
        <v>0</v>
      </c>
      <c r="L49" s="2717"/>
      <c r="M49" s="2709"/>
      <c r="N49" s="2709"/>
      <c r="O49" s="2709"/>
      <c r="P49" s="3717" t="str">
        <f>A49</f>
        <v>比较价值（元/平方米）</v>
      </c>
      <c r="Q49" s="3727"/>
      <c r="R49" s="3728">
        <f>IF(F1="售价",ROUND(PRODUCT(R48,AA7:AA47),0),ROUND(PRODUCT(R48,AA7:AA47),1))</f>
        <v>28298</v>
      </c>
      <c r="S49" s="3728"/>
      <c r="T49" s="3728">
        <f>IF(F1="售价",ROUND(PRODUCT(T48,AB7:AB47),0),ROUND(PRODUCT(T48,AB7:AB47),1))</f>
        <v>28309</v>
      </c>
      <c r="U49" s="3728"/>
      <c r="V49" s="3728">
        <f>IF(F1="售价",ROUND(PRODUCT(V48,AC7:AC47),0),ROUND(PRODUCT(V48,AC7:AC47),1))</f>
        <v>25768</v>
      </c>
      <c r="W49" s="3728"/>
      <c r="X49" s="397"/>
      <c r="Y49" s="397"/>
      <c r="Z49" s="397"/>
      <c r="AA49" s="397"/>
      <c r="AB49" s="397"/>
      <c r="AC49" s="578"/>
    </row>
    <row r="50" spans="1:29" ht="15.75" thickBot="1">
      <c r="A50" s="441" t="s">
        <v>1705</v>
      </c>
      <c r="B50" s="442"/>
      <c r="C50" s="1159">
        <f>R50</f>
        <v>27458</v>
      </c>
      <c r="D50" s="1159"/>
      <c r="E50" s="1159"/>
      <c r="F50" s="1159"/>
      <c r="G50" s="1159"/>
      <c r="H50" s="1159"/>
      <c r="I50" s="1159"/>
      <c r="J50" s="443"/>
      <c r="K50" s="715"/>
      <c r="L50" s="2717"/>
      <c r="M50" s="2709"/>
      <c r="N50" s="2709"/>
      <c r="O50" s="2709"/>
      <c r="P50" s="3729" t="str">
        <f>A50</f>
        <v>估价对象XX用房的比较价值（楼面单价，元/平方米）</v>
      </c>
      <c r="Q50" s="3730"/>
      <c r="R50" s="3731">
        <f>IF(F1="售价",ROUND(IF(D49="简单平均",AVERAGE(R49:V49),R49*F49+T49*H49+V49*J49),0),ROUND(IF(D49="简单平均",AVERAGE(R49:V49),R49*F49+T49*H49+V49*J49),1))</f>
        <v>27458</v>
      </c>
      <c r="S50" s="3731"/>
      <c r="T50" s="3731"/>
      <c r="U50" s="3731"/>
      <c r="V50" s="3731"/>
      <c r="W50" s="3731"/>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1706</v>
      </c>
      <c r="D53" s="447"/>
      <c r="E53" s="448">
        <f>IF(E48&lt;E49,E49/E48-1,E48/E49-1)</f>
        <v>1.0715051075076865E-2</v>
      </c>
      <c r="F53" s="449" t="str">
        <f>IF(OR(E53&gt;=0.3,E53&lt;=-0.3),"超过30%","")</f>
        <v/>
      </c>
      <c r="G53" s="448">
        <f>IF(G48&lt;G49,G49/G48-1,G48/G49-1)</f>
        <v>5.0196050725917596E-2</v>
      </c>
      <c r="H53" s="449" t="str">
        <f>IF(OR(G53&gt;=0.3,G53&lt;=-0.3),"超过30%","")</f>
        <v/>
      </c>
      <c r="I53" s="448">
        <f>IF(I48&lt;I49,I49/I48-1,I48/I49-1)</f>
        <v>3.8822889975920205E-4</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1707</v>
      </c>
      <c r="D54" s="450"/>
      <c r="E54" s="448">
        <f>IF(E49&lt;G49,G49/E49-1,E49/G49-1)</f>
        <v>3.8872005088697037E-4</v>
      </c>
      <c r="F54" s="449" t="str">
        <f>IF(OR(E54&gt;=0.2,E54&lt;=-0.2),"超过20%","")</f>
        <v/>
      </c>
      <c r="G54" s="448">
        <f>IF(G49&lt;I49,I49/G49-1,G49/I49-1)</f>
        <v>9.8610679913070376E-2</v>
      </c>
      <c r="H54" s="449" t="str">
        <f>IF(OR(G54&gt;=0.2,G54&lt;=-0.2),"超过20%","")</f>
        <v/>
      </c>
      <c r="I54" s="448">
        <f>IF(I49&lt;E49,E49/I49-1,I49/E49-1)</f>
        <v>9.8183793852840706E-2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1708</v>
      </c>
      <c r="D55" s="450"/>
      <c r="E55" s="448">
        <f>IF(E48&lt;G48,G48/E48-1,E48/G48-1)</f>
        <v>6.1861561540109911E-2</v>
      </c>
      <c r="F55" s="449" t="str">
        <f>IF(OR(E55&gt;=0.3,E55&lt;=-0.3),"超过30%","")</f>
        <v/>
      </c>
      <c r="G55" s="448">
        <f>IF(G48&lt;I48,I48/G48-1,G48/I48-1)</f>
        <v>0.15420451898439325</v>
      </c>
      <c r="H55" s="449" t="str">
        <f>IF(OR(G55&gt;=0.3,G55&lt;=-0.3),"超过30%","")</f>
        <v/>
      </c>
      <c r="I55" s="448">
        <f>IF(I48&lt;E48,E48/I48-1,I48/E48-1)</f>
        <v>8.6963273546082798E-2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1709</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0" t="str">
        <f>YEAR(C7)&amp;"-"&amp;MONTH(C7)</f>
        <v>2023-4</v>
      </c>
      <c r="D59" s="1181">
        <f>EDATE(C59,-1)</f>
        <v>44986</v>
      </c>
      <c r="E59" s="1181">
        <f>EDATE(D59,-1)</f>
        <v>44958</v>
      </c>
      <c r="F59" s="1181">
        <f t="shared" ref="F59:O59" si="16">EDATE(E59,-1)</f>
        <v>44927</v>
      </c>
      <c r="G59" s="1181">
        <f t="shared" si="16"/>
        <v>44896</v>
      </c>
      <c r="H59" s="1181">
        <f t="shared" si="16"/>
        <v>44866</v>
      </c>
      <c r="I59" s="1181">
        <f t="shared" si="16"/>
        <v>44835</v>
      </c>
      <c r="J59" s="1181">
        <f t="shared" si="16"/>
        <v>44805</v>
      </c>
      <c r="K59" s="1181">
        <f t="shared" si="16"/>
        <v>44774</v>
      </c>
      <c r="L59" s="1181">
        <f t="shared" si="16"/>
        <v>44743</v>
      </c>
      <c r="M59" s="1181">
        <f t="shared" si="16"/>
        <v>44713</v>
      </c>
      <c r="N59" s="1181">
        <f t="shared" si="16"/>
        <v>44682</v>
      </c>
      <c r="O59" s="1181">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1713</v>
      </c>
      <c r="D62" s="3450" t="s">
        <v>3390</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t="s">
        <v>3391</v>
      </c>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52" t="s">
        <v>3418</v>
      </c>
      <c r="D89" s="3452" t="s">
        <v>3419</v>
      </c>
      <c r="E89" s="3452" t="s">
        <v>3421</v>
      </c>
      <c r="F89" s="1923"/>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51" t="s">
        <v>3393</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1732</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1200(含)-1500</v>
      </c>
      <c r="I103" s="527" t="str">
        <f t="shared" si="23"/>
        <v>1500(含)-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800</v>
      </c>
      <c r="H104" s="544">
        <v>1200</v>
      </c>
      <c r="I104" s="544">
        <v>1500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52" t="s">
        <v>3394</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52" t="s">
        <v>3396</v>
      </c>
      <c r="D108" s="3452" t="s">
        <v>3398</v>
      </c>
      <c r="E108" s="3452" t="s">
        <v>3400</v>
      </c>
      <c r="F108" s="3453" t="s">
        <v>3402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3452" t="s">
        <v>3404</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3405</v>
      </c>
      <c r="D115" s="503" t="s">
        <v>3406</v>
      </c>
      <c r="E115" s="532" t="s">
        <v>3407</v>
      </c>
      <c r="F115" s="532" t="s">
        <v>3408</v>
      </c>
      <c r="G115" s="532" t="s">
        <v>3409</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3410</v>
      </c>
      <c r="D117" s="503" t="s">
        <v>3411</v>
      </c>
      <c r="E117" s="503" t="s">
        <v>3412</v>
      </c>
      <c r="F117" s="503" t="s">
        <v>3413</v>
      </c>
      <c r="G117" s="503" t="s">
        <v>3414</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53" t="s">
        <v>3416</v>
      </c>
      <c r="D119" s="532"/>
      <c r="E119" s="532"/>
      <c r="F119" s="532"/>
      <c r="G119" s="532"/>
      <c r="H119" s="532"/>
      <c r="I119" s="532"/>
      <c r="J119" s="532"/>
      <c r="K119" s="532"/>
      <c r="L119" s="1963"/>
      <c r="M119" s="1964"/>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503" t="s">
        <v>3395</v>
      </c>
      <c r="D123" s="503" t="s">
        <v>3397</v>
      </c>
      <c r="E123" s="503" t="s">
        <v>3399</v>
      </c>
      <c r="F123" s="532" t="s">
        <v>3401</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4" sqref="D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3"/>
      <c r="C1" s="1375">
        <v>503</v>
      </c>
      <c r="D1" s="1358" t="s">
        <v>43</v>
      </c>
      <c r="E1" s="1359" t="s">
        <v>674</v>
      </c>
      <c r="F1" s="1058">
        <f ca="1">J53</f>
        <v>26.42</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800</v>
      </c>
      <c r="B2" s="3418">
        <f ca="1">ROUND(D2/10000,4)</f>
        <v>703.83590000000004</v>
      </c>
      <c r="C2" s="1383" t="s">
        <v>801</v>
      </c>
      <c r="D2" s="1467">
        <f ca="1">C40+J29+L46</f>
        <v>7038359</v>
      </c>
      <c r="E2" s="1384" t="s">
        <v>876</v>
      </c>
      <c r="F2" s="1385"/>
      <c r="G2" s="2699"/>
      <c r="H2" s="2688"/>
      <c r="I2" s="2688"/>
      <c r="J2" s="2688"/>
      <c r="K2" s="2689"/>
      <c r="L2" s="2688"/>
      <c r="M2" s="2688"/>
    </row>
    <row r="3" spans="1:37" ht="18" customHeight="1" thickBot="1">
      <c r="A3" s="1386" t="s">
        <v>802</v>
      </c>
      <c r="B3" s="1387">
        <f ca="1">IF(ISERROR(D2/F43),0,ROUND(D2/F43,0))</f>
        <v>20316</v>
      </c>
      <c r="C3" s="1383" t="s">
        <v>803</v>
      </c>
      <c r="D3" s="1383"/>
      <c r="E3" s="1384"/>
      <c r="F3" s="1385"/>
      <c r="G3" s="2699"/>
      <c r="H3" s="683"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398829</v>
      </c>
      <c r="D5" s="1360" t="s">
        <v>689</v>
      </c>
      <c r="E5" s="1067"/>
      <c r="F5" s="1068"/>
      <c r="G5" s="1380"/>
      <c r="H5" s="299">
        <v>1</v>
      </c>
      <c r="I5" s="300" t="s">
        <v>688</v>
      </c>
      <c r="J5" s="1066">
        <f ca="1">J6+J10+J12</f>
        <v>0</v>
      </c>
      <c r="K5" s="1360" t="s">
        <v>689</v>
      </c>
      <c r="L5" s="1067"/>
      <c r="M5" s="1068"/>
    </row>
    <row r="6" spans="1:37" ht="18" customHeight="1">
      <c r="A6" s="1065" t="s">
        <v>398</v>
      </c>
      <c r="B6" s="3680" t="s">
        <v>690</v>
      </c>
      <c r="C6" s="1070">
        <f ca="1">ROUND(F6*F8*F7*(1-F9),0)</f>
        <v>398331</v>
      </c>
      <c r="D6" s="155" t="s">
        <v>2101</v>
      </c>
      <c r="E6" s="302" t="s">
        <v>692</v>
      </c>
      <c r="F6" s="303">
        <f ca="1">INDIRECT("'数据-取费表'!u"&amp;$G$1)</f>
        <v>3.5</v>
      </c>
      <c r="G6" s="1380"/>
      <c r="H6" s="1065" t="s">
        <v>398</v>
      </c>
      <c r="I6" s="3680" t="s">
        <v>690</v>
      </c>
      <c r="J6" s="301">
        <f ca="1">ROUND(M6*M8*M7*(1-M9),0)</f>
        <v>0</v>
      </c>
      <c r="K6" s="1372" t="s">
        <v>2102</v>
      </c>
      <c r="L6" s="302" t="s">
        <v>692</v>
      </c>
      <c r="M6" s="303">
        <f ca="1">INDIRECT("'数据-取费表'!z"&amp;$G$1)</f>
        <v>0</v>
      </c>
    </row>
    <row r="7" spans="1:37" ht="18" customHeight="1">
      <c r="A7" s="1069"/>
      <c r="B7" s="3681"/>
      <c r="C7" s="1071"/>
      <c r="D7" s="307"/>
      <c r="E7" s="3463" t="s">
        <v>693</v>
      </c>
      <c r="F7" s="303">
        <f ca="1">IF(INDIRECT("'数据-取费表'!ah"&amp;$G$1)="",INDIRECT("'数据-取费表'!k"&amp;$G$1),INDIRECT("'数据-取费表'!ah"&amp;$G$1))</f>
        <v>346.45</v>
      </c>
      <c r="G7" s="1380"/>
      <c r="H7" s="304"/>
      <c r="I7" s="3681"/>
      <c r="J7" s="306"/>
      <c r="K7" s="307"/>
      <c r="L7" s="302" t="s">
        <v>693</v>
      </c>
      <c r="M7" s="303">
        <f ca="1">F7</f>
        <v>346.45</v>
      </c>
    </row>
    <row r="8" spans="1:37" ht="18" customHeight="1">
      <c r="A8" s="304"/>
      <c r="B8" s="3681"/>
      <c r="C8" s="306"/>
      <c r="D8" s="307"/>
      <c r="E8" s="302" t="s">
        <v>694</v>
      </c>
      <c r="F8" s="303">
        <f ca="1">INDIRECT("'数据-取费表'!ai"&amp;$G$1)</f>
        <v>365</v>
      </c>
      <c r="G8" s="1380"/>
      <c r="H8" s="304"/>
      <c r="I8" s="3681"/>
      <c r="J8" s="306"/>
      <c r="K8" s="307"/>
      <c r="L8" s="302" t="s">
        <v>694</v>
      </c>
      <c r="M8" s="303">
        <f ca="1">INDIRECT("'数据-取费表'!ai"&amp;$G$1)</f>
        <v>365</v>
      </c>
    </row>
    <row r="9" spans="1:37" ht="18" customHeight="1">
      <c r="A9" s="304"/>
      <c r="B9" s="3682"/>
      <c r="C9" s="306"/>
      <c r="D9" s="307"/>
      <c r="E9" s="302" t="s">
        <v>695</v>
      </c>
      <c r="F9" s="312">
        <f ca="1">INDIRECT("'数据-取费表'!w"&amp;$G$1)</f>
        <v>0.1</v>
      </c>
      <c r="G9" s="1380"/>
      <c r="H9" s="304"/>
      <c r="I9" s="3682"/>
      <c r="J9" s="306"/>
      <c r="K9" s="307"/>
      <c r="L9" s="313" t="s">
        <v>695</v>
      </c>
      <c r="M9" s="314">
        <f ca="1">INDIRECT("'数据-取费表'!ab"&amp;$G$1)</f>
        <v>0</v>
      </c>
    </row>
    <row r="10" spans="1:37" ht="18" customHeight="1">
      <c r="A10" s="1065" t="s">
        <v>402</v>
      </c>
      <c r="B10" s="1361" t="s">
        <v>696</v>
      </c>
      <c r="C10" s="316">
        <f ca="1">ROUND(IF(F10="押一",C6/12*F11,IF(F10="押二",C6/12*2*F11,IF(F10="押三",C6/12*3*F11,C11*F11))),0)</f>
        <v>498</v>
      </c>
      <c r="D10" s="1362" t="s">
        <v>2111</v>
      </c>
      <c r="E10" s="313" t="s">
        <v>697</v>
      </c>
      <c r="F10" s="1112" t="s">
        <v>3383</v>
      </c>
      <c r="G10" s="1380"/>
      <c r="H10" s="1065" t="s">
        <v>402</v>
      </c>
      <c r="I10" s="1361" t="s">
        <v>696</v>
      </c>
      <c r="J10" s="301">
        <f ca="1">ROUND(IF(M10="押一",J6/12*M11,IF(M10="押二",J6/12*2*M11,IF(M10="押三",J6/12*3*M11,J11*M11))),0)</f>
        <v>0</v>
      </c>
      <c r="K10" s="1373" t="s">
        <v>2113</v>
      </c>
      <c r="L10" s="313" t="s">
        <v>697</v>
      </c>
      <c r="M10" s="1112"/>
    </row>
    <row r="11" spans="1:37" ht="18" customHeight="1">
      <c r="A11" s="308"/>
      <c r="B11" s="1363" t="s">
        <v>886</v>
      </c>
      <c r="C11" s="955"/>
      <c r="D11" s="307"/>
      <c r="E11" s="313" t="s">
        <v>698</v>
      </c>
      <c r="F11" s="314">
        <f ca="1">'数据-取费表'!B39</f>
        <v>1.4999999999999999E-2</v>
      </c>
      <c r="G11" s="1380"/>
      <c r="H11" s="1073"/>
      <c r="I11" s="1363" t="s">
        <v>887</v>
      </c>
      <c r="J11" s="955"/>
      <c r="K11" s="684"/>
      <c r="L11" s="313"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1557372</v>
      </c>
      <c r="D13" s="3456" t="s">
        <v>701</v>
      </c>
      <c r="E13" s="3456" t="s">
        <v>702</v>
      </c>
      <c r="F13" s="1078">
        <f ca="1">INDIRECT("'数据-取费表'!y"&amp;$G$1)</f>
        <v>0.87</v>
      </c>
      <c r="G13" s="1380"/>
      <c r="H13" s="1075">
        <v>2</v>
      </c>
      <c r="I13" s="1076" t="s">
        <v>700</v>
      </c>
      <c r="J13" s="1064">
        <f ca="1">ROUND(J14*J15,0)</f>
        <v>0</v>
      </c>
      <c r="K13" s="1083" t="s">
        <v>701</v>
      </c>
      <c r="L13" s="1388"/>
      <c r="M13" s="1389"/>
    </row>
    <row r="14" spans="1:37" ht="18" customHeight="1">
      <c r="A14" s="978" t="s">
        <v>397</v>
      </c>
      <c r="B14" s="302" t="s">
        <v>703</v>
      </c>
      <c r="C14" s="318">
        <f ca="1">ROUND(INDIRECT("'数据-取费表'!l"&amp;$G$1)*F43+'数据-取费表'!L14*INDIRECT("'数据-取费表'!S"&amp;$G$1),0)</f>
        <v>1212575</v>
      </c>
      <c r="D14" s="3473" t="s">
        <v>704</v>
      </c>
      <c r="E14" s="3472"/>
      <c r="F14" s="319"/>
      <c r="G14" s="1380"/>
      <c r="H14" s="978" t="s">
        <v>398</v>
      </c>
      <c r="I14" s="302" t="s">
        <v>705</v>
      </c>
      <c r="J14" s="21">
        <f ca="1">C29</f>
        <v>1790083</v>
      </c>
      <c r="K14" s="3461"/>
      <c r="L14" s="803"/>
      <c r="M14" s="804"/>
    </row>
    <row r="15" spans="1:37" s="1393" customFormat="1" ht="18" customHeight="1" thickBot="1">
      <c r="A15" s="978" t="s">
        <v>399</v>
      </c>
      <c r="B15" s="302" t="s">
        <v>706</v>
      </c>
      <c r="C15" s="21">
        <f ca="1">ROUND(C14*F15,0)</f>
        <v>60629</v>
      </c>
      <c r="D15" s="3457" t="s">
        <v>707</v>
      </c>
      <c r="E15" s="3457"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80"/>
      <c r="H16" s="1075" t="s">
        <v>393</v>
      </c>
      <c r="I16" s="1076" t="s">
        <v>710</v>
      </c>
      <c r="J16" s="310">
        <f ca="1">ROUND(J17+J22+J23+J24,0)</f>
        <v>17901</v>
      </c>
      <c r="K16" s="1083" t="s">
        <v>711</v>
      </c>
      <c r="L16" s="3478"/>
      <c r="M16" s="1068"/>
    </row>
    <row r="17" spans="1:37" s="1393" customFormat="1" ht="18" customHeight="1">
      <c r="A17" s="978" t="s">
        <v>677</v>
      </c>
      <c r="B17" s="302" t="s">
        <v>712</v>
      </c>
      <c r="C17" s="21">
        <f ca="1">ROUND(F17*(F43+INDIRECT("'数据-取费表'!S"&amp;$G$1)),0)</f>
        <v>69290</v>
      </c>
      <c r="D17" s="302" t="s">
        <v>713</v>
      </c>
      <c r="E17" s="302" t="s">
        <v>714</v>
      </c>
      <c r="F17" s="23">
        <f>'数据-取费表'!B35</f>
        <v>200</v>
      </c>
      <c r="G17" s="1392"/>
      <c r="H17" s="978" t="s">
        <v>398</v>
      </c>
      <c r="I17" s="302" t="s">
        <v>715</v>
      </c>
      <c r="J17" s="2311">
        <f ca="1">ROUND(IF(AND(项目基本情况!B11="自然人",项目基本情况!B10="北京市"),J6*M17/(1+'数据-取费表'!C42),J18+J19+J20),0)</f>
        <v>0</v>
      </c>
      <c r="K17" s="3473" t="s">
        <v>716</v>
      </c>
      <c r="L17" s="3476" t="s">
        <v>717</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2" t="s">
        <v>718</v>
      </c>
      <c r="C18" s="21">
        <f ca="1">ROUND(C14*F18,0)</f>
        <v>18189</v>
      </c>
      <c r="D18" s="302" t="s">
        <v>707</v>
      </c>
      <c r="E18" s="302" t="s">
        <v>708</v>
      </c>
      <c r="F18" s="322">
        <f>'数据-取费表'!B36</f>
        <v>1.4999999999999999E-2</v>
      </c>
      <c r="G18" s="1392"/>
      <c r="H18" s="978" t="s">
        <v>397</v>
      </c>
      <c r="I18" s="302" t="s">
        <v>719</v>
      </c>
      <c r="J18" s="21">
        <f ca="1">ROUND(J6*M18/(1+'数据-取费表'!C42),0)</f>
        <v>0</v>
      </c>
      <c r="K18" s="3476" t="s">
        <v>720</v>
      </c>
      <c r="L18" s="302" t="s">
        <v>708</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721</v>
      </c>
      <c r="C19" s="21">
        <f ca="1">SUM(C14:C18)</f>
        <v>1360683</v>
      </c>
      <c r="D19" s="131" t="s">
        <v>722</v>
      </c>
      <c r="E19" s="3487"/>
      <c r="F19" s="23"/>
      <c r="G19" s="1380"/>
      <c r="H19" s="978" t="s">
        <v>399</v>
      </c>
      <c r="I19" s="302" t="s">
        <v>723</v>
      </c>
      <c r="J19" s="21">
        <f ca="1">IF(K19="按租金收入计税",ROUND(J6*M19/(1+'数据-取费表'!C42),0),ROUND(C29*M19*0.7,0))</f>
        <v>0</v>
      </c>
      <c r="K19" s="1366" t="s">
        <v>3338</v>
      </c>
      <c r="L19" s="302" t="s">
        <v>708</v>
      </c>
      <c r="M19" s="322">
        <f>IF(K19="按租金收入计税",'数据-取费表'!B51,'数据-取费表'!B50)</f>
        <v>0.12</v>
      </c>
    </row>
    <row r="20" spans="1:37" s="1393" customFormat="1" ht="18" customHeight="1">
      <c r="A20" s="978" t="s">
        <v>402</v>
      </c>
      <c r="B20" s="302" t="s">
        <v>724</v>
      </c>
      <c r="C20" s="21">
        <f ca="1">ROUND(C19*F20,0)</f>
        <v>27214</v>
      </c>
      <c r="D20" s="2422" t="s">
        <v>725</v>
      </c>
      <c r="E20" s="302" t="s">
        <v>708</v>
      </c>
      <c r="F20" s="322">
        <f>'数据-取费表'!B37</f>
        <v>0.02</v>
      </c>
      <c r="G20" s="1392"/>
      <c r="H20" s="978" t="s">
        <v>676</v>
      </c>
      <c r="I20" s="155" t="s">
        <v>726</v>
      </c>
      <c r="J20" s="22">
        <f ca="1">ROUND(M20*M21,0)</f>
        <v>0</v>
      </c>
      <c r="K20" s="324" t="s">
        <v>727</v>
      </c>
      <c r="L20" s="302" t="s">
        <v>728</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729</v>
      </c>
      <c r="C21" s="21" t="s">
        <v>0</v>
      </c>
      <c r="D21" s="2422" t="s">
        <v>730</v>
      </c>
      <c r="E21" s="302" t="s">
        <v>731</v>
      </c>
      <c r="F21" s="322">
        <f>'数据-取费表'!B38</f>
        <v>0.02</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87"/>
      <c r="F22" s="23"/>
      <c r="G22" s="1380"/>
      <c r="H22" s="978" t="s">
        <v>402</v>
      </c>
      <c r="I22" s="302" t="s">
        <v>734</v>
      </c>
      <c r="J22" s="21">
        <f ca="1">ROUND(J14*M22,0)</f>
        <v>17901</v>
      </c>
      <c r="K22" s="3476" t="s">
        <v>735</v>
      </c>
      <c r="L22" s="302" t="s">
        <v>708</v>
      </c>
      <c r="M22" s="328">
        <f ca="1">INDIRECT("'数据-取费表'!Ak"&amp;$G$1)</f>
        <v>0.01</v>
      </c>
    </row>
    <row r="23" spans="1:37" s="1393" customFormat="1" ht="18" customHeight="1">
      <c r="A23" s="978" t="s">
        <v>397</v>
      </c>
      <c r="B23" s="302" t="s">
        <v>736</v>
      </c>
      <c r="C23" s="21">
        <f ca="1">IF('数据-取费表'!B22&lt;=1,ROUND(C19*F24*F23/2,0)+ROUND(C20*F24*F23/2,0),ROUND(C19*(POWER((1+F24),F23/2)-1),0)+ROUND(C20*(POWER((1+F24),F23/2)-1),0))</f>
        <v>57597</v>
      </c>
      <c r="D23" s="329" t="str">
        <f>IF(F23&lt;=1,"(建造成本+管理费用)×利率×(建设周期÷2)","(建造成本+管理费用)×((1+利率)^(建设周期÷2)-1)")</f>
        <v>(建造成本+管理费用)×((1+利率)^(建设周期÷2)-1)</v>
      </c>
      <c r="E23" s="302" t="s">
        <v>737</v>
      </c>
      <c r="F23" s="325">
        <f>'数据-取费表'!B20</f>
        <v>2</v>
      </c>
      <c r="G23" s="1392"/>
      <c r="H23" s="978" t="s">
        <v>437</v>
      </c>
      <c r="I23" s="302" t="s">
        <v>738</v>
      </c>
      <c r="J23" s="21">
        <f ca="1">ROUND(J13*M23,0)</f>
        <v>0</v>
      </c>
      <c r="K23" s="3476" t="s">
        <v>739</v>
      </c>
      <c r="L23" s="302" t="s">
        <v>708</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302" t="s">
        <v>742</v>
      </c>
      <c r="C24" s="21">
        <f ca="1">ROUND(IF('数据-取费表'!B22&lt;=1,F21*F24*F23/2,F21*(POWER((1+F24),F23/2)-1)),4)</f>
        <v>8.0000000000000004E-4</v>
      </c>
      <c r="D24" s="329" t="str">
        <f>IF(F23&lt;=1,"销售费用×利率×(建设周期÷2)","销售费用×((1+利率)^(建设周期÷2)-1)")</f>
        <v>销售费用×((1+利率)^(建设周期÷2)-1)</v>
      </c>
      <c r="E24" s="302" t="s">
        <v>743</v>
      </c>
      <c r="F24" s="331">
        <f ca="1">'数据-取费表'!B40</f>
        <v>4.1499999999999995E-2</v>
      </c>
      <c r="G24" s="1392"/>
      <c r="H24" s="1085" t="s">
        <v>679</v>
      </c>
      <c r="I24" s="1086" t="s">
        <v>724</v>
      </c>
      <c r="J24" s="1087">
        <f ca="1">ROUND(J5*M24,0)</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2" t="s">
        <v>746</v>
      </c>
      <c r="C25" s="21"/>
      <c r="D25" s="131" t="s">
        <v>747</v>
      </c>
      <c r="E25" s="3487"/>
      <c r="F25" s="23"/>
      <c r="G25" s="1380"/>
      <c r="H25" s="1075" t="s">
        <v>394</v>
      </c>
      <c r="I25" s="1090" t="s">
        <v>748</v>
      </c>
      <c r="J25" s="310">
        <f ca="1">J5-J16</f>
        <v>-17901</v>
      </c>
      <c r="K25" s="1091" t="s">
        <v>749</v>
      </c>
      <c r="L25" s="1092"/>
      <c r="M25" s="1093"/>
    </row>
    <row r="26" spans="1:37" ht="18" customHeight="1">
      <c r="A26" s="978" t="s">
        <v>397</v>
      </c>
      <c r="B26" s="302" t="s">
        <v>750</v>
      </c>
      <c r="C26" s="21">
        <f ca="1">ROUND((C19+C20)*F26,0)</f>
        <v>208185</v>
      </c>
      <c r="D26" s="2422" t="s">
        <v>751</v>
      </c>
      <c r="E26" s="313" t="s">
        <v>752</v>
      </c>
      <c r="F26" s="312">
        <f ca="1">INDIRECT("'数据-取费表'!q"&amp;$G$1)</f>
        <v>0.15</v>
      </c>
      <c r="G26" s="1380"/>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2422" t="s">
        <v>757</v>
      </c>
      <c r="E27" s="3457"/>
      <c r="F27" s="321"/>
      <c r="G27" s="1380"/>
      <c r="H27" s="304"/>
      <c r="I27" s="305"/>
      <c r="J27" s="306"/>
      <c r="K27" s="332" t="s">
        <v>758</v>
      </c>
      <c r="L27" s="302" t="s">
        <v>759</v>
      </c>
      <c r="M27" s="333">
        <f ca="1">INDIRECT("'数据-取费表'!ag"&amp;$G$1)</f>
        <v>0</v>
      </c>
    </row>
    <row r="28" spans="1:37" s="1393" customFormat="1" ht="18" customHeight="1">
      <c r="A28" s="978" t="s">
        <v>400</v>
      </c>
      <c r="B28" s="302" t="s">
        <v>760</v>
      </c>
      <c r="C28" s="21">
        <f>ROUND(F28/(1+'数据-取费表'!C42),4)</f>
        <v>5.2400000000000002E-2</v>
      </c>
      <c r="D28" s="2422" t="s">
        <v>761</v>
      </c>
      <c r="E28" s="302" t="s">
        <v>708</v>
      </c>
      <c r="F28" s="322">
        <f>'数据-取费表'!B41</f>
        <v>5.5000000000000007E-2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1790083</v>
      </c>
      <c r="D29" s="1088"/>
      <c r="E29" s="1086"/>
      <c r="F29" s="1089"/>
      <c r="G29" s="1392"/>
      <c r="H29" s="334" t="s">
        <v>396</v>
      </c>
      <c r="I29" s="335" t="s">
        <v>764</v>
      </c>
      <c r="J29" s="336">
        <f ca="1">ROUND(J26/(1+F40)^F41,0)</f>
        <v>0</v>
      </c>
      <c r="K29" s="337" t="s">
        <v>765</v>
      </c>
      <c r="L29" s="338"/>
      <c r="M29" s="339">
        <f ca="1">INDIRECT("'数据-取费表'!k"&amp;$G$1)</f>
        <v>346.45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50780</v>
      </c>
      <c r="D30" s="1083" t="s">
        <v>711</v>
      </c>
      <c r="E30" s="3478"/>
      <c r="F30" s="1068"/>
      <c r="G30" s="1380"/>
      <c r="H30" s="2690"/>
      <c r="I30" s="1394"/>
      <c r="J30" s="1395"/>
      <c r="K30" s="2469"/>
      <c r="L30" s="2691"/>
      <c r="M30" s="2692"/>
    </row>
    <row r="31" spans="1:37" ht="18" customHeight="1">
      <c r="A31" s="978" t="s">
        <v>398</v>
      </c>
      <c r="B31" s="302" t="s">
        <v>715</v>
      </c>
      <c r="C31" s="2311">
        <f ca="1">ROUND(IF(AND(项目基本情况!B11="自然人",项目基本情况!B10="北京市"),C6*F31/(1+'数据-取费表'!C42),C32+C33+C34),0)</f>
        <v>26555</v>
      </c>
      <c r="D31" s="3473" t="s">
        <v>716</v>
      </c>
      <c r="E31" s="3476" t="s">
        <v>766</v>
      </c>
      <c r="F31" s="2310">
        <f ca="1">IF(项目基本情况!B11="企业","——",IF(M47="住宅",IF(F6*F7*F8/12/(1+'数据-取费表'!F30)&gt;100000,4%,2.5%),IF(F6*F7*F8/12/(1+'数据-取费表'!F30)&gt;100000,12%,7%)))</f>
        <v>7.0000000000000007E-2</v>
      </c>
      <c r="G31" s="1380"/>
      <c r="H31" s="2801" t="s">
        <v>2305</v>
      </c>
      <c r="I31" s="1394"/>
      <c r="J31" s="1395"/>
      <c r="K31" s="2469"/>
      <c r="L31" s="2691"/>
      <c r="M31" s="2692"/>
    </row>
    <row r="32" spans="1:37" ht="18" customHeight="1">
      <c r="A32" s="978" t="s">
        <v>397</v>
      </c>
      <c r="B32" s="302" t="s">
        <v>719</v>
      </c>
      <c r="C32" s="21" t="str">
        <f>IF(项目基本情况!B11="自然人","——",ROUND(C6*F32/(1+'数据-取费表'!C42),0))</f>
        <v>——</v>
      </c>
      <c r="D32" s="3476" t="s">
        <v>720</v>
      </c>
      <c r="E32" s="302" t="s">
        <v>708</v>
      </c>
      <c r="F32" s="331">
        <f>'数据-取费表'!B41</f>
        <v>5.5000000000000007E-2</v>
      </c>
      <c r="G32" s="1380"/>
      <c r="H32" s="2690"/>
      <c r="I32" s="1394"/>
      <c r="J32" s="1395"/>
      <c r="K32" s="2469"/>
      <c r="L32" s="2691"/>
      <c r="M32" s="2692"/>
    </row>
    <row r="33" spans="1:18" ht="18" customHeight="1">
      <c r="A33" s="978" t="s">
        <v>399</v>
      </c>
      <c r="B33" s="302" t="s">
        <v>723</v>
      </c>
      <c r="C33" s="21" t="str">
        <f ca="1">IF(项目基本情况!B11="自然人","——",IF(D33="按租金收入计税",ROUND(C6*F33/(1+'数据-取费表'!C42),0),IF(D33="按房产原值计税",ROUND(C29*F33*0.7,0),INDIRECT("'数据-取费表'!Aj"&amp;$G$1))))</f>
        <v>——</v>
      </c>
      <c r="D33" s="1366" t="s">
        <v>3338</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t="str">
        <f>IF(项目基本情况!B11="自然人","——",ROUND(F34*F35,0))</f>
        <v>——</v>
      </c>
      <c r="D34" s="324" t="s">
        <v>727</v>
      </c>
      <c r="E34" s="302" t="s">
        <v>728</v>
      </c>
      <c r="F34" s="325">
        <f>'数据-取费表'!B52</f>
        <v>1.5</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ROUND(C29*F36,0)</f>
        <v>17901</v>
      </c>
      <c r="D36" s="3476" t="s">
        <v>767</v>
      </c>
      <c r="E36" s="302" t="s">
        <v>708</v>
      </c>
      <c r="F36" s="328">
        <f ca="1">INDIRECT("'数据-取费表'!Ak"&amp;$G$1)</f>
        <v>0.01</v>
      </c>
      <c r="G36" s="1380"/>
      <c r="H36" s="2693"/>
      <c r="I36" s="1394"/>
      <c r="J36" s="1395"/>
      <c r="K36" s="2538"/>
      <c r="L36" s="2693"/>
      <c r="M36" s="2693"/>
    </row>
    <row r="37" spans="1:18" ht="18" customHeight="1">
      <c r="A37" s="978" t="s">
        <v>437</v>
      </c>
      <c r="B37" s="302" t="s">
        <v>738</v>
      </c>
      <c r="C37" s="21">
        <f ca="1">ROUND(C13*F37,0)</f>
        <v>2336</v>
      </c>
      <c r="D37" s="3476" t="s">
        <v>739</v>
      </c>
      <c r="E37" s="302" t="s">
        <v>708</v>
      </c>
      <c r="F37" s="330">
        <f ca="1">INDIRECT("'数据-取费表'!Al"&amp;$G$1)</f>
        <v>1.5E-3</v>
      </c>
      <c r="G37" s="1380"/>
      <c r="H37" s="2693"/>
      <c r="I37" s="1394"/>
      <c r="J37" s="1395"/>
      <c r="K37" s="2538"/>
      <c r="L37" s="2693"/>
      <c r="M37" s="2693"/>
    </row>
    <row r="38" spans="1:18" ht="18" customHeight="1" thickBot="1">
      <c r="A38" s="1085" t="s">
        <v>679</v>
      </c>
      <c r="B38" s="1086" t="s">
        <v>724</v>
      </c>
      <c r="C38" s="1087">
        <f ca="1">ROUND(C5*F38,0)</f>
        <v>3988</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348049</v>
      </c>
      <c r="D39" s="1091" t="s">
        <v>749</v>
      </c>
      <c r="E39" s="1092"/>
      <c r="F39" s="1093"/>
      <c r="G39" s="1380"/>
      <c r="H39" s="2693"/>
      <c r="I39" s="1394"/>
      <c r="J39" s="1395"/>
      <c r="K39" s="2697"/>
      <c r="L39" s="2693"/>
      <c r="M39" s="2693"/>
    </row>
    <row r="40" spans="1:18" ht="18" customHeight="1">
      <c r="A40" s="299" t="s">
        <v>395</v>
      </c>
      <c r="B40" s="300" t="s">
        <v>770</v>
      </c>
      <c r="C40" s="301">
        <f ca="1">ROUND(C39*(1-((1+F42)/(1+F40))^F41)/(F40-F42),0)</f>
        <v>6932404</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26.42</v>
      </c>
      <c r="G41" s="1380"/>
      <c r="H41" s="1187"/>
      <c r="I41" s="1394"/>
      <c r="J41" s="1395"/>
      <c r="K41" s="2538"/>
      <c r="L41" s="1187"/>
      <c r="M41" s="1187"/>
    </row>
    <row r="42" spans="1:18" ht="18" customHeight="1">
      <c r="A42" s="308"/>
      <c r="B42" s="309"/>
      <c r="C42" s="310"/>
      <c r="D42" s="327"/>
      <c r="E42" s="302" t="s">
        <v>762</v>
      </c>
      <c r="F42" s="312">
        <f ca="1">INDIRECT("'数据-取费表'!v"&amp;$G$1)</f>
        <v>0.03</v>
      </c>
      <c r="G42" s="1380"/>
      <c r="H42" s="1187"/>
      <c r="I42" s="1394"/>
      <c r="J42" s="1395"/>
      <c r="K42" s="2538"/>
      <c r="L42" s="1187"/>
      <c r="M42" s="1187"/>
    </row>
    <row r="43" spans="1:18" ht="18" customHeight="1" thickBot="1">
      <c r="A43" s="334" t="s">
        <v>396</v>
      </c>
      <c r="B43" s="335" t="s">
        <v>772</v>
      </c>
      <c r="C43" s="336">
        <f ca="1">ROUND(C40/F43,0)</f>
        <v>20010</v>
      </c>
      <c r="D43" s="337" t="s">
        <v>773</v>
      </c>
      <c r="E43" s="338" t="s">
        <v>774</v>
      </c>
      <c r="F43" s="339">
        <f ca="1">INDIRECT("'数据-取费表'!k"&amp;$G$1)</f>
        <v>346.45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3" t="s">
        <v>3354</v>
      </c>
      <c r="B45" s="1396"/>
      <c r="C45" s="1468">
        <f ca="1">ROUND((C68-C40)/10000,4)</f>
        <v>-722.56230000000005</v>
      </c>
      <c r="D45" s="3424" t="s">
        <v>3355</v>
      </c>
      <c r="E45" s="1396"/>
      <c r="F45" s="1396"/>
      <c r="O45" s="1399" t="s">
        <v>804</v>
      </c>
      <c r="P45" s="1457"/>
      <c r="Q45" s="1457"/>
      <c r="R45" s="1457"/>
    </row>
    <row r="46" spans="1:18" s="1380" customFormat="1" ht="13.5" thickBot="1">
      <c r="A46" s="1400" t="s">
        <v>805</v>
      </c>
      <c r="C46" s="1401">
        <f ca="1">ROUND(C45,0)</f>
        <v>-723</v>
      </c>
      <c r="D46" s="1402" t="str">
        <f>C2</f>
        <v>万元</v>
      </c>
      <c r="I46" s="1403" t="s">
        <v>806</v>
      </c>
      <c r="J46" s="1404"/>
      <c r="K46" s="1405"/>
      <c r="L46" s="1406">
        <f ca="1">IF(M47="住宅",0,IF(L48&gt;J51,L60,J60))</f>
        <v>105955</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2"/>
      <c r="I47" s="1410" t="s">
        <v>811</v>
      </c>
      <c r="J47" s="1411" t="s">
        <v>3384</v>
      </c>
      <c r="K47" s="1412" t="s">
        <v>812</v>
      </c>
      <c r="L47" s="1413">
        <f ca="1">INDIRECT("'数据-取费表'!d"&amp;$G$1)</f>
        <v>50</v>
      </c>
      <c r="M47" s="1376" t="str">
        <f>IF(ISNUMBER(FIND("住宅",C1)),"住宅","非住宅")</f>
        <v>非住宅</v>
      </c>
      <c r="O47" s="1414" t="s">
        <v>403</v>
      </c>
      <c r="P47" s="1415" t="s">
        <v>813</v>
      </c>
      <c r="Q47" s="1416">
        <f ca="1">C40+J29</f>
        <v>6932404</v>
      </c>
      <c r="R47" s="1416" t="s">
        <v>814</v>
      </c>
    </row>
    <row r="48" spans="1:18" s="1380" customFormat="1" ht="28.5" thickBot="1">
      <c r="A48" s="1106" t="s">
        <v>438</v>
      </c>
      <c r="B48" s="300" t="s">
        <v>688</v>
      </c>
      <c r="C48" s="3486">
        <f ca="1">C49+C53+C55</f>
        <v>0</v>
      </c>
      <c r="D48" s="1108"/>
      <c r="E48" s="1109"/>
      <c r="F48" s="958"/>
      <c r="G48" s="722"/>
      <c r="H48" s="723"/>
      <c r="I48" s="1417" t="s">
        <v>815</v>
      </c>
      <c r="J48" s="1418" t="s">
        <v>3385</v>
      </c>
      <c r="K48" s="1419" t="s">
        <v>816</v>
      </c>
      <c r="L48" s="1420">
        <f ca="1">INDIRECT("'数据-取费表'!f"&amp;$G$1)</f>
        <v>26.42</v>
      </c>
      <c r="O48" s="1414" t="s">
        <v>404</v>
      </c>
      <c r="P48" s="1415" t="s">
        <v>817</v>
      </c>
      <c r="Q48" s="1416">
        <f ca="1">J60</f>
        <v>105955</v>
      </c>
      <c r="R48" s="1416" t="s">
        <v>818</v>
      </c>
    </row>
    <row r="49" spans="1:18" s="1380" customFormat="1" ht="13.5" thickBot="1">
      <c r="A49" s="971" t="s">
        <v>439</v>
      </c>
      <c r="B49" s="1367" t="s">
        <v>775</v>
      </c>
      <c r="C49" s="1110">
        <f ca="1">ROUND(F49*F51*F50*(1-F52),0)</f>
        <v>0</v>
      </c>
      <c r="D49" s="1051" t="s">
        <v>691</v>
      </c>
      <c r="E49" s="1368" t="s">
        <v>776</v>
      </c>
      <c r="F49" s="1056"/>
      <c r="G49" s="1421"/>
      <c r="H49" s="723"/>
      <c r="I49" s="1417" t="s">
        <v>819</v>
      </c>
      <c r="J49" s="1422">
        <v>2013</v>
      </c>
      <c r="K49" s="1419" t="s">
        <v>820</v>
      </c>
      <c r="L49" s="1423"/>
      <c r="O49" s="1424" t="s">
        <v>405</v>
      </c>
      <c r="P49" s="1415" t="s">
        <v>821</v>
      </c>
      <c r="Q49" s="1416">
        <f ca="1">C29</f>
        <v>1790083</v>
      </c>
      <c r="R49" s="1416" t="s">
        <v>814</v>
      </c>
    </row>
    <row r="50" spans="1:18" s="1380" customFormat="1" ht="13.5" thickBot="1">
      <c r="A50" s="972"/>
      <c r="B50" s="975"/>
      <c r="C50" s="976"/>
      <c r="D50" s="949"/>
      <c r="E50" s="1052" t="s">
        <v>693</v>
      </c>
      <c r="F50" s="1053">
        <f ca="1">F7</f>
        <v>346.45</v>
      </c>
      <c r="H50" s="723"/>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3">
        <f ca="1">F8</f>
        <v>365</v>
      </c>
      <c r="I51" s="1428" t="s">
        <v>825</v>
      </c>
      <c r="J51" s="1429">
        <f>IF(J49="",J50,J49+J50-YEAR('数据-取费表'!B2))</f>
        <v>50</v>
      </c>
      <c r="K51" s="1430" t="s">
        <v>826</v>
      </c>
      <c r="L51" s="1431">
        <f ca="1">ROUND(-PV(INDIRECT("'数据-取费表'!h"&amp;$G$1),J51,(C39-C13*C76),0),0)</f>
        <v>4723771</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26.42</v>
      </c>
      <c r="R52" s="1416" t="s">
        <v>831</v>
      </c>
    </row>
    <row r="53" spans="1:18" s="1380" customFormat="1" ht="30.75" customHeight="1" thickBot="1">
      <c r="A53" s="1107" t="s">
        <v>440</v>
      </c>
      <c r="B53" s="2422" t="s">
        <v>696</v>
      </c>
      <c r="C53" s="316">
        <f ca="1">ROUND(IF(F53="押一",C49/12*F11,IF(F53="押二",C49/12*2*F11,IF(F53="押三",C49/12*3*F11,C54*F11))),0)</f>
        <v>0</v>
      </c>
      <c r="D53" s="1362" t="s">
        <v>2114</v>
      </c>
      <c r="E53" s="313" t="s">
        <v>697</v>
      </c>
      <c r="F53" s="1112"/>
      <c r="I53" s="1435" t="s">
        <v>832</v>
      </c>
      <c r="J53" s="2163">
        <f ca="1">IF(M47="住宅",IF(D1="——",MAX(J51,L48),MAX(J51,L48-'数据-取费表'!B24)),IF(D1="——",MIN(J51,L48),MIN(J51,L48-'数据-取费表'!B24)))</f>
        <v>26.42</v>
      </c>
      <c r="K53" s="3678" t="s">
        <v>833</v>
      </c>
      <c r="L53" s="3679"/>
      <c r="O53" s="1414" t="s">
        <v>409</v>
      </c>
      <c r="P53" s="1415" t="s">
        <v>834</v>
      </c>
      <c r="Q53" s="1416">
        <f ca="1">Q47+Q48</f>
        <v>7038359</v>
      </c>
      <c r="R53" s="1416" t="s">
        <v>410</v>
      </c>
    </row>
    <row r="54" spans="1:18" s="1380" customFormat="1" ht="13.5" thickBot="1">
      <c r="A54" s="971"/>
      <c r="B54" s="1469" t="s">
        <v>887</v>
      </c>
      <c r="C54" s="955"/>
      <c r="D54" s="1362"/>
      <c r="E54" s="3465"/>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5"/>
      <c r="F55" s="1436"/>
      <c r="I55" s="1439" t="s">
        <v>836</v>
      </c>
      <c r="J55" s="1440">
        <f ca="1">ROUND(IF(J47="钢混",J57/J50,1-(1-2%)*(J50-J57)/J50),3)</f>
        <v>0.39300000000000002</v>
      </c>
      <c r="K55" s="1441" t="s">
        <v>837</v>
      </c>
      <c r="L55" s="1442"/>
      <c r="O55" s="1407" t="s">
        <v>807</v>
      </c>
      <c r="P55" s="1408" t="s">
        <v>808</v>
      </c>
      <c r="Q55" s="1409" t="s">
        <v>809</v>
      </c>
      <c r="R55" s="1409" t="s">
        <v>810</v>
      </c>
    </row>
    <row r="56" spans="1:18" s="1380" customFormat="1" ht="36" customHeight="1" thickTop="1" thickBot="1">
      <c r="A56" s="953">
        <v>2</v>
      </c>
      <c r="B56" s="954" t="s">
        <v>700</v>
      </c>
      <c r="C56" s="232">
        <f ca="1">C13</f>
        <v>1557372</v>
      </c>
      <c r="D56" s="1443"/>
      <c r="E56" s="1444"/>
      <c r="F56" s="1436"/>
      <c r="I56" s="1445" t="s">
        <v>838</v>
      </c>
      <c r="J56" s="1446" t="s">
        <v>3386</v>
      </c>
      <c r="K56" s="1417" t="s">
        <v>839</v>
      </c>
      <c r="L56" s="1420" t="str">
        <f ca="1">IF(L48&lt;J51,"——",L48-J51)</f>
        <v>——</v>
      </c>
      <c r="O56" s="1414" t="s">
        <v>403</v>
      </c>
      <c r="P56" s="1415" t="s">
        <v>813</v>
      </c>
      <c r="Q56" s="1416">
        <f ca="1">C40+J29</f>
        <v>6932404</v>
      </c>
      <c r="R56" s="1416" t="s">
        <v>814</v>
      </c>
    </row>
    <row r="57" spans="1:18" s="1380" customFormat="1" ht="24.75" thickBot="1">
      <c r="A57" s="1447"/>
      <c r="B57" s="946" t="s">
        <v>763</v>
      </c>
      <c r="C57" s="238">
        <f ca="1">C29</f>
        <v>1790083</v>
      </c>
      <c r="D57" s="1448"/>
      <c r="E57" s="1449"/>
      <c r="F57" s="1450"/>
      <c r="I57" s="1451" t="s">
        <v>840</v>
      </c>
      <c r="J57" s="1452">
        <f ca="1">IF(OR(M47="住宅",J51&lt;L48,J56="是"),"——",J51-L48)</f>
        <v>23.58</v>
      </c>
      <c r="K57" s="1417" t="s">
        <v>888</v>
      </c>
      <c r="L57" s="1420" t="str">
        <f ca="1">IF(L48&lt;J51,"——",IF(L55="比较法",L49,IF(L55="基准地价",L50,L51)))</f>
        <v>——</v>
      </c>
      <c r="O57" s="1414" t="s">
        <v>404</v>
      </c>
      <c r="P57" s="1415" t="s">
        <v>842</v>
      </c>
      <c r="Q57" s="1416">
        <f ca="1">L60</f>
        <v>0</v>
      </c>
      <c r="R57" s="1416" t="s">
        <v>843</v>
      </c>
    </row>
    <row r="58" spans="1:18" s="1380" customFormat="1" ht="24.75" thickBot="1">
      <c r="A58" s="315" t="s">
        <v>393</v>
      </c>
      <c r="B58" s="954" t="s">
        <v>710</v>
      </c>
      <c r="C58" s="316">
        <f ca="1">ROUND(C59+C64+C65+C66,0)</f>
        <v>20237</v>
      </c>
      <c r="D58" s="956" t="s">
        <v>711</v>
      </c>
      <c r="E58" s="957"/>
      <c r="F58" s="958"/>
      <c r="I58" s="1451" t="s">
        <v>844</v>
      </c>
      <c r="J58" s="1453">
        <f ca="1">IF(J55&lt;0.4,0.4,J55)</f>
        <v>0.4</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1">
        <f ca="1">ROUND(IF(AND(项目基本情况!B11="自然人",项目基本情况!B10="北京市"),C49*F59/(1+'数据-取费表'!C42),C60+C61+C62),0)</f>
        <v>0</v>
      </c>
      <c r="D59" s="959" t="s">
        <v>716</v>
      </c>
      <c r="E59" s="960" t="s">
        <v>717</v>
      </c>
      <c r="F59" s="2310">
        <f ca="1">IF(项目基本情况!B11="企业","——",IF('数据-取费表'!B10="住宅",IF(F49*F50*F51/12/(1+'数据-取费表'!F30)&gt;100000,4%,2.5%),IF(F49*F50*F51/12/(1+'数据-取费表'!F30)&gt;100000,12%,7%)))</f>
        <v>7.0000000000000007E-2</v>
      </c>
      <c r="I59" s="1451" t="s">
        <v>847</v>
      </c>
      <c r="J59" s="1452">
        <f ca="1">IF(OR(M47="住宅",J51&lt;L48,J56="是"),"——",ROUND(C29*J58,0))</f>
        <v>716033</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t="str">
        <f>IF(项目基本情况!B11="自然人","——",ROUND(C48*F60/(1+'数据-取费表'!C42),0))</f>
        <v>——</v>
      </c>
      <c r="D60" s="960" t="s">
        <v>720</v>
      </c>
      <c r="E60" s="946" t="s">
        <v>708</v>
      </c>
      <c r="F60" s="331">
        <f t="shared" ref="F60:F66" si="0">F32</f>
        <v>5.5000000000000007E-2</v>
      </c>
      <c r="I60" s="1454" t="s">
        <v>849</v>
      </c>
      <c r="J60" s="1455">
        <f ca="1">IF(OR(M47="住宅",J51&lt;L48,J56="是"),"0",ROUND(J59/(1+J52)^J53,0))</f>
        <v>105955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723</v>
      </c>
      <c r="C61" s="21" t="str">
        <f ca="1">IF(项目基本情况!B11="自然人","——",IF(D61="按租金收入计税",ROUND(C49*F61/(1+'数据-取费表'!C42),0),IF(D61="按房产原值计税",ROUND(C57*F61*0.7,0),INDIRECT("'数据-取费表'!Aj"&amp;$G$1))))</f>
        <v>——</v>
      </c>
      <c r="D61" s="1366" t="s">
        <v>3338</v>
      </c>
      <c r="E61" s="946"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726</v>
      </c>
      <c r="C62" s="22" t="str">
        <f>IF(项目基本情况!B11="自然人","——",ROUND(F62*F63,0))</f>
        <v>——</v>
      </c>
      <c r="D62" s="961" t="s">
        <v>727</v>
      </c>
      <c r="E62" s="946" t="s">
        <v>728</v>
      </c>
      <c r="F62" s="325">
        <f t="shared" si="0"/>
        <v>1.5</v>
      </c>
      <c r="I62" s="1458" t="s">
        <v>854</v>
      </c>
      <c r="J62" s="1459" t="s">
        <v>855</v>
      </c>
      <c r="K62" s="1459" t="s">
        <v>856</v>
      </c>
      <c r="L62" s="1459" t="s">
        <v>857</v>
      </c>
      <c r="M62" s="1460" t="s">
        <v>858</v>
      </c>
      <c r="O62" s="1414" t="s">
        <v>409</v>
      </c>
      <c r="P62" s="1415" t="s">
        <v>834</v>
      </c>
      <c r="Q62" s="1416">
        <f ca="1">Q56+Q57</f>
        <v>6932404</v>
      </c>
      <c r="R62" s="1416" t="s">
        <v>410</v>
      </c>
    </row>
    <row r="63" spans="1:18" s="1380" customFormat="1" ht="13.5" thickBot="1">
      <c r="A63" s="326"/>
      <c r="B63" s="952"/>
      <c r="C63" s="26"/>
      <c r="D63" s="962"/>
      <c r="E63" s="946"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8" t="s">
        <v>402</v>
      </c>
      <c r="B64" s="946" t="s">
        <v>734</v>
      </c>
      <c r="C64" s="21">
        <f ca="1">ROUND(C57*F64,0)</f>
        <v>17901</v>
      </c>
      <c r="D64" s="960" t="s">
        <v>767</v>
      </c>
      <c r="E64" s="946" t="s">
        <v>708</v>
      </c>
      <c r="F64" s="328">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2336</v>
      </c>
      <c r="D65" s="960" t="s">
        <v>739</v>
      </c>
      <c r="E65" s="946" t="s">
        <v>708</v>
      </c>
      <c r="F65" s="330">
        <f t="shared" ca="1" si="0"/>
        <v>1.5E-3</v>
      </c>
      <c r="I65" s="1458" t="s">
        <v>863</v>
      </c>
      <c r="J65" s="1459">
        <v>40</v>
      </c>
      <c r="K65" s="1459">
        <v>30</v>
      </c>
      <c r="L65" s="1459">
        <v>50</v>
      </c>
      <c r="M65" s="1461">
        <v>0.02</v>
      </c>
      <c r="O65" s="1414" t="s">
        <v>403</v>
      </c>
      <c r="P65" s="1415" t="s">
        <v>813</v>
      </c>
      <c r="Q65" s="1416">
        <f ca="1">C40+J29</f>
        <v>6932404</v>
      </c>
      <c r="R65" s="1416" t="s">
        <v>814</v>
      </c>
    </row>
    <row r="66" spans="1:18" s="1380" customFormat="1" ht="16.5" thickBot="1">
      <c r="A66" s="978" t="s">
        <v>789</v>
      </c>
      <c r="B66" s="946" t="s">
        <v>724</v>
      </c>
      <c r="C66" s="21">
        <f ca="1">ROUND(C48*F66,0)</f>
        <v>0</v>
      </c>
      <c r="D66" s="960" t="s">
        <v>744</v>
      </c>
      <c r="E66" s="946" t="s">
        <v>708</v>
      </c>
      <c r="F66" s="312">
        <f t="shared" ca="1" si="0"/>
        <v>0.01</v>
      </c>
      <c r="O66" s="1414" t="s">
        <v>404</v>
      </c>
      <c r="P66" s="1415" t="s">
        <v>842</v>
      </c>
      <c r="Q66" s="1416">
        <f ca="1">L60</f>
        <v>0</v>
      </c>
      <c r="R66" s="1416" t="s">
        <v>865</v>
      </c>
    </row>
    <row r="67" spans="1:18" s="1380" customFormat="1" ht="16.5" thickBot="1">
      <c r="A67" s="953" t="s">
        <v>394</v>
      </c>
      <c r="B67" s="963" t="s">
        <v>748</v>
      </c>
      <c r="C67" s="316">
        <f ca="1">C48-C58</f>
        <v>-20237</v>
      </c>
      <c r="D67" s="959" t="s">
        <v>749</v>
      </c>
      <c r="E67" s="964"/>
      <c r="F67" s="965"/>
      <c r="O67" s="1424" t="s">
        <v>405</v>
      </c>
      <c r="P67" s="1415" t="s">
        <v>846</v>
      </c>
      <c r="Q67" s="1462">
        <f ca="1">L51</f>
        <v>4723771</v>
      </c>
      <c r="R67" s="1416" t="s">
        <v>866</v>
      </c>
    </row>
    <row r="68" spans="1:18" s="1380" customFormat="1" ht="16.5" thickBot="1">
      <c r="A68" s="943" t="s">
        <v>395</v>
      </c>
      <c r="B68" s="944" t="s">
        <v>770</v>
      </c>
      <c r="C68" s="301">
        <f ca="1">ROUND(C67*(1-((1+F70)/(1+F68))^F69)/(F68-F70),0)</f>
        <v>-293219</v>
      </c>
      <c r="D68" s="961" t="s">
        <v>754</v>
      </c>
      <c r="E68" s="946" t="s">
        <v>755</v>
      </c>
      <c r="F68" s="312">
        <f ca="1">F40</f>
        <v>0.05</v>
      </c>
      <c r="O68" s="1424" t="s">
        <v>406</v>
      </c>
      <c r="P68" s="1463" t="s">
        <v>867</v>
      </c>
      <c r="Q68" s="1416">
        <f ca="1">ROUND(Q69-Q70*Q71,0)</f>
        <v>239033</v>
      </c>
      <c r="R68" s="1416" t="s">
        <v>414</v>
      </c>
    </row>
    <row r="69" spans="1:18" s="1380" customFormat="1" ht="13.5" thickBot="1">
      <c r="A69" s="947"/>
      <c r="B69" s="948"/>
      <c r="C69" s="306"/>
      <c r="D69" s="966" t="s">
        <v>758</v>
      </c>
      <c r="E69" s="946" t="s">
        <v>759</v>
      </c>
      <c r="F69" s="333">
        <f ca="1">F41</f>
        <v>26.42</v>
      </c>
      <c r="O69" s="1424" t="s">
        <v>411</v>
      </c>
      <c r="P69" s="1463" t="s">
        <v>868</v>
      </c>
      <c r="Q69" s="1416">
        <f ca="1">C39</f>
        <v>348049</v>
      </c>
      <c r="R69" s="1416" t="s">
        <v>814</v>
      </c>
    </row>
    <row r="70" spans="1:18" s="1380" customFormat="1" ht="13.5" thickBot="1">
      <c r="A70" s="950"/>
      <c r="B70" s="951"/>
      <c r="C70" s="310"/>
      <c r="D70" s="962"/>
      <c r="E70" s="946" t="s">
        <v>762</v>
      </c>
      <c r="F70" s="1050"/>
      <c r="O70" s="1424" t="s">
        <v>412</v>
      </c>
      <c r="P70" s="1463" t="s">
        <v>869</v>
      </c>
      <c r="Q70" s="1416">
        <f ca="1">C13</f>
        <v>1557372</v>
      </c>
      <c r="R70" s="1416" t="s">
        <v>814</v>
      </c>
    </row>
    <row r="71" spans="1:18" s="1380" customFormat="1" ht="13.5" thickBot="1">
      <c r="A71" s="967" t="s">
        <v>396</v>
      </c>
      <c r="B71" s="968" t="s">
        <v>772</v>
      </c>
      <c r="C71" s="336">
        <f ca="1">ROUND(C68/F71,0)</f>
        <v>-846</v>
      </c>
      <c r="D71" s="969" t="s">
        <v>773</v>
      </c>
      <c r="E71" s="970" t="s">
        <v>774</v>
      </c>
      <c r="F71" s="339">
        <f ca="1">F43</f>
        <v>346.45</v>
      </c>
      <c r="O71" s="1424" t="s">
        <v>413</v>
      </c>
      <c r="P71" s="1463" t="s">
        <v>870</v>
      </c>
      <c r="Q71" s="1427">
        <f ca="1">C76</f>
        <v>7.0000000000000007E-2</v>
      </c>
      <c r="R71" s="1416"/>
    </row>
    <row r="72" spans="1:18" s="1380" customFormat="1" ht="13.5" thickBot="1">
      <c r="B72" s="726"/>
      <c r="C72" s="726"/>
      <c r="O72" s="1424" t="s">
        <v>407</v>
      </c>
      <c r="P72" s="1415" t="s">
        <v>848</v>
      </c>
      <c r="Q72" s="1427">
        <f>L52</f>
        <v>0</v>
      </c>
      <c r="R72" s="1416"/>
    </row>
    <row r="73" spans="1:18" ht="16.5" thickBot="1">
      <c r="A73" s="1380"/>
      <c r="B73" s="726"/>
      <c r="C73" s="726"/>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109016</v>
      </c>
      <c r="D75" s="1380"/>
      <c r="E75" s="1380"/>
      <c r="F75" s="1380"/>
      <c r="K75" s="1398"/>
      <c r="L75" s="1380"/>
      <c r="O75" s="1414" t="s">
        <v>409</v>
      </c>
      <c r="P75" s="1415" t="s">
        <v>834</v>
      </c>
      <c r="Q75" s="1416">
        <f ca="1">Q65+Q66</f>
        <v>6932404</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0.68700000000000006</v>
      </c>
    </row>
    <row r="80" spans="1:18">
      <c r="B80" s="340" t="s">
        <v>796</v>
      </c>
      <c r="C80" s="274">
        <f ca="1">ROUND(C75/C39,3)</f>
        <v>0.313</v>
      </c>
    </row>
    <row r="81" spans="2:3">
      <c r="B81" s="270" t="s">
        <v>797</v>
      </c>
      <c r="C81" s="238"/>
    </row>
    <row r="82" spans="2:3">
      <c r="B82" s="273" t="s">
        <v>798</v>
      </c>
      <c r="C82" s="275">
        <f ca="1">1-C83</f>
        <v>0.77500000000000002</v>
      </c>
    </row>
    <row r="83" spans="2:3">
      <c r="B83" s="273" t="s">
        <v>799</v>
      </c>
      <c r="C83" s="274">
        <f ca="1">ROUND(C13/C40,3)</f>
        <v>0.22500000000000001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1655</v>
      </c>
      <c r="B1" s="1953" t="s">
        <v>1821</v>
      </c>
      <c r="C1" s="1220" t="s">
        <v>1657</v>
      </c>
      <c r="D1" s="1221"/>
      <c r="E1" s="3425"/>
      <c r="F1" s="1875"/>
      <c r="G1" s="1231" t="s">
        <v>1762</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1458</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680.04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686" t="s">
        <v>1765</v>
      </c>
      <c r="D4" s="3687"/>
      <c r="E4" s="3688" t="s">
        <v>1766</v>
      </c>
      <c r="F4" s="3689"/>
      <c r="G4" s="3686" t="s">
        <v>1767</v>
      </c>
      <c r="H4" s="3687"/>
      <c r="I4" s="3686" t="s">
        <v>1768</v>
      </c>
      <c r="J4" s="3687"/>
      <c r="K4" s="559" t="s">
        <v>1769</v>
      </c>
      <c r="L4" s="909"/>
      <c r="M4" s="910"/>
      <c r="N4" s="910"/>
      <c r="O4" s="910"/>
      <c r="P4" s="3759" t="s">
        <v>1770</v>
      </c>
      <c r="Q4" s="3760"/>
      <c r="R4" s="3754" t="s">
        <v>1766</v>
      </c>
      <c r="S4" s="3755"/>
      <c r="T4" s="3754" t="s">
        <v>1767</v>
      </c>
      <c r="U4" s="3755"/>
      <c r="V4" s="3709" t="s">
        <v>1768</v>
      </c>
      <c r="W4" s="3709"/>
      <c r="X4" s="1351"/>
      <c r="Y4" s="3754" t="s">
        <v>1770</v>
      </c>
      <c r="Z4" s="3755"/>
      <c r="AA4" s="3753" t="s">
        <v>1766</v>
      </c>
      <c r="AB4" s="3711" t="s">
        <v>1767</v>
      </c>
      <c r="AC4" s="3753" t="s">
        <v>1768</v>
      </c>
    </row>
    <row r="5" spans="1:29" ht="15">
      <c r="A5" s="358"/>
      <c r="B5" s="359"/>
      <c r="C5" s="3758" t="s">
        <v>1668</v>
      </c>
      <c r="D5" s="3701"/>
      <c r="E5" s="3756" t="s">
        <v>1669</v>
      </c>
      <c r="F5" s="3757"/>
      <c r="G5" s="3758" t="s">
        <v>1670</v>
      </c>
      <c r="H5" s="3701"/>
      <c r="I5" s="3758" t="s">
        <v>1671</v>
      </c>
      <c r="J5" s="3701"/>
      <c r="K5" s="559"/>
      <c r="L5" s="909"/>
      <c r="M5" s="910"/>
      <c r="N5" s="910"/>
      <c r="O5" s="910"/>
      <c r="P5" s="3761"/>
      <c r="Q5" s="3693"/>
      <c r="R5" s="3698"/>
      <c r="S5" s="3699"/>
      <c r="T5" s="3698"/>
      <c r="U5" s="3699"/>
      <c r="V5" s="3709"/>
      <c r="W5" s="3709"/>
      <c r="X5" s="1351"/>
      <c r="Y5" s="3698"/>
      <c r="Z5" s="3699"/>
      <c r="AA5" s="3711"/>
      <c r="AB5" s="3711"/>
      <c r="AC5" s="3711"/>
    </row>
    <row r="6" spans="1:29" ht="15.75" thickBot="1">
      <c r="A6" s="360"/>
      <c r="B6" s="361"/>
      <c r="C6" s="3702" t="s">
        <v>1672</v>
      </c>
      <c r="D6" s="3703"/>
      <c r="E6" s="3704" t="s">
        <v>1672</v>
      </c>
      <c r="F6" s="3705"/>
      <c r="G6" s="3702" t="s">
        <v>1672</v>
      </c>
      <c r="H6" s="3703"/>
      <c r="I6" s="3702" t="s">
        <v>1672</v>
      </c>
      <c r="J6" s="3703"/>
      <c r="K6" s="559" t="s">
        <v>1673</v>
      </c>
      <c r="L6" s="909"/>
      <c r="M6" s="910"/>
      <c r="N6" s="910"/>
      <c r="O6" s="910"/>
      <c r="P6" s="3762"/>
      <c r="Q6" s="3695"/>
      <c r="R6" s="3698"/>
      <c r="S6" s="3699"/>
      <c r="T6" s="3706"/>
      <c r="U6" s="3707"/>
      <c r="V6" s="3709"/>
      <c r="W6" s="3709"/>
      <c r="X6" s="1351"/>
      <c r="Y6" s="3706"/>
      <c r="Z6" s="3707"/>
      <c r="AA6" s="3712"/>
      <c r="AB6" s="3712"/>
      <c r="AC6" s="3712"/>
    </row>
    <row r="7" spans="1:29" s="108" customFormat="1" ht="15.75" thickBot="1">
      <c r="A7" s="362" t="s">
        <v>1674</v>
      </c>
      <c r="B7" s="363"/>
      <c r="C7" s="364">
        <f>'数据-取费表'!B2</f>
        <v>45034</v>
      </c>
      <c r="D7" s="365">
        <v>100</v>
      </c>
      <c r="E7" s="366"/>
      <c r="F7" s="367">
        <f>SUMIF(52:52,YEAR(E7)&amp;"-"&amp;MONTH(E7),53:53)</f>
        <v>0</v>
      </c>
      <c r="G7" s="366"/>
      <c r="H7" s="365">
        <f>SUMIF(52:52,YEAR(G7)&amp;"-"&amp;MONTH(G7),53:53)</f>
        <v>0</v>
      </c>
      <c r="I7" s="366"/>
      <c r="J7" s="365">
        <f>SUMIF(52:52,YEAR(I7)&amp;"-"&amp;MONTH(I7),53:53)</f>
        <v>0</v>
      </c>
      <c r="K7" s="560"/>
      <c r="L7" s="911"/>
      <c r="M7" s="912"/>
      <c r="N7" s="912"/>
      <c r="O7" s="912"/>
      <c r="P7" s="3716" t="s">
        <v>1675</v>
      </c>
      <c r="Q7" s="3714"/>
      <c r="R7" s="701" t="s">
        <v>14</v>
      </c>
      <c r="S7" s="702">
        <f t="shared" ref="S7:S15" si="0">F7</f>
        <v>0</v>
      </c>
      <c r="T7" s="701" t="s">
        <v>14</v>
      </c>
      <c r="U7" s="702">
        <f t="shared" ref="U7:U15" si="1">H7</f>
        <v>0</v>
      </c>
      <c r="V7" s="701" t="s">
        <v>14</v>
      </c>
      <c r="W7" s="702">
        <f t="shared" ref="W7:W15" si="2">J7</f>
        <v>0</v>
      </c>
      <c r="X7" s="703"/>
      <c r="Y7" s="3716" t="s">
        <v>1675</v>
      </c>
      <c r="Z7" s="3715"/>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6" t="s">
        <v>1678</v>
      </c>
      <c r="Q8" s="3715"/>
      <c r="R8" s="701" t="s">
        <v>14</v>
      </c>
      <c r="S8" s="702">
        <f t="shared" si="0"/>
        <v>100</v>
      </c>
      <c r="T8" s="701" t="s">
        <v>14</v>
      </c>
      <c r="U8" s="702">
        <f t="shared" si="1"/>
        <v>100</v>
      </c>
      <c r="V8" s="701" t="s">
        <v>14</v>
      </c>
      <c r="W8" s="702">
        <f t="shared" si="2"/>
        <v>100</v>
      </c>
      <c r="X8" s="703"/>
      <c r="Y8" s="3716" t="s">
        <v>1678</v>
      </c>
      <c r="Z8" s="3715"/>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7" t="s">
        <v>1681</v>
      </c>
      <c r="Q9" s="1339" t="str">
        <f t="shared" ref="Q9:Q15" si="6">B9</f>
        <v>用途</v>
      </c>
      <c r="R9" s="701" t="s">
        <v>14</v>
      </c>
      <c r="S9" s="702">
        <f t="shared" si="0"/>
        <v>100</v>
      </c>
      <c r="T9" s="701" t="s">
        <v>14</v>
      </c>
      <c r="U9" s="702">
        <f t="shared" si="1"/>
        <v>100</v>
      </c>
      <c r="V9" s="701" t="s">
        <v>14</v>
      </c>
      <c r="W9" s="702">
        <f t="shared" si="2"/>
        <v>100</v>
      </c>
      <c r="X9" s="703"/>
      <c r="Y9" s="3651" t="s">
        <v>1682</v>
      </c>
      <c r="Z9" s="52" t="str">
        <f t="shared" ref="Z9:Z15" si="7">Q9</f>
        <v>用途</v>
      </c>
      <c r="AA9" s="704">
        <f t="shared" si="3"/>
        <v>1</v>
      </c>
      <c r="AB9" s="704">
        <f t="shared" si="4"/>
        <v>1</v>
      </c>
      <c r="AC9" s="704">
        <f t="shared" si="5"/>
        <v>1</v>
      </c>
    </row>
    <row r="10" spans="1:29" s="378" customFormat="1" ht="27">
      <c r="A10" s="374"/>
      <c r="B10" s="375" t="s">
        <v>1683</v>
      </c>
      <c r="C10" s="3426"/>
      <c r="D10" s="127">
        <v>100</v>
      </c>
      <c r="E10" s="3426"/>
      <c r="F10" s="127">
        <f>SUMIF(59:59,E10,60:60)-SUMIF(59:59,C10,60:60)+100</f>
        <v>100</v>
      </c>
      <c r="G10" s="3427"/>
      <c r="H10" s="127">
        <f>SUMIF(59:59,G10,60:60)-SUMIF(59:59,C10,60:60)+100</f>
        <v>100</v>
      </c>
      <c r="I10" s="3426"/>
      <c r="J10" s="127">
        <f>SUMIF(59:59,I10,60:60)-SUMIF(59:59,C10,60:60)+100</f>
        <v>100</v>
      </c>
      <c r="K10" s="560"/>
      <c r="L10" s="914"/>
      <c r="M10" s="915"/>
      <c r="N10" s="915"/>
      <c r="O10" s="916"/>
      <c r="P10" s="3727"/>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7"/>
      <c r="Q11" s="1339"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27"/>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27"/>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27"/>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20" t="s">
        <v>1686</v>
      </c>
      <c r="Q15" s="1348" t="str">
        <f t="shared" si="6"/>
        <v>产业集聚程度</v>
      </c>
      <c r="R15" s="705" t="s">
        <v>14</v>
      </c>
      <c r="S15" s="706">
        <f t="shared" si="0"/>
        <v>100</v>
      </c>
      <c r="T15" s="705" t="s">
        <v>14</v>
      </c>
      <c r="U15" s="706">
        <f t="shared" si="1"/>
        <v>100</v>
      </c>
      <c r="V15" s="705" t="s">
        <v>14</v>
      </c>
      <c r="W15" s="706">
        <f t="shared" si="2"/>
        <v>100</v>
      </c>
      <c r="X15" s="1351"/>
      <c r="Y15" s="3720" t="s">
        <v>1686</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1"/>
      <c r="Q16" s="1348"/>
      <c r="R16" s="705"/>
      <c r="S16" s="706"/>
      <c r="T16" s="705"/>
      <c r="U16" s="706"/>
      <c r="V16" s="705"/>
      <c r="W16" s="706"/>
      <c r="X16" s="1351"/>
      <c r="Y16" s="3721"/>
      <c r="Z16" s="1352"/>
      <c r="AA16" s="1349">
        <v>1</v>
      </c>
      <c r="AB16" s="1349">
        <v>1</v>
      </c>
      <c r="AC16" s="1349">
        <v>1</v>
      </c>
    </row>
    <row r="17" spans="1:29" ht="85.5">
      <c r="A17" s="379"/>
      <c r="B17" s="402" t="s">
        <v>1254</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1"/>
      <c r="Q17" s="1348" t="str">
        <f>B17</f>
        <v>交通便捷度</v>
      </c>
      <c r="R17" s="705" t="s">
        <v>14</v>
      </c>
      <c r="S17" s="706">
        <f>F17</f>
        <v>100</v>
      </c>
      <c r="T17" s="705" t="s">
        <v>14</v>
      </c>
      <c r="U17" s="706">
        <f>H17</f>
        <v>100</v>
      </c>
      <c r="V17" s="705" t="s">
        <v>14</v>
      </c>
      <c r="W17" s="706">
        <f>J17</f>
        <v>100</v>
      </c>
      <c r="X17" s="1351"/>
      <c r="Y17" s="372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1"/>
      <c r="Q18" s="1348"/>
      <c r="R18" s="705"/>
      <c r="S18" s="706"/>
      <c r="T18" s="705"/>
      <c r="U18" s="706"/>
      <c r="V18" s="705"/>
      <c r="W18" s="706"/>
      <c r="X18" s="1351"/>
      <c r="Y18" s="3721"/>
      <c r="Z18" s="1352"/>
      <c r="AA18" s="1349">
        <v>1</v>
      </c>
      <c r="AB18" s="1349">
        <v>1</v>
      </c>
      <c r="AC18" s="1349">
        <v>1</v>
      </c>
    </row>
    <row r="19" spans="1:29" ht="42.75">
      <c r="A19" s="379"/>
      <c r="B19" s="402" t="s">
        <v>1807</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1"/>
      <c r="Q19" s="1348" t="str">
        <f>B19</f>
        <v>公共配套设施</v>
      </c>
      <c r="R19" s="705" t="s">
        <v>14</v>
      </c>
      <c r="S19" s="706">
        <f>F19</f>
        <v>100</v>
      </c>
      <c r="T19" s="705" t="s">
        <v>14</v>
      </c>
      <c r="U19" s="706">
        <f>H19</f>
        <v>100</v>
      </c>
      <c r="V19" s="705" t="s">
        <v>14</v>
      </c>
      <c r="W19" s="706">
        <f>J19</f>
        <v>100</v>
      </c>
      <c r="X19" s="1351"/>
      <c r="Y19" s="372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1"/>
      <c r="Q20" s="1348"/>
      <c r="R20" s="705"/>
      <c r="S20" s="706"/>
      <c r="T20" s="705"/>
      <c r="U20" s="706"/>
      <c r="V20" s="705"/>
      <c r="W20" s="706"/>
      <c r="X20" s="1351"/>
      <c r="Y20" s="3721"/>
      <c r="Z20" s="1352"/>
      <c r="AA20" s="1349">
        <v>1</v>
      </c>
      <c r="AB20" s="1349">
        <v>1</v>
      </c>
      <c r="AC20" s="1349">
        <v>1</v>
      </c>
    </row>
    <row r="21" spans="1:29" ht="28.5">
      <c r="A21" s="379"/>
      <c r="B21" s="1127" t="s">
        <v>1808</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1"/>
      <c r="Q21" s="1348" t="str">
        <f>B21</f>
        <v>基础设施水平</v>
      </c>
      <c r="R21" s="705" t="s">
        <v>14</v>
      </c>
      <c r="S21" s="706">
        <f>F21</f>
        <v>100</v>
      </c>
      <c r="T21" s="705" t="s">
        <v>14</v>
      </c>
      <c r="U21" s="706">
        <f>H21</f>
        <v>100</v>
      </c>
      <c r="V21" s="705" t="s">
        <v>14</v>
      </c>
      <c r="W21" s="706">
        <f>J21</f>
        <v>100</v>
      </c>
      <c r="X21" s="1351"/>
      <c r="Y21" s="372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1"/>
      <c r="Q22" s="1348"/>
      <c r="R22" s="705"/>
      <c r="S22" s="706"/>
      <c r="T22" s="705"/>
      <c r="U22" s="706"/>
      <c r="V22" s="705"/>
      <c r="W22" s="706"/>
      <c r="X22" s="1351"/>
      <c r="Y22" s="3721"/>
      <c r="Z22" s="1352"/>
      <c r="AA22" s="1349">
        <v>1</v>
      </c>
      <c r="AB22" s="1349">
        <v>1</v>
      </c>
      <c r="AC22" s="1349">
        <v>1</v>
      </c>
    </row>
    <row r="23" spans="1:29" ht="71.25">
      <c r="A23" s="379"/>
      <c r="B23" s="402" t="s">
        <v>1809</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1"/>
      <c r="Q23" s="1348" t="str">
        <f>B23</f>
        <v>环境质量</v>
      </c>
      <c r="R23" s="705" t="s">
        <v>14</v>
      </c>
      <c r="S23" s="706">
        <f>F23</f>
        <v>100</v>
      </c>
      <c r="T23" s="705" t="s">
        <v>14</v>
      </c>
      <c r="U23" s="706">
        <f>H23</f>
        <v>100</v>
      </c>
      <c r="V23" s="705" t="s">
        <v>14</v>
      </c>
      <c r="W23" s="706">
        <f>J23</f>
        <v>100</v>
      </c>
      <c r="X23" s="1351"/>
      <c r="Y23" s="3721"/>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1"/>
      <c r="Q24" s="1348"/>
      <c r="R24" s="705"/>
      <c r="S24" s="706"/>
      <c r="T24" s="705"/>
      <c r="U24" s="706"/>
      <c r="V24" s="705"/>
      <c r="W24" s="706"/>
      <c r="X24" s="1351"/>
      <c r="Y24" s="3721"/>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1"/>
      <c r="Q25" s="1348">
        <f>B25</f>
        <v>111</v>
      </c>
      <c r="R25" s="705" t="s">
        <v>14</v>
      </c>
      <c r="S25" s="706">
        <f>F25</f>
        <v>100</v>
      </c>
      <c r="T25" s="705" t="s">
        <v>14</v>
      </c>
      <c r="U25" s="706">
        <f>H25</f>
        <v>100</v>
      </c>
      <c r="V25" s="705" t="s">
        <v>14</v>
      </c>
      <c r="W25" s="706">
        <f>J25</f>
        <v>100</v>
      </c>
      <c r="X25" s="1351"/>
      <c r="Y25" s="3721"/>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1"/>
      <c r="Q26" s="1348">
        <f t="shared" ref="Q26:Q40" si="11">B26</f>
        <v>111</v>
      </c>
      <c r="R26" s="705" t="s">
        <v>14</v>
      </c>
      <c r="S26" s="706">
        <f>F26</f>
        <v>100</v>
      </c>
      <c r="T26" s="705" t="s">
        <v>14</v>
      </c>
      <c r="U26" s="706">
        <f>H26</f>
        <v>100</v>
      </c>
      <c r="V26" s="705" t="s">
        <v>14</v>
      </c>
      <c r="W26" s="706">
        <f>J26</f>
        <v>100</v>
      </c>
      <c r="X26" s="1351"/>
      <c r="Y26" s="3721"/>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1"/>
      <c r="Q27" s="1339">
        <f t="shared" si="11"/>
        <v>111</v>
      </c>
      <c r="R27" s="701" t="s">
        <v>14</v>
      </c>
      <c r="S27" s="702">
        <f>F27</f>
        <v>100</v>
      </c>
      <c r="T27" s="701" t="s">
        <v>14</v>
      </c>
      <c r="U27" s="702">
        <f>H27</f>
        <v>100</v>
      </c>
      <c r="V27" s="701" t="s">
        <v>14</v>
      </c>
      <c r="W27" s="702">
        <f>J27</f>
        <v>100</v>
      </c>
      <c r="X27" s="703"/>
      <c r="Y27" s="3721"/>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1"/>
      <c r="Q28" s="1348">
        <f t="shared" si="11"/>
        <v>111</v>
      </c>
      <c r="R28" s="705" t="s">
        <v>14</v>
      </c>
      <c r="S28" s="706">
        <f t="shared" ref="S28:S40" si="12">F28</f>
        <v>100</v>
      </c>
      <c r="T28" s="705" t="s">
        <v>14</v>
      </c>
      <c r="U28" s="706">
        <f t="shared" ref="U28:U40" si="13">H28</f>
        <v>100</v>
      </c>
      <c r="V28" s="705" t="s">
        <v>14</v>
      </c>
      <c r="W28" s="706">
        <f t="shared" ref="W28:W40" si="14">J28</f>
        <v>100</v>
      </c>
      <c r="X28" s="1351"/>
      <c r="Y28" s="3721"/>
      <c r="Z28" s="1352">
        <f t="shared" ref="Z28:Z40" si="15">Q28</f>
        <v>111</v>
      </c>
      <c r="AA28" s="1349">
        <f t="shared" si="3"/>
        <v>1</v>
      </c>
      <c r="AB28" s="1349">
        <f t="shared" si="4"/>
        <v>1</v>
      </c>
      <c r="AC28" s="1349">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66" t="s">
        <v>1691</v>
      </c>
      <c r="Q29" s="1348" t="str">
        <f t="shared" si="11"/>
        <v>建筑类型</v>
      </c>
      <c r="R29" s="705" t="s">
        <v>14</v>
      </c>
      <c r="S29" s="706">
        <f t="shared" si="12"/>
        <v>100</v>
      </c>
      <c r="T29" s="705" t="s">
        <v>14</v>
      </c>
      <c r="U29" s="706">
        <f t="shared" si="13"/>
        <v>100</v>
      </c>
      <c r="V29" s="705" t="s">
        <v>14</v>
      </c>
      <c r="W29" s="706">
        <f t="shared" si="14"/>
        <v>100</v>
      </c>
      <c r="X29" s="1351"/>
      <c r="Y29" s="3725" t="s">
        <v>1691</v>
      </c>
      <c r="Z29" s="1352" t="str">
        <f t="shared" si="15"/>
        <v>建筑类型</v>
      </c>
      <c r="AA29" s="1349">
        <f t="shared" si="3"/>
        <v>1</v>
      </c>
      <c r="AB29" s="1349">
        <f t="shared" si="4"/>
        <v>1</v>
      </c>
      <c r="AC29" s="1349">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49" t="e">
        <f t="shared" si="3"/>
        <v>#N/A</v>
      </c>
      <c r="AB30" s="1349" t="e">
        <f t="shared" si="4"/>
        <v>#N/A</v>
      </c>
      <c r="AC30" s="1349"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5"/>
      <c r="Q31" s="1348" t="str">
        <f t="shared" si="11"/>
        <v>建筑结构</v>
      </c>
      <c r="R31" s="705" t="s">
        <v>14</v>
      </c>
      <c r="S31" s="706">
        <f t="shared" si="12"/>
        <v>100</v>
      </c>
      <c r="T31" s="705" t="s">
        <v>14</v>
      </c>
      <c r="U31" s="706">
        <f t="shared" si="13"/>
        <v>100</v>
      </c>
      <c r="V31" s="705" t="s">
        <v>14</v>
      </c>
      <c r="W31" s="706">
        <f t="shared" si="14"/>
        <v>100</v>
      </c>
      <c r="X31" s="1351"/>
      <c r="Y31" s="3725"/>
      <c r="Z31" s="1352" t="str">
        <f t="shared" si="15"/>
        <v>建筑结构</v>
      </c>
      <c r="AA31" s="1349">
        <f t="shared" si="3"/>
        <v>1</v>
      </c>
      <c r="AB31" s="1349">
        <f t="shared" si="4"/>
        <v>1</v>
      </c>
      <c r="AC31" s="1349">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5"/>
      <c r="Q32" s="1348" t="str">
        <f t="shared" si="11"/>
        <v>公共部分装修</v>
      </c>
      <c r="R32" s="705" t="s">
        <v>14</v>
      </c>
      <c r="S32" s="706">
        <f t="shared" si="12"/>
        <v>100</v>
      </c>
      <c r="T32" s="705" t="s">
        <v>14</v>
      </c>
      <c r="U32" s="706">
        <f t="shared" si="13"/>
        <v>100</v>
      </c>
      <c r="V32" s="705" t="s">
        <v>14</v>
      </c>
      <c r="W32" s="706">
        <f t="shared" si="14"/>
        <v>100</v>
      </c>
      <c r="X32" s="1351"/>
      <c r="Y32" s="3725"/>
      <c r="Z32" s="1352" t="str">
        <f t="shared" si="15"/>
        <v>公共部分装修</v>
      </c>
      <c r="AA32" s="1349">
        <f t="shared" si="3"/>
        <v>1</v>
      </c>
      <c r="AB32" s="1349">
        <f t="shared" si="4"/>
        <v>1</v>
      </c>
      <c r="AC32" s="1349">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5"/>
      <c r="Q33" s="1348" t="str">
        <f t="shared" si="11"/>
        <v>成新度</v>
      </c>
      <c r="R33" s="705" t="s">
        <v>14</v>
      </c>
      <c r="S33" s="706" t="e">
        <f t="shared" si="12"/>
        <v>#N/A</v>
      </c>
      <c r="T33" s="705" t="s">
        <v>14</v>
      </c>
      <c r="U33" s="706" t="e">
        <f t="shared" si="13"/>
        <v>#N/A</v>
      </c>
      <c r="V33" s="705" t="s">
        <v>14</v>
      </c>
      <c r="W33" s="706" t="e">
        <f t="shared" si="14"/>
        <v>#N/A</v>
      </c>
      <c r="X33" s="1351"/>
      <c r="Y33" s="3725"/>
      <c r="Z33" s="1352" t="str">
        <f t="shared" si="15"/>
        <v>成新度</v>
      </c>
      <c r="AA33" s="1349" t="e">
        <f t="shared" si="3"/>
        <v>#N/A</v>
      </c>
      <c r="AB33" s="1349" t="e">
        <f t="shared" si="4"/>
        <v>#N/A</v>
      </c>
      <c r="AC33" s="1349"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5"/>
      <c r="Q34" s="1339"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5" t="s">
        <v>1691</v>
      </c>
      <c r="Q35" s="1348" t="str">
        <f t="shared" si="11"/>
        <v>市政基础设施</v>
      </c>
      <c r="R35" s="705" t="s">
        <v>14</v>
      </c>
      <c r="S35" s="706">
        <f t="shared" si="12"/>
        <v>100</v>
      </c>
      <c r="T35" s="705" t="s">
        <v>14</v>
      </c>
      <c r="U35" s="706">
        <f t="shared" si="13"/>
        <v>100</v>
      </c>
      <c r="V35" s="705" t="s">
        <v>14</v>
      </c>
      <c r="W35" s="706">
        <f t="shared" si="14"/>
        <v>100</v>
      </c>
      <c r="X35" s="1351"/>
      <c r="Y35" s="3725" t="s">
        <v>1691</v>
      </c>
      <c r="Z35" s="1352" t="str">
        <f t="shared" si="15"/>
        <v>市政基础设施</v>
      </c>
      <c r="AA35" s="1349">
        <f t="shared" si="3"/>
        <v>1</v>
      </c>
      <c r="AB35" s="1349">
        <f t="shared" si="4"/>
        <v>1</v>
      </c>
      <c r="AC35" s="1349">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5"/>
      <c r="Q36" s="1348" t="str">
        <f t="shared" si="11"/>
        <v>内部装修</v>
      </c>
      <c r="R36" s="705" t="s">
        <v>14</v>
      </c>
      <c r="S36" s="706">
        <f t="shared" si="12"/>
        <v>100</v>
      </c>
      <c r="T36" s="705" t="s">
        <v>14</v>
      </c>
      <c r="U36" s="706">
        <f t="shared" si="13"/>
        <v>100</v>
      </c>
      <c r="V36" s="705" t="s">
        <v>14</v>
      </c>
      <c r="W36" s="706">
        <f t="shared" si="14"/>
        <v>100</v>
      </c>
      <c r="X36" s="1351"/>
      <c r="Y36" s="3725"/>
      <c r="Z36" s="1352" t="str">
        <f t="shared" si="15"/>
        <v>内部装修</v>
      </c>
      <c r="AA36" s="1349">
        <f t="shared" si="3"/>
        <v>1</v>
      </c>
      <c r="AB36" s="1349">
        <f t="shared" si="4"/>
        <v>1</v>
      </c>
      <c r="AC36" s="1349">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5"/>
      <c r="Q37" s="1348" t="str">
        <f t="shared" si="11"/>
        <v>内部装修状况</v>
      </c>
      <c r="R37" s="705" t="s">
        <v>14</v>
      </c>
      <c r="S37" s="706">
        <f t="shared" si="12"/>
        <v>100</v>
      </c>
      <c r="T37" s="705" t="s">
        <v>14</v>
      </c>
      <c r="U37" s="706">
        <f t="shared" si="13"/>
        <v>100</v>
      </c>
      <c r="V37" s="705" t="s">
        <v>14</v>
      </c>
      <c r="W37" s="706">
        <f t="shared" si="14"/>
        <v>100</v>
      </c>
      <c r="X37" s="1351"/>
      <c r="Y37" s="3725"/>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5"/>
      <c r="Q39" s="1348">
        <f t="shared" si="11"/>
        <v>111</v>
      </c>
      <c r="R39" s="705" t="s">
        <v>14</v>
      </c>
      <c r="S39" s="706">
        <f t="shared" si="12"/>
        <v>100</v>
      </c>
      <c r="T39" s="705" t="s">
        <v>14</v>
      </c>
      <c r="U39" s="706">
        <f t="shared" si="13"/>
        <v>100</v>
      </c>
      <c r="V39" s="705" t="s">
        <v>14</v>
      </c>
      <c r="W39" s="706">
        <f t="shared" si="14"/>
        <v>100</v>
      </c>
      <c r="X39" s="1351"/>
      <c r="Y39" s="372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6"/>
      <c r="Q40" s="1348">
        <f t="shared" si="11"/>
        <v>111</v>
      </c>
      <c r="R40" s="705" t="s">
        <v>14</v>
      </c>
      <c r="S40" s="706">
        <f t="shared" si="12"/>
        <v>100</v>
      </c>
      <c r="T40" s="705" t="s">
        <v>14</v>
      </c>
      <c r="U40" s="706">
        <f t="shared" si="13"/>
        <v>100</v>
      </c>
      <c r="V40" s="705" t="s">
        <v>14</v>
      </c>
      <c r="W40" s="706">
        <f t="shared" si="14"/>
        <v>100</v>
      </c>
      <c r="X40" s="1351"/>
      <c r="Y40" s="3726"/>
      <c r="Z40" s="1352">
        <f t="shared" si="15"/>
        <v>111</v>
      </c>
      <c r="AA40" s="1349">
        <f t="shared" si="3"/>
        <v>1</v>
      </c>
      <c r="AB40" s="1349">
        <f t="shared" si="4"/>
        <v>1</v>
      </c>
      <c r="AC40" s="1349">
        <f t="shared" si="5"/>
        <v>1</v>
      </c>
    </row>
    <row r="41" spans="1:29" ht="15">
      <c r="A41" s="430" t="s">
        <v>1703</v>
      </c>
      <c r="B41" s="431"/>
      <c r="C41" s="1150" t="s">
        <v>0</v>
      </c>
      <c r="D41" s="1151"/>
      <c r="E41" s="1152"/>
      <c r="F41" s="1153"/>
      <c r="G41" s="1154"/>
      <c r="H41" s="1155"/>
      <c r="I41" s="1152"/>
      <c r="J41" s="1155"/>
      <c r="K41" s="714"/>
      <c r="L41" s="922"/>
      <c r="M41" s="923"/>
      <c r="N41" s="910"/>
      <c r="O41" s="923"/>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1788</v>
      </c>
      <c r="B42" s="438"/>
      <c r="C42" s="1156" t="e">
        <f>R43</f>
        <v>#DIV/0!</v>
      </c>
      <c r="D42" s="2312" t="s">
        <v>2133</v>
      </c>
      <c r="E42" s="1157" t="e">
        <f>R42</f>
        <v>#DIV/0!</v>
      </c>
      <c r="F42" s="2313"/>
      <c r="G42" s="1156" t="e">
        <f>T42</f>
        <v>#DIV/0!</v>
      </c>
      <c r="H42" s="2313"/>
      <c r="I42" s="1157" t="e">
        <f>V42</f>
        <v>#DIV/0!</v>
      </c>
      <c r="J42" s="2313"/>
      <c r="K42" s="2315">
        <f>F42+H42+J42</f>
        <v>0</v>
      </c>
      <c r="L42" s="922"/>
      <c r="M42" s="923"/>
      <c r="N42" s="910"/>
      <c r="O42" s="923"/>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1789</v>
      </c>
      <c r="B43" s="442"/>
      <c r="C43" s="1159" t="e">
        <f>R43</f>
        <v>#DIV/0!</v>
      </c>
      <c r="D43" s="1159"/>
      <c r="E43" s="1159"/>
      <c r="F43" s="1159"/>
      <c r="G43" s="1159"/>
      <c r="H43" s="1159"/>
      <c r="I43" s="1159"/>
      <c r="J43" s="1159"/>
      <c r="K43" s="715"/>
      <c r="L43" s="922"/>
      <c r="M43" s="923"/>
      <c r="N43" s="923"/>
      <c r="O43" s="923"/>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80" t="str">
        <f>YEAR(C7)&amp;"-"&amp;MONTH(C7)</f>
        <v>2023-4</v>
      </c>
      <c r="D52" s="1181">
        <f>EDATE(C52,-1)</f>
        <v>44986</v>
      </c>
      <c r="E52" s="1181">
        <f t="shared" ref="E52:O52" si="16">EDATE(D52,-1)</f>
        <v>44958</v>
      </c>
      <c r="F52" s="1181">
        <f t="shared" si="16"/>
        <v>44927</v>
      </c>
      <c r="G52" s="1181">
        <f t="shared" si="16"/>
        <v>44896</v>
      </c>
      <c r="H52" s="1181">
        <f t="shared" si="16"/>
        <v>44866</v>
      </c>
      <c r="I52" s="1181">
        <f t="shared" si="16"/>
        <v>44835</v>
      </c>
      <c r="J52" s="1181">
        <f t="shared" si="16"/>
        <v>44805</v>
      </c>
      <c r="K52" s="1181">
        <f t="shared" si="16"/>
        <v>44774</v>
      </c>
      <c r="L52" s="1181">
        <f t="shared" si="16"/>
        <v>44743</v>
      </c>
      <c r="M52" s="1181">
        <f t="shared" si="16"/>
        <v>44713</v>
      </c>
      <c r="N52" s="1181">
        <f t="shared" si="16"/>
        <v>44682</v>
      </c>
      <c r="O52" s="1181">
        <f t="shared" si="16"/>
        <v>44652</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3"/>
      <c r="O54" s="2764"/>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1826</v>
      </c>
      <c r="B1" s="1219" t="s">
        <v>3335</v>
      </c>
      <c r="C1" s="1220" t="s">
        <v>1657</v>
      </c>
      <c r="D1" s="1221"/>
      <c r="E1" s="3425"/>
      <c r="F1" s="1875"/>
      <c r="G1" s="1223" t="s">
        <v>1762</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1458</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1764</v>
      </c>
      <c r="B4" s="356"/>
      <c r="C4" s="3686" t="s">
        <v>1765</v>
      </c>
      <c r="D4" s="3687"/>
      <c r="E4" s="3688" t="s">
        <v>1766</v>
      </c>
      <c r="F4" s="3689"/>
      <c r="G4" s="3686" t="s">
        <v>1767</v>
      </c>
      <c r="H4" s="3687"/>
      <c r="I4" s="3686" t="s">
        <v>1768</v>
      </c>
      <c r="J4" s="3687"/>
      <c r="K4" s="559" t="s">
        <v>1769</v>
      </c>
      <c r="L4" s="2708"/>
      <c r="M4" s="2709"/>
      <c r="N4" s="2709"/>
      <c r="O4" s="2709"/>
      <c r="P4" s="3759" t="s">
        <v>1770</v>
      </c>
      <c r="Q4" s="3760"/>
      <c r="R4" s="3754" t="s">
        <v>1766</v>
      </c>
      <c r="S4" s="3755"/>
      <c r="T4" s="3754" t="s">
        <v>1767</v>
      </c>
      <c r="U4" s="3755"/>
      <c r="V4" s="3709" t="s">
        <v>1768</v>
      </c>
      <c r="W4" s="3709"/>
      <c r="X4" s="1351"/>
      <c r="Y4" s="3754" t="s">
        <v>1770</v>
      </c>
      <c r="Z4" s="3755"/>
      <c r="AA4" s="3753" t="s">
        <v>1766</v>
      </c>
      <c r="AB4" s="3711" t="s">
        <v>1767</v>
      </c>
      <c r="AC4" s="3753" t="s">
        <v>1768</v>
      </c>
    </row>
    <row r="5" spans="1:29" ht="15">
      <c r="A5" s="358"/>
      <c r="B5" s="359"/>
      <c r="C5" s="3758" t="s">
        <v>1668</v>
      </c>
      <c r="D5" s="3701"/>
      <c r="E5" s="3756" t="s">
        <v>1669</v>
      </c>
      <c r="F5" s="3757"/>
      <c r="G5" s="3758" t="s">
        <v>1670</v>
      </c>
      <c r="H5" s="3701"/>
      <c r="I5" s="3758" t="s">
        <v>1671</v>
      </c>
      <c r="J5" s="3701"/>
      <c r="K5" s="559"/>
      <c r="L5" s="2708"/>
      <c r="M5" s="2709"/>
      <c r="N5" s="2709"/>
      <c r="O5" s="2709"/>
      <c r="P5" s="3761"/>
      <c r="Q5" s="3693"/>
      <c r="R5" s="3698"/>
      <c r="S5" s="3699"/>
      <c r="T5" s="3698"/>
      <c r="U5" s="3699"/>
      <c r="V5" s="3709"/>
      <c r="W5" s="3709"/>
      <c r="X5" s="1351"/>
      <c r="Y5" s="3698"/>
      <c r="Z5" s="3699"/>
      <c r="AA5" s="3711"/>
      <c r="AB5" s="3711"/>
      <c r="AC5" s="3711"/>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762"/>
      <c r="Q6" s="3695"/>
      <c r="R6" s="3698"/>
      <c r="S6" s="3699"/>
      <c r="T6" s="3706"/>
      <c r="U6" s="3707"/>
      <c r="V6" s="3709"/>
      <c r="W6" s="3709"/>
      <c r="X6" s="1351"/>
      <c r="Y6" s="3706"/>
      <c r="Z6" s="3707"/>
      <c r="AA6" s="3712"/>
      <c r="AB6" s="3712"/>
      <c r="AC6" s="3712"/>
    </row>
    <row r="7" spans="1:29" s="108" customFormat="1" ht="15.75" thickBot="1">
      <c r="A7" s="362" t="s">
        <v>1674</v>
      </c>
      <c r="B7" s="363"/>
      <c r="C7" s="364">
        <f>'数据-取费表'!B2</f>
        <v>45034</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16" t="s">
        <v>1675</v>
      </c>
      <c r="Q7" s="3714"/>
      <c r="R7" s="701" t="s">
        <v>14</v>
      </c>
      <c r="S7" s="702">
        <f t="shared" ref="S7:S14" si="0">F7</f>
        <v>0</v>
      </c>
      <c r="T7" s="701" t="s">
        <v>14</v>
      </c>
      <c r="U7" s="702">
        <f t="shared" ref="U7:U14" si="1">H7</f>
        <v>0</v>
      </c>
      <c r="V7" s="701" t="s">
        <v>14</v>
      </c>
      <c r="W7" s="702">
        <f t="shared" ref="W7:W14" si="2">J7</f>
        <v>0</v>
      </c>
      <c r="X7" s="703"/>
      <c r="Y7" s="3716" t="s">
        <v>1675</v>
      </c>
      <c r="Z7" s="3715"/>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16" t="s">
        <v>1678</v>
      </c>
      <c r="Q8" s="3715"/>
      <c r="R8" s="701" t="s">
        <v>14</v>
      </c>
      <c r="S8" s="702">
        <f t="shared" si="0"/>
        <v>100</v>
      </c>
      <c r="T8" s="701" t="s">
        <v>14</v>
      </c>
      <c r="U8" s="702">
        <f t="shared" si="1"/>
        <v>100</v>
      </c>
      <c r="V8" s="701" t="s">
        <v>14</v>
      </c>
      <c r="W8" s="702">
        <f t="shared" si="2"/>
        <v>100</v>
      </c>
      <c r="X8" s="703"/>
      <c r="Y8" s="3716" t="s">
        <v>1678</v>
      </c>
      <c r="Z8" s="3715"/>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7" t="s">
        <v>1681</v>
      </c>
      <c r="Q9" s="1339" t="str">
        <f t="shared" ref="Q9:Q14" si="6">B9</f>
        <v>用途</v>
      </c>
      <c r="R9" s="701" t="s">
        <v>14</v>
      </c>
      <c r="S9" s="702">
        <f t="shared" si="0"/>
        <v>100</v>
      </c>
      <c r="T9" s="701" t="s">
        <v>14</v>
      </c>
      <c r="U9" s="702">
        <f t="shared" si="1"/>
        <v>100</v>
      </c>
      <c r="V9" s="701" t="s">
        <v>14</v>
      </c>
      <c r="W9" s="702">
        <f t="shared" si="2"/>
        <v>100</v>
      </c>
      <c r="X9" s="703"/>
      <c r="Y9" s="3651" t="s">
        <v>1682</v>
      </c>
      <c r="Z9" s="52" t="str">
        <f t="shared" ref="Z9:Z14" si="7">Q9</f>
        <v>用途</v>
      </c>
      <c r="AA9" s="704">
        <f t="shared" si="3"/>
        <v>1</v>
      </c>
      <c r="AB9" s="704">
        <f t="shared" si="4"/>
        <v>1</v>
      </c>
      <c r="AC9" s="704">
        <f t="shared" si="5"/>
        <v>1</v>
      </c>
    </row>
    <row r="10" spans="1:29" s="378" customFormat="1" ht="27">
      <c r="A10" s="589"/>
      <c r="B10" s="590" t="s">
        <v>1683</v>
      </c>
      <c r="C10" s="3426"/>
      <c r="D10" s="127">
        <v>100</v>
      </c>
      <c r="E10" s="3426"/>
      <c r="F10" s="127">
        <f>SUMIF(55:55,E10,56:56)-SUMIF(55:55,C10,56:56)+100</f>
        <v>100</v>
      </c>
      <c r="G10" s="3427"/>
      <c r="H10" s="127">
        <f>SUMIF(55:55,G10,56:56)-SUMIF(55:55,C10,56:56)+100</f>
        <v>100</v>
      </c>
      <c r="I10" s="3426"/>
      <c r="J10" s="127">
        <f>SUMIF(55:55,I10,56:56)-SUMIF(55:55,C10,56:56)+100</f>
        <v>100</v>
      </c>
      <c r="K10" s="560"/>
      <c r="L10" s="2712"/>
      <c r="M10" s="2713"/>
      <c r="N10" s="2713"/>
      <c r="O10" s="2713"/>
      <c r="P10" s="3727"/>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7"/>
      <c r="Q11" s="1339">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7"/>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7"/>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0" t="s">
        <v>1686</v>
      </c>
      <c r="Q14" s="1348" t="str">
        <f t="shared" si="6"/>
        <v>交通便捷度</v>
      </c>
      <c r="R14" s="705" t="s">
        <v>14</v>
      </c>
      <c r="S14" s="706">
        <f t="shared" si="0"/>
        <v>100</v>
      </c>
      <c r="T14" s="705" t="s">
        <v>14</v>
      </c>
      <c r="U14" s="706">
        <f t="shared" si="1"/>
        <v>100</v>
      </c>
      <c r="V14" s="705" t="s">
        <v>14</v>
      </c>
      <c r="W14" s="706">
        <f t="shared" si="2"/>
        <v>100</v>
      </c>
      <c r="X14" s="1351"/>
      <c r="Y14" s="3720" t="s">
        <v>1686</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1"/>
      <c r="Q15" s="1348"/>
      <c r="R15" s="705"/>
      <c r="S15" s="706"/>
      <c r="T15" s="705"/>
      <c r="U15" s="706"/>
      <c r="V15" s="705"/>
      <c r="W15" s="706"/>
      <c r="X15" s="1351"/>
      <c r="Y15" s="3721"/>
      <c r="Z15" s="1352"/>
      <c r="AA15" s="1349">
        <v>1</v>
      </c>
      <c r="AB15" s="1349">
        <v>1</v>
      </c>
      <c r="AC15" s="1349">
        <v>1</v>
      </c>
    </row>
    <row r="16" spans="1:29" ht="42.75">
      <c r="A16" s="358"/>
      <c r="B16" s="579" t="s">
        <v>1807</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1"/>
      <c r="Q16" s="1348" t="str">
        <f>B16</f>
        <v>公共配套设施</v>
      </c>
      <c r="R16" s="705" t="s">
        <v>14</v>
      </c>
      <c r="S16" s="706">
        <f>F16</f>
        <v>100</v>
      </c>
      <c r="T16" s="705" t="s">
        <v>14</v>
      </c>
      <c r="U16" s="706">
        <f>H16</f>
        <v>100</v>
      </c>
      <c r="V16" s="705" t="s">
        <v>14</v>
      </c>
      <c r="W16" s="706">
        <f>J16</f>
        <v>100</v>
      </c>
      <c r="X16" s="1351"/>
      <c r="Y16" s="372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1"/>
      <c r="Q17" s="1348"/>
      <c r="R17" s="705"/>
      <c r="S17" s="706"/>
      <c r="T17" s="705"/>
      <c r="U17" s="706"/>
      <c r="V17" s="705"/>
      <c r="W17" s="706"/>
      <c r="X17" s="1351"/>
      <c r="Y17" s="3721"/>
      <c r="Z17" s="1352"/>
      <c r="AA17" s="1349">
        <v>1</v>
      </c>
      <c r="AB17" s="1349">
        <v>1</v>
      </c>
      <c r="AC17" s="1349">
        <v>1</v>
      </c>
    </row>
    <row r="18" spans="1:29" ht="28.5">
      <c r="A18" s="358"/>
      <c r="B18" s="581" t="s">
        <v>1808</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1"/>
      <c r="Q18" s="1348" t="str">
        <f>B18</f>
        <v>基础设施水平</v>
      </c>
      <c r="R18" s="705" t="s">
        <v>14</v>
      </c>
      <c r="S18" s="706">
        <f>F18</f>
        <v>100</v>
      </c>
      <c r="T18" s="705" t="s">
        <v>14</v>
      </c>
      <c r="U18" s="706">
        <f>H18</f>
        <v>100</v>
      </c>
      <c r="V18" s="705" t="s">
        <v>14</v>
      </c>
      <c r="W18" s="706">
        <f>J18</f>
        <v>100</v>
      </c>
      <c r="X18" s="1351"/>
      <c r="Y18" s="372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1"/>
      <c r="Q19" s="1348"/>
      <c r="R19" s="705"/>
      <c r="S19" s="706"/>
      <c r="T19" s="705"/>
      <c r="U19" s="706"/>
      <c r="V19" s="705"/>
      <c r="W19" s="706"/>
      <c r="X19" s="1351"/>
      <c r="Y19" s="3721"/>
      <c r="Z19" s="1352"/>
      <c r="AA19" s="1349">
        <v>1</v>
      </c>
      <c r="AB19" s="1349">
        <v>1</v>
      </c>
      <c r="AC19" s="1349">
        <v>1</v>
      </c>
    </row>
    <row r="20" spans="1:29" ht="57">
      <c r="A20" s="358"/>
      <c r="B20" s="579" t="s">
        <v>1829</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1"/>
      <c r="Q20" s="1348" t="str">
        <f>B20</f>
        <v>自然及人文环境</v>
      </c>
      <c r="R20" s="705" t="s">
        <v>14</v>
      </c>
      <c r="S20" s="706">
        <f>F20</f>
        <v>100</v>
      </c>
      <c r="T20" s="705" t="s">
        <v>14</v>
      </c>
      <c r="U20" s="706">
        <f>H20</f>
        <v>100</v>
      </c>
      <c r="V20" s="705" t="s">
        <v>14</v>
      </c>
      <c r="W20" s="706">
        <f>J20</f>
        <v>100</v>
      </c>
      <c r="X20" s="1351"/>
      <c r="Y20" s="372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1"/>
      <c r="Q21" s="1348"/>
      <c r="R21" s="705"/>
      <c r="S21" s="706"/>
      <c r="T21" s="705"/>
      <c r="U21" s="706"/>
      <c r="V21" s="705"/>
      <c r="W21" s="706"/>
      <c r="X21" s="1351"/>
      <c r="Y21" s="3721"/>
      <c r="Z21" s="1352"/>
      <c r="AA21" s="1349">
        <v>1</v>
      </c>
      <c r="AB21" s="1349">
        <v>1</v>
      </c>
      <c r="AC21" s="1349">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1"/>
      <c r="Q22" s="1348" t="str">
        <f>B22</f>
        <v>楼层</v>
      </c>
      <c r="R22" s="705" t="s">
        <v>14</v>
      </c>
      <c r="S22" s="706">
        <f>F22</f>
        <v>100</v>
      </c>
      <c r="T22" s="705" t="s">
        <v>14</v>
      </c>
      <c r="U22" s="706">
        <f>H22</f>
        <v>100</v>
      </c>
      <c r="V22" s="705" t="s">
        <v>14</v>
      </c>
      <c r="W22" s="706">
        <f>J22</f>
        <v>100</v>
      </c>
      <c r="X22" s="1351"/>
      <c r="Y22" s="372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1"/>
      <c r="Q23" s="1348">
        <f>B23</f>
        <v>111</v>
      </c>
      <c r="R23" s="705" t="s">
        <v>14</v>
      </c>
      <c r="S23" s="706">
        <f>F23</f>
        <v>100</v>
      </c>
      <c r="T23" s="705" t="s">
        <v>14</v>
      </c>
      <c r="U23" s="706">
        <f>H23</f>
        <v>100</v>
      </c>
      <c r="V23" s="705" t="s">
        <v>14</v>
      </c>
      <c r="W23" s="706">
        <f>J23</f>
        <v>100</v>
      </c>
      <c r="X23" s="1351"/>
      <c r="Y23" s="372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1"/>
      <c r="Q24" s="1348">
        <f t="shared" ref="Q24:Q36" si="11">B24</f>
        <v>111</v>
      </c>
      <c r="R24" s="705" t="s">
        <v>14</v>
      </c>
      <c r="S24" s="706">
        <f>F24</f>
        <v>100</v>
      </c>
      <c r="T24" s="705" t="s">
        <v>14</v>
      </c>
      <c r="U24" s="706">
        <f>H24</f>
        <v>100</v>
      </c>
      <c r="V24" s="705" t="s">
        <v>14</v>
      </c>
      <c r="W24" s="706">
        <f>J24</f>
        <v>100</v>
      </c>
      <c r="X24" s="1351"/>
      <c r="Y24" s="372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1"/>
      <c r="Q25" s="1339">
        <f t="shared" si="11"/>
        <v>111</v>
      </c>
      <c r="R25" s="701" t="s">
        <v>14</v>
      </c>
      <c r="S25" s="702">
        <f>F25</f>
        <v>100</v>
      </c>
      <c r="T25" s="701" t="s">
        <v>14</v>
      </c>
      <c r="U25" s="702">
        <f>H25</f>
        <v>100</v>
      </c>
      <c r="V25" s="701" t="s">
        <v>14</v>
      </c>
      <c r="W25" s="702">
        <f>J25</f>
        <v>100</v>
      </c>
      <c r="X25" s="703"/>
      <c r="Y25" s="3721"/>
      <c r="Z25" s="52">
        <f>Q25</f>
        <v>111</v>
      </c>
      <c r="AA25" s="1349">
        <f>D25/F25</f>
        <v>1</v>
      </c>
      <c r="AB25" s="1349">
        <f>D25/H25</f>
        <v>1</v>
      </c>
      <c r="AC25" s="1349">
        <f>D25/J25</f>
        <v>1</v>
      </c>
    </row>
    <row r="26" spans="1:29" ht="28.5">
      <c r="A26" s="600" t="s">
        <v>1689</v>
      </c>
      <c r="B26" s="62" t="s">
        <v>1831</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6" t="s">
        <v>1691</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5" t="s">
        <v>1691</v>
      </c>
      <c r="Z26" s="1352" t="str">
        <f t="shared" ref="Z26:Z36" si="15">Q26</f>
        <v>配套类型</v>
      </c>
      <c r="AA26" s="1349" t="e">
        <f t="shared" si="3"/>
        <v>#DIV/0!</v>
      </c>
      <c r="AB26" s="1349" t="e">
        <f t="shared" si="4"/>
        <v>#DIV/0!</v>
      </c>
      <c r="AC26" s="1349"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49">
        <f t="shared" si="3"/>
        <v>1</v>
      </c>
      <c r="AB27" s="1349">
        <f t="shared" si="4"/>
        <v>1</v>
      </c>
      <c r="AC27" s="1349">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5"/>
      <c r="Q28" s="1348" t="str">
        <f t="shared" si="11"/>
        <v>公共部分装修</v>
      </c>
      <c r="R28" s="705" t="s">
        <v>14</v>
      </c>
      <c r="S28" s="706">
        <f t="shared" si="12"/>
        <v>100</v>
      </c>
      <c r="T28" s="705" t="s">
        <v>14</v>
      </c>
      <c r="U28" s="706">
        <f t="shared" si="13"/>
        <v>100</v>
      </c>
      <c r="V28" s="705" t="s">
        <v>14</v>
      </c>
      <c r="W28" s="706">
        <f t="shared" si="14"/>
        <v>100</v>
      </c>
      <c r="X28" s="1351"/>
      <c r="Y28" s="3725"/>
      <c r="Z28" s="1352" t="str">
        <f t="shared" si="15"/>
        <v>公共部分装修</v>
      </c>
      <c r="AA28" s="1349">
        <f t="shared" si="3"/>
        <v>1</v>
      </c>
      <c r="AB28" s="1349">
        <f t="shared" si="4"/>
        <v>1</v>
      </c>
      <c r="AC28" s="1349">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5"/>
      <c r="Q29" s="1348" t="str">
        <f t="shared" si="11"/>
        <v>成新率</v>
      </c>
      <c r="R29" s="705" t="s">
        <v>14</v>
      </c>
      <c r="S29" s="706" t="e">
        <f t="shared" si="12"/>
        <v>#N/A</v>
      </c>
      <c r="T29" s="705" t="s">
        <v>14</v>
      </c>
      <c r="U29" s="706" t="e">
        <f t="shared" si="13"/>
        <v>#N/A</v>
      </c>
      <c r="V29" s="705" t="s">
        <v>14</v>
      </c>
      <c r="W29" s="706" t="e">
        <f t="shared" si="14"/>
        <v>#N/A</v>
      </c>
      <c r="X29" s="1351"/>
      <c r="Y29" s="3725"/>
      <c r="Z29" s="1352" t="str">
        <f t="shared" si="15"/>
        <v>成新率</v>
      </c>
      <c r="AA29" s="1349" t="e">
        <f t="shared" si="3"/>
        <v>#N/A</v>
      </c>
      <c r="AB29" s="1349" t="e">
        <f t="shared" si="4"/>
        <v>#N/A</v>
      </c>
      <c r="AC29" s="1349"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5"/>
      <c r="Q30" s="1348" t="str">
        <f t="shared" si="11"/>
        <v>物业等级</v>
      </c>
      <c r="R30" s="705" t="s">
        <v>14</v>
      </c>
      <c r="S30" s="706">
        <f t="shared" si="12"/>
        <v>100</v>
      </c>
      <c r="T30" s="705" t="s">
        <v>14</v>
      </c>
      <c r="U30" s="706">
        <f t="shared" si="13"/>
        <v>100</v>
      </c>
      <c r="V30" s="705" t="s">
        <v>14</v>
      </c>
      <c r="W30" s="706">
        <f t="shared" si="14"/>
        <v>100</v>
      </c>
      <c r="X30" s="1351"/>
      <c r="Y30" s="3725"/>
      <c r="Z30" s="1352" t="str">
        <f t="shared" si="15"/>
        <v>物业等级</v>
      </c>
      <c r="AA30" s="1349">
        <f t="shared" si="3"/>
        <v>1</v>
      </c>
      <c r="AB30" s="1349">
        <f t="shared" si="4"/>
        <v>1</v>
      </c>
      <c r="AC30" s="1349">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5"/>
      <c r="Q31" s="1339"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5" t="s">
        <v>1691</v>
      </c>
      <c r="Q32" s="1348" t="str">
        <f t="shared" si="11"/>
        <v>车位类型</v>
      </c>
      <c r="R32" s="705" t="s">
        <v>14</v>
      </c>
      <c r="S32" s="706">
        <f t="shared" si="12"/>
        <v>100</v>
      </c>
      <c r="T32" s="705" t="s">
        <v>14</v>
      </c>
      <c r="U32" s="706">
        <f t="shared" si="13"/>
        <v>100</v>
      </c>
      <c r="V32" s="705" t="s">
        <v>14</v>
      </c>
      <c r="W32" s="706">
        <f t="shared" si="14"/>
        <v>100</v>
      </c>
      <c r="X32" s="1351"/>
      <c r="Y32" s="3725" t="s">
        <v>1691</v>
      </c>
      <c r="Z32" s="1352" t="str">
        <f t="shared" si="15"/>
        <v>车位类型</v>
      </c>
      <c r="AA32" s="1349">
        <f t="shared" si="3"/>
        <v>1</v>
      </c>
      <c r="AB32" s="1349">
        <f t="shared" si="4"/>
        <v>1</v>
      </c>
      <c r="AC32" s="1349">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5"/>
      <c r="Q33" s="1348" t="str">
        <f t="shared" si="11"/>
        <v>是否直接入户</v>
      </c>
      <c r="R33" s="705" t="s">
        <v>14</v>
      </c>
      <c r="S33" s="706">
        <f t="shared" si="12"/>
        <v>100</v>
      </c>
      <c r="T33" s="705" t="s">
        <v>14</v>
      </c>
      <c r="U33" s="706">
        <f t="shared" si="13"/>
        <v>100</v>
      </c>
      <c r="V33" s="705" t="s">
        <v>14</v>
      </c>
      <c r="W33" s="706">
        <f t="shared" si="14"/>
        <v>100</v>
      </c>
      <c r="X33" s="1351"/>
      <c r="Y33" s="372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5"/>
      <c r="Q34" s="1348">
        <f t="shared" si="11"/>
        <v>111</v>
      </c>
      <c r="R34" s="705" t="s">
        <v>14</v>
      </c>
      <c r="S34" s="706">
        <f t="shared" si="12"/>
        <v>100</v>
      </c>
      <c r="T34" s="705" t="s">
        <v>14</v>
      </c>
      <c r="U34" s="706">
        <f t="shared" si="13"/>
        <v>100</v>
      </c>
      <c r="V34" s="705" t="s">
        <v>14</v>
      </c>
      <c r="W34" s="706">
        <f t="shared" si="14"/>
        <v>100</v>
      </c>
      <c r="X34" s="1351"/>
      <c r="Y34" s="372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5"/>
      <c r="Q36" s="1348">
        <f t="shared" si="11"/>
        <v>111</v>
      </c>
      <c r="R36" s="705" t="s">
        <v>14</v>
      </c>
      <c r="S36" s="706">
        <f t="shared" si="12"/>
        <v>100</v>
      </c>
      <c r="T36" s="705" t="s">
        <v>14</v>
      </c>
      <c r="U36" s="706">
        <f t="shared" si="13"/>
        <v>100</v>
      </c>
      <c r="V36" s="705" t="s">
        <v>14</v>
      </c>
      <c r="W36" s="706">
        <f t="shared" si="14"/>
        <v>100</v>
      </c>
      <c r="X36" s="1351"/>
      <c r="Y36" s="3725"/>
      <c r="Z36" s="1352">
        <f t="shared" si="15"/>
        <v>111</v>
      </c>
      <c r="AA36" s="1349">
        <f t="shared" si="3"/>
        <v>1</v>
      </c>
      <c r="AB36" s="1349">
        <f t="shared" si="4"/>
        <v>1</v>
      </c>
      <c r="AC36" s="1349">
        <f t="shared" si="5"/>
        <v>1</v>
      </c>
    </row>
    <row r="37" spans="1:29" ht="15">
      <c r="A37" s="430" t="s">
        <v>1839</v>
      </c>
      <c r="B37" s="1968" t="s">
        <v>3356</v>
      </c>
      <c r="C37" s="1150" t="s">
        <v>0</v>
      </c>
      <c r="D37" s="1151"/>
      <c r="E37" s="1152"/>
      <c r="F37" s="1153"/>
      <c r="G37" s="1154"/>
      <c r="H37" s="1155"/>
      <c r="I37" s="1152"/>
      <c r="J37" s="1155"/>
      <c r="K37" s="568"/>
      <c r="L37" s="2717"/>
      <c r="M37" s="2718"/>
      <c r="N37" s="2709"/>
      <c r="O37" s="2718"/>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1840</v>
      </c>
      <c r="B38" s="438" t="str">
        <f>B37</f>
        <v>元/平方米</v>
      </c>
      <c r="C38" s="1156" t="e">
        <f>R39</f>
        <v>#DIV/0!</v>
      </c>
      <c r="D38" s="2312" t="s">
        <v>2133</v>
      </c>
      <c r="E38" s="1157" t="e">
        <f>R38</f>
        <v>#DIV/0!</v>
      </c>
      <c r="F38" s="2313"/>
      <c r="G38" s="1156" t="e">
        <f>T38</f>
        <v>#DIV/0!</v>
      </c>
      <c r="H38" s="2313"/>
      <c r="I38" s="1157" t="e">
        <f>V38</f>
        <v>#DIV/0!</v>
      </c>
      <c r="J38" s="2313"/>
      <c r="K38" s="2315">
        <f>F38+H38+J38</f>
        <v>0</v>
      </c>
      <c r="L38" s="2717"/>
      <c r="M38" s="2718"/>
      <c r="N38" s="2718"/>
      <c r="O38" s="2718"/>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1841</v>
      </c>
      <c r="B39" s="442"/>
      <c r="C39" s="1159" t="e">
        <f>R39</f>
        <v>#DIV/0!</v>
      </c>
      <c r="D39" s="1159"/>
      <c r="E39" s="1159"/>
      <c r="F39" s="1159"/>
      <c r="G39" s="1159"/>
      <c r="H39" s="1159"/>
      <c r="I39" s="1159"/>
      <c r="J39" s="1159"/>
      <c r="K39" s="569"/>
      <c r="L39" s="2717"/>
      <c r="M39" s="2718"/>
      <c r="N39" s="2718"/>
      <c r="O39" s="2718"/>
      <c r="P39" s="3763" t="str">
        <f>A39</f>
        <v>估价对象XX用房的比较价值（楼面单价，元/平方米）</v>
      </c>
      <c r="Q39" s="3764"/>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1845</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1846</v>
      </c>
      <c r="B48" s="455"/>
      <c r="C48" s="1180" t="str">
        <f>YEAR(C7)&amp;"-"&amp;MONTH(C7)</f>
        <v>2023-4</v>
      </c>
      <c r="D48" s="1181">
        <f>EDATE(C48,-1)</f>
        <v>44986</v>
      </c>
      <c r="E48" s="1181">
        <f t="shared" ref="E48:O48" si="16">EDATE(D48,-1)</f>
        <v>44958</v>
      </c>
      <c r="F48" s="1181">
        <f t="shared" si="16"/>
        <v>44927</v>
      </c>
      <c r="G48" s="1181">
        <f t="shared" si="16"/>
        <v>44896</v>
      </c>
      <c r="H48" s="1181">
        <f t="shared" si="16"/>
        <v>44866</v>
      </c>
      <c r="I48" s="1181">
        <f t="shared" si="16"/>
        <v>44835</v>
      </c>
      <c r="J48" s="1181">
        <f t="shared" si="16"/>
        <v>44805</v>
      </c>
      <c r="K48" s="1181">
        <f t="shared" si="16"/>
        <v>44774</v>
      </c>
      <c r="L48" s="1181">
        <f t="shared" si="16"/>
        <v>44743</v>
      </c>
      <c r="M48" s="1181">
        <f t="shared" si="16"/>
        <v>44713</v>
      </c>
      <c r="N48" s="1181">
        <f t="shared" si="16"/>
        <v>44682</v>
      </c>
      <c r="O48" s="1181">
        <f t="shared" si="16"/>
        <v>44652</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1711</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1676</v>
      </c>
      <c r="B51" s="459"/>
      <c r="C51" s="471" t="s">
        <v>1771</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1714</v>
      </c>
      <c r="B53" s="477" t="s">
        <v>1680</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1683</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1722</v>
      </c>
      <c r="C65" s="527" t="s">
        <v>1716</v>
      </c>
      <c r="D65" s="527" t="s">
        <v>1717</v>
      </c>
      <c r="E65" s="527" t="s">
        <v>1718</v>
      </c>
      <c r="F65" s="527" t="s">
        <v>1719</v>
      </c>
      <c r="G65" s="527" t="s">
        <v>1720</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1808</v>
      </c>
      <c r="C67" s="608" t="s">
        <v>1794</v>
      </c>
      <c r="D67" s="608" t="s">
        <v>1795</v>
      </c>
      <c r="E67" s="608" t="s">
        <v>1796</v>
      </c>
      <c r="F67" s="608" t="s">
        <v>1797</v>
      </c>
      <c r="G67" s="608" t="s">
        <v>1798</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1728</v>
      </c>
      <c r="C69" s="527" t="s">
        <v>1716</v>
      </c>
      <c r="D69" s="527" t="s">
        <v>1717</v>
      </c>
      <c r="E69" s="527" t="s">
        <v>1718</v>
      </c>
      <c r="F69" s="527" t="s">
        <v>1719</v>
      </c>
      <c r="G69" s="527" t="s">
        <v>1720</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1847</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1689</v>
      </c>
      <c r="B79" s="477" t="s">
        <v>1848</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1849</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1735</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1851</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1853</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1854</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1826</v>
      </c>
      <c r="B1" s="1219" t="s">
        <v>3336</v>
      </c>
      <c r="C1" s="1220" t="s">
        <v>1657</v>
      </c>
      <c r="D1" s="1221"/>
      <c r="E1" s="3425"/>
      <c r="F1" s="1875"/>
      <c r="G1" s="1231" t="s">
        <v>1762</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1458</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1764</v>
      </c>
      <c r="B4" s="356"/>
      <c r="C4" s="3686" t="s">
        <v>1765</v>
      </c>
      <c r="D4" s="3687"/>
      <c r="E4" s="3688" t="s">
        <v>1766</v>
      </c>
      <c r="F4" s="3689"/>
      <c r="G4" s="3686" t="s">
        <v>1767</v>
      </c>
      <c r="H4" s="3687"/>
      <c r="I4" s="3686" t="s">
        <v>1768</v>
      </c>
      <c r="J4" s="3687"/>
      <c r="K4" s="559" t="s">
        <v>1769</v>
      </c>
      <c r="L4" s="2708"/>
      <c r="M4" s="2709"/>
      <c r="N4" s="2709"/>
      <c r="O4" s="2709"/>
      <c r="P4" s="3759" t="s">
        <v>1770</v>
      </c>
      <c r="Q4" s="3760"/>
      <c r="R4" s="3754" t="s">
        <v>1766</v>
      </c>
      <c r="S4" s="3755"/>
      <c r="T4" s="3754" t="s">
        <v>1767</v>
      </c>
      <c r="U4" s="3755"/>
      <c r="V4" s="3709" t="s">
        <v>1768</v>
      </c>
      <c r="W4" s="3709"/>
      <c r="X4" s="1351"/>
      <c r="Y4" s="3754" t="s">
        <v>1770</v>
      </c>
      <c r="Z4" s="3755"/>
      <c r="AA4" s="3753" t="s">
        <v>1766</v>
      </c>
      <c r="AB4" s="3711" t="s">
        <v>1767</v>
      </c>
      <c r="AC4" s="3753" t="s">
        <v>1768</v>
      </c>
    </row>
    <row r="5" spans="1:29" ht="15">
      <c r="A5" s="358"/>
      <c r="B5" s="359"/>
      <c r="C5" s="3758" t="s">
        <v>1668</v>
      </c>
      <c r="D5" s="3701"/>
      <c r="E5" s="3756" t="s">
        <v>1669</v>
      </c>
      <c r="F5" s="3757"/>
      <c r="G5" s="3758" t="s">
        <v>1670</v>
      </c>
      <c r="H5" s="3701"/>
      <c r="I5" s="3758" t="s">
        <v>1671</v>
      </c>
      <c r="J5" s="3701"/>
      <c r="K5" s="559"/>
      <c r="L5" s="2708"/>
      <c r="M5" s="2709"/>
      <c r="N5" s="2709"/>
      <c r="O5" s="2709"/>
      <c r="P5" s="3761"/>
      <c r="Q5" s="3693"/>
      <c r="R5" s="3698"/>
      <c r="S5" s="3699"/>
      <c r="T5" s="3698"/>
      <c r="U5" s="3699"/>
      <c r="V5" s="3709"/>
      <c r="W5" s="3709"/>
      <c r="X5" s="1351"/>
      <c r="Y5" s="3698"/>
      <c r="Z5" s="3699"/>
      <c r="AA5" s="3711"/>
      <c r="AB5" s="3711"/>
      <c r="AC5" s="3711"/>
    </row>
    <row r="6" spans="1:29" ht="15.75" thickBot="1">
      <c r="A6" s="360"/>
      <c r="B6" s="361"/>
      <c r="C6" s="3702" t="s">
        <v>1672</v>
      </c>
      <c r="D6" s="3703"/>
      <c r="E6" s="3704" t="s">
        <v>1672</v>
      </c>
      <c r="F6" s="3705"/>
      <c r="G6" s="3702" t="s">
        <v>1672</v>
      </c>
      <c r="H6" s="3703"/>
      <c r="I6" s="3702" t="s">
        <v>1672</v>
      </c>
      <c r="J6" s="3703"/>
      <c r="K6" s="559" t="s">
        <v>1673</v>
      </c>
      <c r="L6" s="2708"/>
      <c r="M6" s="2709"/>
      <c r="N6" s="2709"/>
      <c r="O6" s="2709"/>
      <c r="P6" s="3762"/>
      <c r="Q6" s="3695"/>
      <c r="R6" s="3698"/>
      <c r="S6" s="3699"/>
      <c r="T6" s="3706"/>
      <c r="U6" s="3707"/>
      <c r="V6" s="3709"/>
      <c r="W6" s="3709"/>
      <c r="X6" s="1351"/>
      <c r="Y6" s="3706"/>
      <c r="Z6" s="3707"/>
      <c r="AA6" s="3712"/>
      <c r="AB6" s="3712"/>
      <c r="AC6" s="3712"/>
    </row>
    <row r="7" spans="1:29" s="108" customFormat="1" ht="15.75" thickBot="1">
      <c r="A7" s="362" t="s">
        <v>1674</v>
      </c>
      <c r="B7" s="363"/>
      <c r="C7" s="364">
        <f>'数据-取费表'!B2</f>
        <v>45034</v>
      </c>
      <c r="D7" s="365">
        <v>100</v>
      </c>
      <c r="E7" s="366"/>
      <c r="F7" s="367">
        <f>SUMIF(46:46,YEAR(E7)&amp;"-"&amp;MONTH(E7),47:47)</f>
        <v>0</v>
      </c>
      <c r="G7" s="1969"/>
      <c r="H7" s="365">
        <f>SUMIF(46:46,YEAR(G7)&amp;"-"&amp;MONTH(G7),47:47)</f>
        <v>0</v>
      </c>
      <c r="I7" s="366"/>
      <c r="J7" s="365">
        <f>SUMIF(46:46,YEAR(I7)&amp;"-"&amp;MONTH(I7),47:47)</f>
        <v>0</v>
      </c>
      <c r="K7" s="560"/>
      <c r="L7" s="2710"/>
      <c r="M7" s="2711"/>
      <c r="N7" s="2711"/>
      <c r="O7" s="2711"/>
      <c r="P7" s="3716" t="s">
        <v>1675</v>
      </c>
      <c r="Q7" s="3714"/>
      <c r="R7" s="701" t="s">
        <v>14</v>
      </c>
      <c r="S7" s="702">
        <f t="shared" ref="S7:S14" si="0">F7</f>
        <v>0</v>
      </c>
      <c r="T7" s="701" t="s">
        <v>14</v>
      </c>
      <c r="U7" s="702">
        <f t="shared" ref="U7:U14" si="1">H7</f>
        <v>0</v>
      </c>
      <c r="V7" s="701" t="s">
        <v>14</v>
      </c>
      <c r="W7" s="702">
        <f t="shared" ref="W7:W14" si="2">J7</f>
        <v>0</v>
      </c>
      <c r="X7" s="703"/>
      <c r="Y7" s="3716" t="s">
        <v>1675</v>
      </c>
      <c r="Z7" s="3715"/>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16" t="s">
        <v>1678</v>
      </c>
      <c r="Q8" s="3715"/>
      <c r="R8" s="701" t="s">
        <v>14</v>
      </c>
      <c r="S8" s="702">
        <f t="shared" si="0"/>
        <v>100</v>
      </c>
      <c r="T8" s="701" t="s">
        <v>14</v>
      </c>
      <c r="U8" s="702">
        <f t="shared" si="1"/>
        <v>100</v>
      </c>
      <c r="V8" s="701" t="s">
        <v>14</v>
      </c>
      <c r="W8" s="702">
        <f t="shared" si="2"/>
        <v>100</v>
      </c>
      <c r="X8" s="703"/>
      <c r="Y8" s="3716" t="s">
        <v>1678</v>
      </c>
      <c r="Z8" s="3715"/>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7" t="s">
        <v>1681</v>
      </c>
      <c r="Q9" s="1339" t="str">
        <f t="shared" ref="Q9:Q14" si="6">B9</f>
        <v>用途</v>
      </c>
      <c r="R9" s="701" t="s">
        <v>14</v>
      </c>
      <c r="S9" s="702">
        <f t="shared" si="0"/>
        <v>100</v>
      </c>
      <c r="T9" s="701" t="s">
        <v>14</v>
      </c>
      <c r="U9" s="702">
        <f t="shared" si="1"/>
        <v>100</v>
      </c>
      <c r="V9" s="701" t="s">
        <v>14</v>
      </c>
      <c r="W9" s="702">
        <f t="shared" si="2"/>
        <v>100</v>
      </c>
      <c r="X9" s="703"/>
      <c r="Y9" s="3651" t="s">
        <v>1682</v>
      </c>
      <c r="Z9" s="52" t="str">
        <f t="shared" ref="Z9:Z14" si="7">Q9</f>
        <v>用途</v>
      </c>
      <c r="AA9" s="704">
        <f t="shared" si="3"/>
        <v>1</v>
      </c>
      <c r="AB9" s="704">
        <f t="shared" si="4"/>
        <v>1</v>
      </c>
      <c r="AC9" s="704">
        <f t="shared" si="5"/>
        <v>1</v>
      </c>
    </row>
    <row r="10" spans="1:29" s="378" customFormat="1" ht="27">
      <c r="A10" s="374"/>
      <c r="B10" s="375" t="s">
        <v>1683</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727"/>
      <c r="Q10" s="1339"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7"/>
      <c r="Q11" s="1339">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7"/>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5"/>
      <c r="M13" s="2709"/>
      <c r="N13" s="2709"/>
      <c r="O13" s="2767"/>
      <c r="P13" s="3727"/>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0" t="s">
        <v>1686</v>
      </c>
      <c r="Q14" s="1348" t="str">
        <f t="shared" si="6"/>
        <v>交通便捷度</v>
      </c>
      <c r="R14" s="705" t="s">
        <v>14</v>
      </c>
      <c r="S14" s="706">
        <f t="shared" si="0"/>
        <v>100</v>
      </c>
      <c r="T14" s="705" t="s">
        <v>14</v>
      </c>
      <c r="U14" s="706">
        <f t="shared" si="1"/>
        <v>100</v>
      </c>
      <c r="V14" s="705" t="s">
        <v>14</v>
      </c>
      <c r="W14" s="706">
        <f t="shared" si="2"/>
        <v>100</v>
      </c>
      <c r="X14" s="1351"/>
      <c r="Y14" s="3720" t="s">
        <v>1686</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1"/>
      <c r="Q15" s="1348"/>
      <c r="R15" s="705"/>
      <c r="S15" s="706"/>
      <c r="T15" s="705"/>
      <c r="U15" s="706"/>
      <c r="V15" s="705"/>
      <c r="W15" s="706"/>
      <c r="X15" s="1351"/>
      <c r="Y15" s="3721"/>
      <c r="Z15" s="1352"/>
      <c r="AA15" s="1349">
        <v>1</v>
      </c>
      <c r="AB15" s="1349">
        <v>1</v>
      </c>
      <c r="AC15" s="1349">
        <v>1</v>
      </c>
    </row>
    <row r="16" spans="1:29" ht="42.75">
      <c r="A16" s="379"/>
      <c r="B16" s="402" t="s">
        <v>1807</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1"/>
      <c r="Q16" s="1348" t="str">
        <f>B16</f>
        <v>公共配套设施</v>
      </c>
      <c r="R16" s="705" t="s">
        <v>14</v>
      </c>
      <c r="S16" s="706">
        <f>F16</f>
        <v>100</v>
      </c>
      <c r="T16" s="705" t="s">
        <v>14</v>
      </c>
      <c r="U16" s="706">
        <f>H16</f>
        <v>100</v>
      </c>
      <c r="V16" s="705" t="s">
        <v>14</v>
      </c>
      <c r="W16" s="706">
        <f>J16</f>
        <v>100</v>
      </c>
      <c r="X16" s="1351"/>
      <c r="Y16" s="372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1"/>
      <c r="Q17" s="1348"/>
      <c r="R17" s="705"/>
      <c r="S17" s="706"/>
      <c r="T17" s="705"/>
      <c r="U17" s="706"/>
      <c r="V17" s="705"/>
      <c r="W17" s="706"/>
      <c r="X17" s="1351"/>
      <c r="Y17" s="3721"/>
      <c r="Z17" s="1352"/>
      <c r="AA17" s="1349">
        <v>1</v>
      </c>
      <c r="AB17" s="1349">
        <v>1</v>
      </c>
      <c r="AC17" s="1349">
        <v>1</v>
      </c>
    </row>
    <row r="18" spans="1:29" ht="28.5">
      <c r="A18" s="379"/>
      <c r="B18" s="1127" t="s">
        <v>1808</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1"/>
      <c r="Q18" s="1348" t="str">
        <f>B18</f>
        <v>基础设施水平</v>
      </c>
      <c r="R18" s="705" t="s">
        <v>14</v>
      </c>
      <c r="S18" s="706">
        <f>F18</f>
        <v>100</v>
      </c>
      <c r="T18" s="705" t="s">
        <v>14</v>
      </c>
      <c r="U18" s="706">
        <f>H18</f>
        <v>100</v>
      </c>
      <c r="V18" s="705" t="s">
        <v>14</v>
      </c>
      <c r="W18" s="706">
        <f>J18</f>
        <v>100</v>
      </c>
      <c r="X18" s="1351"/>
      <c r="Y18" s="3721"/>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1"/>
      <c r="Q19" s="1348"/>
      <c r="R19" s="705"/>
      <c r="S19" s="706"/>
      <c r="T19" s="705"/>
      <c r="U19" s="706"/>
      <c r="V19" s="705"/>
      <c r="W19" s="706"/>
      <c r="X19" s="1351"/>
      <c r="Y19" s="3721"/>
      <c r="Z19" s="1352"/>
      <c r="AA19" s="1349">
        <v>1</v>
      </c>
      <c r="AB19" s="1349">
        <v>1</v>
      </c>
      <c r="AC19" s="1349">
        <v>1</v>
      </c>
    </row>
    <row r="20" spans="1:29" ht="57">
      <c r="A20" s="379"/>
      <c r="B20" s="402" t="s">
        <v>1829</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1"/>
      <c r="Q20" s="1348" t="str">
        <f>B20</f>
        <v>自然及人文环境</v>
      </c>
      <c r="R20" s="705" t="s">
        <v>14</v>
      </c>
      <c r="S20" s="706">
        <f>F20</f>
        <v>100</v>
      </c>
      <c r="T20" s="705" t="s">
        <v>14</v>
      </c>
      <c r="U20" s="706">
        <f>H20</f>
        <v>100</v>
      </c>
      <c r="V20" s="705" t="s">
        <v>14</v>
      </c>
      <c r="W20" s="706">
        <f>J20</f>
        <v>100</v>
      </c>
      <c r="X20" s="1351"/>
      <c r="Y20" s="372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1"/>
      <c r="Q21" s="1348"/>
      <c r="R21" s="705"/>
      <c r="S21" s="706"/>
      <c r="T21" s="705"/>
      <c r="U21" s="706"/>
      <c r="V21" s="705"/>
      <c r="W21" s="706"/>
      <c r="X21" s="1351"/>
      <c r="Y21" s="3721"/>
      <c r="Z21" s="1352"/>
      <c r="AA21" s="1349">
        <v>1</v>
      </c>
      <c r="AB21" s="1349">
        <v>1</v>
      </c>
      <c r="AC21" s="1349">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1"/>
      <c r="Q22" s="1348" t="str">
        <f>B22</f>
        <v>楼层</v>
      </c>
      <c r="R22" s="705" t="s">
        <v>14</v>
      </c>
      <c r="S22" s="706">
        <f>F22</f>
        <v>100</v>
      </c>
      <c r="T22" s="705" t="s">
        <v>14</v>
      </c>
      <c r="U22" s="706">
        <f>H22</f>
        <v>100</v>
      </c>
      <c r="V22" s="705" t="s">
        <v>14</v>
      </c>
      <c r="W22" s="706">
        <f>J22</f>
        <v>100</v>
      </c>
      <c r="X22" s="1351"/>
      <c r="Y22" s="372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1"/>
      <c r="Q23" s="1348">
        <f>B23</f>
        <v>111</v>
      </c>
      <c r="R23" s="705" t="s">
        <v>14</v>
      </c>
      <c r="S23" s="706">
        <f>F23</f>
        <v>100</v>
      </c>
      <c r="T23" s="705" t="s">
        <v>14</v>
      </c>
      <c r="U23" s="706">
        <f>H23</f>
        <v>100</v>
      </c>
      <c r="V23" s="705" t="s">
        <v>14</v>
      </c>
      <c r="W23" s="706">
        <f>J23</f>
        <v>100</v>
      </c>
      <c r="X23" s="1351"/>
      <c r="Y23" s="372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1"/>
      <c r="Q24" s="1348">
        <f t="shared" ref="Q24:Q34" si="11">B24</f>
        <v>111</v>
      </c>
      <c r="R24" s="705" t="s">
        <v>14</v>
      </c>
      <c r="S24" s="706">
        <f>F24</f>
        <v>100</v>
      </c>
      <c r="T24" s="705" t="s">
        <v>14</v>
      </c>
      <c r="U24" s="706">
        <f>H24</f>
        <v>100</v>
      </c>
      <c r="V24" s="705" t="s">
        <v>14</v>
      </c>
      <c r="W24" s="706">
        <f>J24</f>
        <v>100</v>
      </c>
      <c r="X24" s="1351"/>
      <c r="Y24" s="3721"/>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0"/>
      <c r="M25" s="2711"/>
      <c r="N25" s="2711"/>
      <c r="O25" s="2765"/>
      <c r="P25" s="3721"/>
      <c r="Q25" s="1339">
        <f t="shared" si="11"/>
        <v>111</v>
      </c>
      <c r="R25" s="701" t="s">
        <v>14</v>
      </c>
      <c r="S25" s="702">
        <f>F25</f>
        <v>100</v>
      </c>
      <c r="T25" s="701" t="s">
        <v>14</v>
      </c>
      <c r="U25" s="702">
        <f>H25</f>
        <v>100</v>
      </c>
      <c r="V25" s="701" t="s">
        <v>14</v>
      </c>
      <c r="W25" s="702">
        <f>J25</f>
        <v>100</v>
      </c>
      <c r="X25" s="703"/>
      <c r="Y25" s="3721"/>
      <c r="Z25" s="52">
        <f>Q25</f>
        <v>111</v>
      </c>
      <c r="AA25" s="1349">
        <f>D25/F25</f>
        <v>1</v>
      </c>
      <c r="AB25" s="1349">
        <f>D25/H25</f>
        <v>1</v>
      </c>
      <c r="AC25" s="1349">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5"/>
      <c r="M26" s="2709"/>
      <c r="N26" s="2709"/>
      <c r="O26" s="2767"/>
      <c r="P26" s="3766" t="s">
        <v>1691</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5" t="s">
        <v>1691</v>
      </c>
      <c r="Z26" s="1352" t="str">
        <f t="shared" ref="Z26:Z34" si="15">Q26</f>
        <v>公共部分装修</v>
      </c>
      <c r="AA26" s="1349">
        <f t="shared" si="3"/>
        <v>1</v>
      </c>
      <c r="AB26" s="1349">
        <f t="shared" si="4"/>
        <v>1</v>
      </c>
      <c r="AC26" s="1349">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49" t="e">
        <f t="shared" si="3"/>
        <v>#N/A</v>
      </c>
      <c r="AB27" s="1349" t="e">
        <f t="shared" si="4"/>
        <v>#N/A</v>
      </c>
      <c r="AC27" s="1349"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5"/>
      <c r="Q28" s="1348" t="str">
        <f t="shared" si="11"/>
        <v>物业等级</v>
      </c>
      <c r="R28" s="705" t="s">
        <v>14</v>
      </c>
      <c r="S28" s="706">
        <f t="shared" si="12"/>
        <v>100</v>
      </c>
      <c r="T28" s="705" t="s">
        <v>14</v>
      </c>
      <c r="U28" s="706">
        <f t="shared" si="13"/>
        <v>100</v>
      </c>
      <c r="V28" s="705" t="s">
        <v>14</v>
      </c>
      <c r="W28" s="706">
        <f t="shared" si="14"/>
        <v>100</v>
      </c>
      <c r="X28" s="1351"/>
      <c r="Y28" s="3725"/>
      <c r="Z28" s="1352" t="str">
        <f t="shared" si="15"/>
        <v>物业等级</v>
      </c>
      <c r="AA28" s="1349">
        <f t="shared" si="3"/>
        <v>1</v>
      </c>
      <c r="AB28" s="1349">
        <f t="shared" si="4"/>
        <v>1</v>
      </c>
      <c r="AC28" s="1349">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5"/>
      <c r="Q29" s="1348" t="str">
        <f t="shared" si="11"/>
        <v>有无电梯</v>
      </c>
      <c r="R29" s="705" t="s">
        <v>14</v>
      </c>
      <c r="S29" s="706">
        <f t="shared" si="12"/>
        <v>100</v>
      </c>
      <c r="T29" s="705" t="s">
        <v>14</v>
      </c>
      <c r="U29" s="706">
        <f t="shared" si="13"/>
        <v>100</v>
      </c>
      <c r="V29" s="705" t="s">
        <v>14</v>
      </c>
      <c r="W29" s="706">
        <f t="shared" si="14"/>
        <v>100</v>
      </c>
      <c r="X29" s="1351"/>
      <c r="Y29" s="3725"/>
      <c r="Z29" s="1352" t="str">
        <f t="shared" si="15"/>
        <v>有无电梯</v>
      </c>
      <c r="AA29" s="1349">
        <f t="shared" si="3"/>
        <v>1</v>
      </c>
      <c r="AB29" s="1349">
        <f t="shared" si="4"/>
        <v>1</v>
      </c>
      <c r="AC29" s="1349">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5"/>
      <c r="Q30" s="1348" t="str">
        <f t="shared" si="11"/>
        <v>建筑面积</v>
      </c>
      <c r="R30" s="705" t="s">
        <v>14</v>
      </c>
      <c r="S30" s="706" t="e">
        <f t="shared" si="12"/>
        <v>#N/A</v>
      </c>
      <c r="T30" s="705" t="s">
        <v>14</v>
      </c>
      <c r="U30" s="706" t="e">
        <f t="shared" si="13"/>
        <v>#N/A</v>
      </c>
      <c r="V30" s="705" t="s">
        <v>14</v>
      </c>
      <c r="W30" s="706" t="e">
        <f t="shared" si="14"/>
        <v>#N/A</v>
      </c>
      <c r="X30" s="1351"/>
      <c r="Y30" s="3725"/>
      <c r="Z30" s="1352" t="str">
        <f t="shared" si="15"/>
        <v>建筑面积</v>
      </c>
      <c r="AA30" s="1349" t="e">
        <f t="shared" si="3"/>
        <v>#N/A</v>
      </c>
      <c r="AB30" s="1349" t="e">
        <f t="shared" si="4"/>
        <v>#N/A</v>
      </c>
      <c r="AC30" s="1349"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5"/>
      <c r="Q31" s="1339"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5" t="s">
        <v>1691</v>
      </c>
      <c r="Q32" s="1348">
        <f t="shared" si="11"/>
        <v>111</v>
      </c>
      <c r="R32" s="705" t="s">
        <v>14</v>
      </c>
      <c r="S32" s="706">
        <f t="shared" si="12"/>
        <v>100</v>
      </c>
      <c r="T32" s="705" t="s">
        <v>14</v>
      </c>
      <c r="U32" s="706">
        <f t="shared" si="13"/>
        <v>100</v>
      </c>
      <c r="V32" s="705" t="s">
        <v>14</v>
      </c>
      <c r="W32" s="706">
        <f t="shared" si="14"/>
        <v>100</v>
      </c>
      <c r="X32" s="1351"/>
      <c r="Y32" s="3725" t="s">
        <v>1691</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5"/>
      <c r="Q33" s="1348">
        <f t="shared" si="11"/>
        <v>111</v>
      </c>
      <c r="R33" s="705" t="s">
        <v>14</v>
      </c>
      <c r="S33" s="706">
        <f t="shared" si="12"/>
        <v>100</v>
      </c>
      <c r="T33" s="705" t="s">
        <v>14</v>
      </c>
      <c r="U33" s="706">
        <f t="shared" si="13"/>
        <v>100</v>
      </c>
      <c r="V33" s="705" t="s">
        <v>14</v>
      </c>
      <c r="W33" s="706">
        <f t="shared" si="14"/>
        <v>100</v>
      </c>
      <c r="X33" s="1351"/>
      <c r="Y33" s="3725"/>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5"/>
      <c r="M34" s="2709"/>
      <c r="N34" s="2709"/>
      <c r="O34" s="2767"/>
      <c r="P34" s="3725"/>
      <c r="Q34" s="1348">
        <f t="shared" si="11"/>
        <v>111</v>
      </c>
      <c r="R34" s="705" t="s">
        <v>14</v>
      </c>
      <c r="S34" s="706">
        <f t="shared" si="12"/>
        <v>100</v>
      </c>
      <c r="T34" s="705" t="s">
        <v>14</v>
      </c>
      <c r="U34" s="706">
        <f t="shared" si="13"/>
        <v>100</v>
      </c>
      <c r="V34" s="705" t="s">
        <v>14</v>
      </c>
      <c r="W34" s="706">
        <f t="shared" si="14"/>
        <v>100</v>
      </c>
      <c r="X34" s="1351"/>
      <c r="Y34" s="3725"/>
      <c r="Z34" s="1352">
        <f t="shared" si="15"/>
        <v>111</v>
      </c>
      <c r="AA34" s="1349">
        <f t="shared" si="3"/>
        <v>1</v>
      </c>
      <c r="AB34" s="1349">
        <f t="shared" si="4"/>
        <v>1</v>
      </c>
      <c r="AC34" s="1349">
        <f t="shared" si="5"/>
        <v>1</v>
      </c>
    </row>
    <row r="35" spans="1:30" ht="15">
      <c r="A35" s="430" t="s">
        <v>1703</v>
      </c>
      <c r="B35" s="431"/>
      <c r="C35" s="1150" t="s">
        <v>0</v>
      </c>
      <c r="D35" s="1151"/>
      <c r="E35" s="1152"/>
      <c r="F35" s="1153"/>
      <c r="G35" s="1154"/>
      <c r="H35" s="1155"/>
      <c r="I35" s="1152"/>
      <c r="J35" s="1155"/>
      <c r="K35" s="714"/>
      <c r="L35" s="2717"/>
      <c r="M35" s="2718"/>
      <c r="N35" s="2709"/>
      <c r="O35" s="2718"/>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1788</v>
      </c>
      <c r="B36" s="438"/>
      <c r="C36" s="1156" t="e">
        <f>R37</f>
        <v>#DIV/0!</v>
      </c>
      <c r="D36" s="2312" t="s">
        <v>2133</v>
      </c>
      <c r="E36" s="1157" t="e">
        <f>R36</f>
        <v>#DIV/0!</v>
      </c>
      <c r="F36" s="2313"/>
      <c r="G36" s="1156" t="e">
        <f>T36</f>
        <v>#DIV/0!</v>
      </c>
      <c r="H36" s="2313"/>
      <c r="I36" s="1157" t="e">
        <f>V36</f>
        <v>#DIV/0!</v>
      </c>
      <c r="J36" s="2313"/>
      <c r="K36" s="2315">
        <f>F36+H36+J36</f>
        <v>0</v>
      </c>
      <c r="L36" s="2717"/>
      <c r="M36" s="2718"/>
      <c r="N36" s="2709"/>
      <c r="O36" s="2718"/>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1789</v>
      </c>
      <c r="B37" s="442"/>
      <c r="C37" s="1159" t="e">
        <f>R37</f>
        <v>#DIV/0!</v>
      </c>
      <c r="D37" s="1159"/>
      <c r="E37" s="1159"/>
      <c r="F37" s="1159"/>
      <c r="G37" s="1159"/>
      <c r="H37" s="1159"/>
      <c r="I37" s="1159"/>
      <c r="J37" s="1159"/>
      <c r="K37" s="715"/>
      <c r="L37" s="2717"/>
      <c r="M37" s="2718"/>
      <c r="N37" s="2718"/>
      <c r="O37" s="2718"/>
      <c r="P37" s="3763" t="str">
        <f>A37</f>
        <v>估价对象XX用房的比较价值（楼面单价，元/平方米）</v>
      </c>
      <c r="Q37" s="3764"/>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1793</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1674</v>
      </c>
      <c r="B46" s="455"/>
      <c r="C46" s="1180" t="str">
        <f>YEAR(C7)&amp;"-"&amp;MONTH(C7)</f>
        <v>2023-4</v>
      </c>
      <c r="D46" s="1181">
        <f>EDATE(C46,-1)</f>
        <v>44986</v>
      </c>
      <c r="E46" s="1181">
        <f t="shared" ref="E46:O46" si="16">EDATE(D46,-1)</f>
        <v>44958</v>
      </c>
      <c r="F46" s="1181">
        <f t="shared" si="16"/>
        <v>44927</v>
      </c>
      <c r="G46" s="1181">
        <f t="shared" si="16"/>
        <v>44896</v>
      </c>
      <c r="H46" s="1181">
        <f t="shared" si="16"/>
        <v>44866</v>
      </c>
      <c r="I46" s="1181">
        <f t="shared" si="16"/>
        <v>44835</v>
      </c>
      <c r="J46" s="1181">
        <f t="shared" si="16"/>
        <v>44805</v>
      </c>
      <c r="K46" s="1181">
        <f t="shared" si="16"/>
        <v>44774</v>
      </c>
      <c r="L46" s="1181">
        <f t="shared" si="16"/>
        <v>44743</v>
      </c>
      <c r="M46" s="1181">
        <f t="shared" si="16"/>
        <v>44713</v>
      </c>
      <c r="N46" s="1181">
        <f t="shared" si="16"/>
        <v>44682</v>
      </c>
      <c r="O46" s="1181">
        <f t="shared" si="16"/>
        <v>44652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1711</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1676</v>
      </c>
      <c r="B49" s="459"/>
      <c r="C49" s="471" t="s">
        <v>1771</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1714</v>
      </c>
      <c r="B51" s="477" t="s">
        <v>1680</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1683</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1858</v>
      </c>
      <c r="C63" s="527" t="s">
        <v>1716</v>
      </c>
      <c r="D63" s="527" t="s">
        <v>1717</v>
      </c>
      <c r="E63" s="527" t="s">
        <v>1718</v>
      </c>
      <c r="F63" s="527" t="s">
        <v>1719</v>
      </c>
      <c r="G63" s="527" t="s">
        <v>1720</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1808</v>
      </c>
      <c r="C65" s="608" t="s">
        <v>1794</v>
      </c>
      <c r="D65" s="608" t="s">
        <v>1795</v>
      </c>
      <c r="E65" s="608" t="s">
        <v>1796</v>
      </c>
      <c r="F65" s="608" t="s">
        <v>1797</v>
      </c>
      <c r="G65" s="608" t="s">
        <v>1798</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1728</v>
      </c>
      <c r="C67" s="527" t="s">
        <v>1716</v>
      </c>
      <c r="D67" s="527" t="s">
        <v>1717</v>
      </c>
      <c r="E67" s="527" t="s">
        <v>1718</v>
      </c>
      <c r="F67" s="527" t="s">
        <v>1719</v>
      </c>
      <c r="G67" s="527" t="s">
        <v>1720</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1847</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1689</v>
      </c>
      <c r="B77" s="477" t="s">
        <v>1735</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1851</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1859</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1861</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1764</v>
      </c>
      <c r="B4" s="356"/>
      <c r="C4" s="3686" t="s">
        <v>1765</v>
      </c>
      <c r="D4" s="3687"/>
      <c r="E4" s="3688" t="s">
        <v>1766</v>
      </c>
      <c r="F4" s="3689"/>
      <c r="G4" s="3686" t="s">
        <v>1767</v>
      </c>
      <c r="H4" s="3687"/>
      <c r="I4" s="3686" t="s">
        <v>1768</v>
      </c>
      <c r="J4" s="3687"/>
      <c r="K4" s="559" t="s">
        <v>1769</v>
      </c>
      <c r="L4" s="2708"/>
      <c r="M4" s="2709"/>
      <c r="N4" s="2709"/>
      <c r="O4" s="2709"/>
      <c r="P4" s="3759" t="s">
        <v>1770</v>
      </c>
      <c r="Q4" s="3760"/>
      <c r="R4" s="3754" t="s">
        <v>1766</v>
      </c>
      <c r="S4" s="3755"/>
      <c r="T4" s="3754" t="s">
        <v>1767</v>
      </c>
      <c r="U4" s="3755"/>
      <c r="V4" s="3709" t="s">
        <v>1768</v>
      </c>
      <c r="W4" s="3709"/>
      <c r="X4" s="1351"/>
      <c r="Y4" s="3754" t="s">
        <v>1770</v>
      </c>
      <c r="Z4" s="3755"/>
      <c r="AA4" s="3753" t="s">
        <v>1766</v>
      </c>
      <c r="AB4" s="3711" t="s">
        <v>1767</v>
      </c>
      <c r="AC4" s="3753" t="s">
        <v>1768</v>
      </c>
    </row>
    <row r="5" spans="1:30" ht="15">
      <c r="A5" s="358"/>
      <c r="B5" s="359"/>
      <c r="C5" s="3758" t="s">
        <v>1668</v>
      </c>
      <c r="D5" s="3701"/>
      <c r="E5" s="3756" t="s">
        <v>1669</v>
      </c>
      <c r="F5" s="3757"/>
      <c r="G5" s="3758" t="s">
        <v>1670</v>
      </c>
      <c r="H5" s="3701"/>
      <c r="I5" s="3758" t="s">
        <v>1671</v>
      </c>
      <c r="J5" s="3701"/>
      <c r="K5" s="559"/>
      <c r="L5" s="2708"/>
      <c r="M5" s="2709"/>
      <c r="N5" s="2709"/>
      <c r="O5" s="2709"/>
      <c r="P5" s="3761"/>
      <c r="Q5" s="3693"/>
      <c r="R5" s="3698"/>
      <c r="S5" s="3699"/>
      <c r="T5" s="3698"/>
      <c r="U5" s="3699"/>
      <c r="V5" s="3709"/>
      <c r="W5" s="3709"/>
      <c r="X5" s="1351"/>
      <c r="Y5" s="3698"/>
      <c r="Z5" s="3699"/>
      <c r="AA5" s="3711"/>
      <c r="AB5" s="3711"/>
      <c r="AC5" s="3711"/>
    </row>
    <row r="6" spans="1:30" ht="15.75" thickBot="1">
      <c r="A6" s="360"/>
      <c r="B6" s="361"/>
      <c r="C6" s="3702" t="s">
        <v>1672</v>
      </c>
      <c r="D6" s="3703"/>
      <c r="E6" s="3704" t="s">
        <v>1672</v>
      </c>
      <c r="F6" s="3705"/>
      <c r="G6" s="3702" t="s">
        <v>1672</v>
      </c>
      <c r="H6" s="3703"/>
      <c r="I6" s="3702" t="s">
        <v>1672</v>
      </c>
      <c r="J6" s="3703"/>
      <c r="K6" s="559" t="s">
        <v>1673</v>
      </c>
      <c r="L6" s="2708"/>
      <c r="M6" s="2709"/>
      <c r="N6" s="2709"/>
      <c r="O6" s="2709"/>
      <c r="P6" s="3762"/>
      <c r="Q6" s="3695"/>
      <c r="R6" s="3698"/>
      <c r="S6" s="3699"/>
      <c r="T6" s="3706"/>
      <c r="U6" s="3707"/>
      <c r="V6" s="3709"/>
      <c r="W6" s="3709"/>
      <c r="X6" s="1351"/>
      <c r="Y6" s="3706"/>
      <c r="Z6" s="3707"/>
      <c r="AA6" s="3712"/>
      <c r="AB6" s="3712"/>
      <c r="AC6" s="3712"/>
    </row>
    <row r="7" spans="1:30" s="108" customFormat="1" ht="15.75" thickBot="1">
      <c r="A7" s="362" t="s">
        <v>1674</v>
      </c>
      <c r="B7" s="363"/>
      <c r="C7" s="364">
        <f>'数据-取费表'!B2</f>
        <v>45034</v>
      </c>
      <c r="D7" s="365">
        <v>100</v>
      </c>
      <c r="E7" s="366"/>
      <c r="F7" s="367">
        <f>SUMIF(69:69,YEAR(E7)&amp;"-"&amp;INT((MONTH(E7)+2)/3),70:70)</f>
        <v>0</v>
      </c>
      <c r="G7" s="1969"/>
      <c r="H7" s="365">
        <f>SUMIF(69:69,YEAR(G7)&amp;"-"&amp;INT((MONTH(G7)+2)/3),70:70)</f>
        <v>0</v>
      </c>
      <c r="I7" s="1969"/>
      <c r="J7" s="365">
        <f>SUMIF(69:69,YEAR(I7)&amp;"-"&amp;INT((MONTH(I7)+2)/3),70:70)</f>
        <v>0</v>
      </c>
      <c r="K7" s="560"/>
      <c r="L7" s="2710"/>
      <c r="M7" s="2711"/>
      <c r="N7" s="2711"/>
      <c r="O7" s="2711"/>
      <c r="P7" s="3716" t="s">
        <v>1675</v>
      </c>
      <c r="Q7" s="3714"/>
      <c r="R7" s="701" t="s">
        <v>14</v>
      </c>
      <c r="S7" s="702">
        <f t="shared" ref="S7:S15" si="0">F7</f>
        <v>0</v>
      </c>
      <c r="T7" s="701" t="s">
        <v>14</v>
      </c>
      <c r="U7" s="702">
        <f t="shared" ref="U7:U15" si="1">H7</f>
        <v>0</v>
      </c>
      <c r="V7" s="701" t="s">
        <v>14</v>
      </c>
      <c r="W7" s="702">
        <f t="shared" ref="W7:W15" si="2">J7</f>
        <v>0</v>
      </c>
      <c r="X7" s="703"/>
      <c r="Y7" s="3716" t="s">
        <v>1675</v>
      </c>
      <c r="Z7" s="3715"/>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16" t="s">
        <v>1678</v>
      </c>
      <c r="Q8" s="3715"/>
      <c r="R8" s="701" t="s">
        <v>14</v>
      </c>
      <c r="S8" s="702">
        <f t="shared" si="0"/>
        <v>0</v>
      </c>
      <c r="T8" s="701" t="s">
        <v>14</v>
      </c>
      <c r="U8" s="702">
        <f t="shared" si="1"/>
        <v>0</v>
      </c>
      <c r="V8" s="701" t="s">
        <v>14</v>
      </c>
      <c r="W8" s="702">
        <f t="shared" si="2"/>
        <v>0</v>
      </c>
      <c r="X8" s="703"/>
      <c r="Y8" s="3716" t="s">
        <v>1678</v>
      </c>
      <c r="Z8" s="3715"/>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0"/>
      <c r="M9" s="2711"/>
      <c r="N9" s="2711"/>
      <c r="O9" s="2765"/>
      <c r="P9" s="3727" t="s">
        <v>1681</v>
      </c>
      <c r="Q9" s="1339" t="str">
        <f t="shared" ref="Q9:Q15" si="6">B9</f>
        <v>用途</v>
      </c>
      <c r="R9" s="701" t="s">
        <v>14</v>
      </c>
      <c r="S9" s="702">
        <f t="shared" si="0"/>
        <v>100</v>
      </c>
      <c r="T9" s="701" t="s">
        <v>14</v>
      </c>
      <c r="U9" s="702">
        <f t="shared" si="1"/>
        <v>100</v>
      </c>
      <c r="V9" s="701" t="s">
        <v>14</v>
      </c>
      <c r="W9" s="702">
        <f t="shared" si="2"/>
        <v>100</v>
      </c>
      <c r="X9" s="703"/>
      <c r="Y9" s="3651"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129</v>
      </c>
      <c r="G10" s="414"/>
      <c r="H10" s="127">
        <f>ROUND(100/'数据-取费表'!G16,0)</f>
        <v>129</v>
      </c>
      <c r="I10" s="414"/>
      <c r="J10" s="127">
        <f>ROUND(100/'数据-取费表'!G16,0)</f>
        <v>129</v>
      </c>
      <c r="K10" s="620"/>
      <c r="L10" s="2712"/>
      <c r="M10" s="2713"/>
      <c r="N10" s="2713"/>
      <c r="O10" s="2766"/>
      <c r="P10" s="3727"/>
      <c r="Q10" s="1339" t="str">
        <f t="shared" si="6"/>
        <v>土地使用年限（年）</v>
      </c>
      <c r="R10" s="701" t="s">
        <v>14</v>
      </c>
      <c r="S10" s="702">
        <f t="shared" si="0"/>
        <v>129</v>
      </c>
      <c r="T10" s="701" t="s">
        <v>14</v>
      </c>
      <c r="U10" s="702">
        <f t="shared" si="1"/>
        <v>129</v>
      </c>
      <c r="V10" s="701" t="s">
        <v>14</v>
      </c>
      <c r="W10" s="702">
        <f t="shared" si="2"/>
        <v>129</v>
      </c>
      <c r="X10" s="703"/>
      <c r="Y10" s="3651"/>
      <c r="Z10" s="52" t="str">
        <f t="shared" si="7"/>
        <v>土地使用年限（年）</v>
      </c>
      <c r="AA10" s="704">
        <f t="shared" si="3"/>
        <v>0.77519379844961245</v>
      </c>
      <c r="AB10" s="704">
        <f t="shared" si="4"/>
        <v>0.77519379844961245</v>
      </c>
      <c r="AC10" s="704">
        <f t="shared" si="5"/>
        <v>0.77519379844961245</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7"/>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30" s="108" customFormat="1" ht="15">
      <c r="A12" s="382"/>
      <c r="B12" s="1889" t="s">
        <v>1865</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7"/>
      <c r="Q12" s="1339"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7"/>
      <c r="Q13" s="1339">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7"/>
      <c r="Q14" s="1339">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99.75">
      <c r="A15" s="391" t="s">
        <v>1685</v>
      </c>
      <c r="B15" s="61" t="s">
        <v>1252</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0" t="s">
        <v>1686</v>
      </c>
      <c r="Q15" s="1348" t="str">
        <f t="shared" si="6"/>
        <v>居住社区成熟度</v>
      </c>
      <c r="R15" s="705" t="s">
        <v>14</v>
      </c>
      <c r="S15" s="706">
        <f t="shared" si="0"/>
        <v>100</v>
      </c>
      <c r="T15" s="705" t="s">
        <v>14</v>
      </c>
      <c r="U15" s="706">
        <f t="shared" si="1"/>
        <v>100</v>
      </c>
      <c r="V15" s="705" t="s">
        <v>14</v>
      </c>
      <c r="W15" s="706">
        <f t="shared" si="2"/>
        <v>100</v>
      </c>
      <c r="X15" s="1351"/>
      <c r="Y15" s="3720" t="s">
        <v>1686</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1"/>
      <c r="Q16" s="1348"/>
      <c r="R16" s="705"/>
      <c r="S16" s="706"/>
      <c r="T16" s="705"/>
      <c r="U16" s="706"/>
      <c r="V16" s="705"/>
      <c r="W16" s="706"/>
      <c r="X16" s="1351"/>
      <c r="Y16" s="3721"/>
      <c r="Z16" s="1352"/>
      <c r="AA16" s="1349">
        <v>1</v>
      </c>
      <c r="AB16" s="1349">
        <v>1</v>
      </c>
      <c r="AC16" s="1349">
        <v>1</v>
      </c>
    </row>
    <row r="17" spans="1:29" ht="71.25">
      <c r="A17" s="379"/>
      <c r="B17" s="402" t="s">
        <v>1772</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1"/>
      <c r="Q17" s="1348" t="str">
        <f>B17</f>
        <v>商业繁华度</v>
      </c>
      <c r="R17" s="705" t="s">
        <v>14</v>
      </c>
      <c r="S17" s="706">
        <f>F17</f>
        <v>100</v>
      </c>
      <c r="T17" s="705" t="s">
        <v>14</v>
      </c>
      <c r="U17" s="706">
        <f>H17</f>
        <v>100</v>
      </c>
      <c r="V17" s="705" t="s">
        <v>14</v>
      </c>
      <c r="W17" s="706">
        <f>J17</f>
        <v>100</v>
      </c>
      <c r="X17" s="1351"/>
      <c r="Y17" s="372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1"/>
      <c r="Q18" s="1348"/>
      <c r="R18" s="705"/>
      <c r="S18" s="706"/>
      <c r="T18" s="705"/>
      <c r="U18" s="706"/>
      <c r="V18" s="705"/>
      <c r="W18" s="706"/>
      <c r="X18" s="1351"/>
      <c r="Y18" s="3721"/>
      <c r="Z18" s="1352"/>
      <c r="AA18" s="1349">
        <v>1</v>
      </c>
      <c r="AB18" s="1349">
        <v>1</v>
      </c>
      <c r="AC18" s="1349">
        <v>1</v>
      </c>
    </row>
    <row r="19" spans="1:29" ht="71.25">
      <c r="A19" s="379"/>
      <c r="B19" s="402" t="s">
        <v>1806</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1"/>
      <c r="Q19" s="1348" t="str">
        <f>B19</f>
        <v>办公集聚程度</v>
      </c>
      <c r="R19" s="705" t="s">
        <v>14</v>
      </c>
      <c r="S19" s="706">
        <f>F19</f>
        <v>100</v>
      </c>
      <c r="T19" s="705" t="s">
        <v>14</v>
      </c>
      <c r="U19" s="706">
        <f>H19</f>
        <v>100</v>
      </c>
      <c r="V19" s="705" t="s">
        <v>14</v>
      </c>
      <c r="W19" s="706">
        <f>J19</f>
        <v>100</v>
      </c>
      <c r="X19" s="1351"/>
      <c r="Y19" s="372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1"/>
      <c r="Q20" s="1348"/>
      <c r="R20" s="705"/>
      <c r="S20" s="706"/>
      <c r="T20" s="705"/>
      <c r="U20" s="706"/>
      <c r="V20" s="705"/>
      <c r="W20" s="706"/>
      <c r="X20" s="1351"/>
      <c r="Y20" s="3721"/>
      <c r="Z20" s="1352"/>
      <c r="AA20" s="1349">
        <v>1</v>
      </c>
      <c r="AB20" s="1349">
        <v>1</v>
      </c>
      <c r="AC20" s="1349">
        <v>1</v>
      </c>
    </row>
    <row r="21" spans="1:29" ht="85.5">
      <c r="A21" s="379"/>
      <c r="B21" s="402" t="s">
        <v>1828</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1"/>
      <c r="Q21" s="1348" t="str">
        <f>B21</f>
        <v>交通便捷度</v>
      </c>
      <c r="R21" s="705" t="s">
        <v>14</v>
      </c>
      <c r="S21" s="706">
        <f>F21</f>
        <v>100</v>
      </c>
      <c r="T21" s="705" t="s">
        <v>14</v>
      </c>
      <c r="U21" s="706">
        <f>H21</f>
        <v>100</v>
      </c>
      <c r="V21" s="705" t="s">
        <v>14</v>
      </c>
      <c r="W21" s="706">
        <f>J21</f>
        <v>100</v>
      </c>
      <c r="X21" s="1351"/>
      <c r="Y21" s="3721"/>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1"/>
      <c r="Q22" s="1348"/>
      <c r="R22" s="705"/>
      <c r="S22" s="706"/>
      <c r="T22" s="705"/>
      <c r="U22" s="706"/>
      <c r="V22" s="705"/>
      <c r="W22" s="706"/>
      <c r="X22" s="1351"/>
      <c r="Y22" s="3721"/>
      <c r="Z22" s="1352"/>
      <c r="AA22" s="1349">
        <v>1</v>
      </c>
      <c r="AB22" s="1349">
        <v>1</v>
      </c>
      <c r="AC22" s="1349">
        <v>1</v>
      </c>
    </row>
    <row r="23" spans="1:29" ht="15">
      <c r="A23" s="358"/>
      <c r="B23" s="402" t="s">
        <v>1866</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1"/>
      <c r="Q23" s="1348" t="str">
        <f t="shared" ref="Q23:Q37" si="8">B23</f>
        <v>区域土地利用方向</v>
      </c>
      <c r="R23" s="705" t="s">
        <v>14</v>
      </c>
      <c r="S23" s="706">
        <f>F23</f>
        <v>100</v>
      </c>
      <c r="T23" s="705" t="s">
        <v>14</v>
      </c>
      <c r="U23" s="706">
        <f>H23</f>
        <v>100</v>
      </c>
      <c r="V23" s="705" t="s">
        <v>14</v>
      </c>
      <c r="W23" s="706">
        <f>J23</f>
        <v>100</v>
      </c>
      <c r="X23" s="1351"/>
      <c r="Y23" s="372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1"/>
      <c r="Q24" s="1348"/>
      <c r="R24" s="705"/>
      <c r="S24" s="706"/>
      <c r="T24" s="705"/>
      <c r="U24" s="706"/>
      <c r="V24" s="705"/>
      <c r="W24" s="706"/>
      <c r="X24" s="1351"/>
      <c r="Y24" s="3721"/>
      <c r="Z24" s="1352"/>
      <c r="AA24" s="1349"/>
      <c r="AB24" s="1349"/>
      <c r="AC24" s="1349"/>
    </row>
    <row r="25" spans="1:29" ht="57">
      <c r="A25" s="358"/>
      <c r="B25" s="1127" t="s">
        <v>1867</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1"/>
      <c r="Q25" s="1348" t="str">
        <f t="shared" si="8"/>
        <v>自然及人文环境状况</v>
      </c>
      <c r="R25" s="705" t="s">
        <v>14</v>
      </c>
      <c r="S25" s="706">
        <f>F25</f>
        <v>100</v>
      </c>
      <c r="T25" s="705" t="s">
        <v>14</v>
      </c>
      <c r="U25" s="706">
        <f>H25</f>
        <v>100</v>
      </c>
      <c r="V25" s="705" t="s">
        <v>14</v>
      </c>
      <c r="W25" s="706">
        <f>J25</f>
        <v>100</v>
      </c>
      <c r="X25" s="1351"/>
      <c r="Y25" s="372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1"/>
      <c r="Q26" s="1348"/>
      <c r="R26" s="705"/>
      <c r="S26" s="706"/>
      <c r="T26" s="705"/>
      <c r="U26" s="706"/>
      <c r="V26" s="705"/>
      <c r="W26" s="706"/>
      <c r="X26" s="1351"/>
      <c r="Y26" s="3721"/>
      <c r="Z26" s="1352"/>
      <c r="AA26" s="1349">
        <v>1</v>
      </c>
      <c r="AB26" s="1349">
        <v>1</v>
      </c>
      <c r="AC26" s="1349">
        <v>1</v>
      </c>
    </row>
    <row r="27" spans="1:29" s="108" customFormat="1" ht="42.75">
      <c r="A27" s="597"/>
      <c r="B27" s="1127" t="s">
        <v>1773</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1"/>
      <c r="Q27" s="1339" t="str">
        <f t="shared" si="8"/>
        <v>公共配套设施</v>
      </c>
      <c r="R27" s="701" t="s">
        <v>14</v>
      </c>
      <c r="S27" s="702">
        <f>F27</f>
        <v>100</v>
      </c>
      <c r="T27" s="701" t="s">
        <v>14</v>
      </c>
      <c r="U27" s="702">
        <f>H27</f>
        <v>100</v>
      </c>
      <c r="V27" s="701" t="s">
        <v>14</v>
      </c>
      <c r="W27" s="702">
        <f>J27</f>
        <v>100</v>
      </c>
      <c r="X27" s="703"/>
      <c r="Y27" s="3721"/>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0"/>
      <c r="M28" s="2711"/>
      <c r="N28" s="2711"/>
      <c r="O28" s="2765"/>
      <c r="P28" s="3721"/>
      <c r="Q28" s="1339"/>
      <c r="R28" s="701"/>
      <c r="S28" s="702"/>
      <c r="T28" s="701"/>
      <c r="U28" s="702"/>
      <c r="V28" s="701"/>
      <c r="W28" s="702"/>
      <c r="X28" s="703"/>
      <c r="Y28" s="3721"/>
      <c r="Z28" s="52"/>
      <c r="AA28" s="1349">
        <v>1</v>
      </c>
      <c r="AB28" s="1349">
        <v>1</v>
      </c>
      <c r="AC28" s="1349">
        <v>1</v>
      </c>
    </row>
    <row r="29" spans="1:29" s="108" customFormat="1" ht="28.5">
      <c r="A29" s="597"/>
      <c r="B29" s="1127" t="s">
        <v>1774</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1"/>
      <c r="Q29" s="1339" t="str">
        <f t="shared" ref="Q29" si="9">B29</f>
        <v>基础设施水平</v>
      </c>
      <c r="R29" s="701" t="s">
        <v>14</v>
      </c>
      <c r="S29" s="702">
        <f>F29</f>
        <v>100</v>
      </c>
      <c r="T29" s="701" t="s">
        <v>14</v>
      </c>
      <c r="U29" s="702">
        <f>H29</f>
        <v>100</v>
      </c>
      <c r="V29" s="701" t="s">
        <v>14</v>
      </c>
      <c r="W29" s="702">
        <f>J29</f>
        <v>100</v>
      </c>
      <c r="X29" s="703"/>
      <c r="Y29" s="3721"/>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0"/>
      <c r="M30" s="2711"/>
      <c r="N30" s="2711"/>
      <c r="O30" s="2765"/>
      <c r="P30" s="3721"/>
      <c r="Q30" s="1339"/>
      <c r="R30" s="701"/>
      <c r="S30" s="702"/>
      <c r="T30" s="701"/>
      <c r="U30" s="702"/>
      <c r="V30" s="701"/>
      <c r="W30" s="702"/>
      <c r="X30" s="703"/>
      <c r="Y30" s="3721"/>
      <c r="Z30" s="52"/>
      <c r="AA30" s="1349">
        <v>1</v>
      </c>
      <c r="AB30" s="1349">
        <v>1</v>
      </c>
      <c r="AC30" s="1349">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1"/>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1"/>
      <c r="Z31" s="1352" t="str">
        <f t="shared" ref="Z31:Z45" si="13">Q31</f>
        <v>临街状况</v>
      </c>
      <c r="AA31" s="1349">
        <f t="shared" si="3"/>
        <v>1</v>
      </c>
      <c r="AB31" s="1349">
        <f t="shared" si="4"/>
        <v>1</v>
      </c>
      <c r="AC31" s="1349">
        <f t="shared" si="5"/>
        <v>1</v>
      </c>
    </row>
    <row r="32" spans="1:29" ht="27">
      <c r="A32" s="379"/>
      <c r="B32" s="1127"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1"/>
      <c r="Q32" s="1348" t="str">
        <f t="shared" si="8"/>
        <v>毗邻道路的类型与等级</v>
      </c>
      <c r="R32" s="705" t="s">
        <v>14</v>
      </c>
      <c r="S32" s="706">
        <f t="shared" si="10"/>
        <v>100</v>
      </c>
      <c r="T32" s="705" t="s">
        <v>14</v>
      </c>
      <c r="U32" s="706">
        <f t="shared" si="11"/>
        <v>100</v>
      </c>
      <c r="V32" s="705" t="s">
        <v>14</v>
      </c>
      <c r="W32" s="706">
        <f t="shared" si="12"/>
        <v>100</v>
      </c>
      <c r="X32" s="1351"/>
      <c r="Y32" s="372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1"/>
      <c r="Q33" s="1348"/>
      <c r="R33" s="705"/>
      <c r="S33" s="706"/>
      <c r="T33" s="705"/>
      <c r="U33" s="706"/>
      <c r="V33" s="705"/>
      <c r="W33" s="706"/>
      <c r="X33" s="1351"/>
      <c r="Y33" s="3721"/>
      <c r="Z33" s="1352"/>
      <c r="AA33" s="1349">
        <v>1</v>
      </c>
      <c r="AB33" s="1349">
        <v>1</v>
      </c>
      <c r="AC33" s="1349">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1"/>
      <c r="Q34" s="1348" t="str">
        <f t="shared" si="8"/>
        <v>土地级别</v>
      </c>
      <c r="R34" s="705" t="s">
        <v>14</v>
      </c>
      <c r="S34" s="706">
        <f t="shared" si="10"/>
        <v>100</v>
      </c>
      <c r="T34" s="705" t="s">
        <v>14</v>
      </c>
      <c r="U34" s="706">
        <f t="shared" si="11"/>
        <v>100</v>
      </c>
      <c r="V34" s="705" t="s">
        <v>14</v>
      </c>
      <c r="W34" s="706">
        <f t="shared" si="12"/>
        <v>100</v>
      </c>
      <c r="X34" s="1351"/>
      <c r="Y34" s="3721"/>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1"/>
      <c r="Q35" s="1348">
        <f t="shared" si="8"/>
        <v>111</v>
      </c>
      <c r="R35" s="705" t="s">
        <v>14</v>
      </c>
      <c r="S35" s="706">
        <f t="shared" si="10"/>
        <v>100</v>
      </c>
      <c r="T35" s="705" t="s">
        <v>14</v>
      </c>
      <c r="U35" s="706">
        <f t="shared" si="11"/>
        <v>100</v>
      </c>
      <c r="V35" s="705" t="s">
        <v>14</v>
      </c>
      <c r="W35" s="706">
        <f t="shared" si="12"/>
        <v>100</v>
      </c>
      <c r="X35" s="1351"/>
      <c r="Y35" s="3721"/>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6" t="s">
        <v>1691</v>
      </c>
      <c r="Q36" s="1348">
        <f t="shared" si="8"/>
        <v>111</v>
      </c>
      <c r="R36" s="705" t="s">
        <v>14</v>
      </c>
      <c r="S36" s="706">
        <f t="shared" si="10"/>
        <v>100</v>
      </c>
      <c r="T36" s="705" t="s">
        <v>14</v>
      </c>
      <c r="U36" s="706">
        <f t="shared" si="11"/>
        <v>100</v>
      </c>
      <c r="V36" s="705" t="s">
        <v>14</v>
      </c>
      <c r="W36" s="706">
        <f t="shared" si="12"/>
        <v>100</v>
      </c>
      <c r="X36" s="1351"/>
      <c r="Y36" s="3725" t="s">
        <v>1691</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5"/>
      <c r="Q37" s="1348">
        <f t="shared" si="8"/>
        <v>111</v>
      </c>
      <c r="R37" s="708" t="s">
        <v>14</v>
      </c>
      <c r="S37" s="709">
        <f t="shared" si="10"/>
        <v>100</v>
      </c>
      <c r="T37" s="708" t="s">
        <v>14</v>
      </c>
      <c r="U37" s="709">
        <f t="shared" si="11"/>
        <v>100</v>
      </c>
      <c r="V37" s="708" t="s">
        <v>14</v>
      </c>
      <c r="W37" s="709">
        <f t="shared" si="12"/>
        <v>100</v>
      </c>
      <c r="X37" s="710"/>
      <c r="Y37" s="3725"/>
      <c r="Z37" s="711">
        <f t="shared" si="13"/>
        <v>111</v>
      </c>
      <c r="AA37" s="1349">
        <f t="shared" si="3"/>
        <v>1</v>
      </c>
      <c r="AB37" s="1349">
        <f t="shared" si="4"/>
        <v>1</v>
      </c>
      <c r="AC37" s="1349">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5"/>
      <c r="Q38" s="1348" t="str">
        <f>B38</f>
        <v>宗地面积</v>
      </c>
      <c r="R38" s="705" t="s">
        <v>14</v>
      </c>
      <c r="S38" s="706" t="e">
        <f t="shared" si="10"/>
        <v>#N/A</v>
      </c>
      <c r="T38" s="705" t="s">
        <v>14</v>
      </c>
      <c r="U38" s="706" t="e">
        <f t="shared" si="11"/>
        <v>#N/A</v>
      </c>
      <c r="V38" s="705" t="s">
        <v>14</v>
      </c>
      <c r="W38" s="706" t="e">
        <f t="shared" si="12"/>
        <v>#N/A</v>
      </c>
      <c r="X38" s="1351"/>
      <c r="Y38" s="3725"/>
      <c r="Z38" s="1352" t="str">
        <f t="shared" si="13"/>
        <v>宗地面积</v>
      </c>
      <c r="AA38" s="1349" t="e">
        <f t="shared" si="3"/>
        <v>#N/A</v>
      </c>
      <c r="AB38" s="1349" t="e">
        <f t="shared" si="4"/>
        <v>#N/A</v>
      </c>
      <c r="AC38" s="1349" t="e">
        <f t="shared" si="5"/>
        <v>#N/A</v>
      </c>
    </row>
    <row r="39" spans="1:29" ht="15">
      <c r="A39" s="423"/>
      <c r="B39" s="375" t="s">
        <v>1870</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5"/>
      <c r="Q39" s="1348" t="str">
        <f t="shared" ref="Q39:Q45" si="14">B39</f>
        <v>宗地形状</v>
      </c>
      <c r="R39" s="705" t="s">
        <v>14</v>
      </c>
      <c r="S39" s="706">
        <f t="shared" si="10"/>
        <v>100</v>
      </c>
      <c r="T39" s="705" t="s">
        <v>14</v>
      </c>
      <c r="U39" s="706">
        <f t="shared" si="11"/>
        <v>100</v>
      </c>
      <c r="V39" s="705" t="s">
        <v>14</v>
      </c>
      <c r="W39" s="706">
        <f t="shared" si="12"/>
        <v>100</v>
      </c>
      <c r="X39" s="1351"/>
      <c r="Y39" s="3725"/>
      <c r="Z39" s="1352" t="str">
        <f t="shared" si="13"/>
        <v>宗地形状</v>
      </c>
      <c r="AA39" s="1349">
        <f t="shared" si="3"/>
        <v>1</v>
      </c>
      <c r="AB39" s="1349">
        <f t="shared" si="4"/>
        <v>1</v>
      </c>
      <c r="AC39" s="1349">
        <f t="shared" si="5"/>
        <v>1</v>
      </c>
    </row>
    <row r="40" spans="1:29" ht="15">
      <c r="A40" s="423"/>
      <c r="B40" s="375" t="s">
        <v>1871</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5"/>
      <c r="Q40" s="1348" t="str">
        <f t="shared" si="14"/>
        <v>临街宽度及深度</v>
      </c>
      <c r="R40" s="705" t="s">
        <v>14</v>
      </c>
      <c r="S40" s="706">
        <f t="shared" si="10"/>
        <v>100</v>
      </c>
      <c r="T40" s="705" t="s">
        <v>14</v>
      </c>
      <c r="U40" s="706">
        <f t="shared" si="11"/>
        <v>100</v>
      </c>
      <c r="V40" s="705" t="s">
        <v>14</v>
      </c>
      <c r="W40" s="706">
        <f t="shared" si="12"/>
        <v>100</v>
      </c>
      <c r="X40" s="1351"/>
      <c r="Y40" s="3725"/>
      <c r="Z40" s="1352" t="str">
        <f t="shared" si="13"/>
        <v>临街宽度及深度</v>
      </c>
      <c r="AA40" s="1349">
        <f t="shared" si="3"/>
        <v>1</v>
      </c>
      <c r="AB40" s="1349">
        <f t="shared" si="4"/>
        <v>1</v>
      </c>
      <c r="AC40" s="1349">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0"/>
      <c r="M41" s="2711"/>
      <c r="N41" s="2711"/>
      <c r="O41" s="2765"/>
      <c r="P41" s="3725"/>
      <c r="Q41" s="1348"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1873</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5" t="s">
        <v>1691</v>
      </c>
      <c r="Q42" s="1348" t="str">
        <f t="shared" si="14"/>
        <v>工程地质条件</v>
      </c>
      <c r="R42" s="705" t="s">
        <v>14</v>
      </c>
      <c r="S42" s="706">
        <f t="shared" si="10"/>
        <v>100</v>
      </c>
      <c r="T42" s="705" t="s">
        <v>14</v>
      </c>
      <c r="U42" s="706">
        <f t="shared" si="11"/>
        <v>100</v>
      </c>
      <c r="V42" s="705" t="s">
        <v>14</v>
      </c>
      <c r="W42" s="706">
        <f t="shared" si="12"/>
        <v>100</v>
      </c>
      <c r="X42" s="1351"/>
      <c r="Y42" s="3725" t="s">
        <v>1691</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5"/>
      <c r="Q43" s="1348">
        <f t="shared" si="14"/>
        <v>111</v>
      </c>
      <c r="R43" s="705" t="s">
        <v>14</v>
      </c>
      <c r="S43" s="706">
        <f t="shared" si="10"/>
        <v>100</v>
      </c>
      <c r="T43" s="705" t="s">
        <v>14</v>
      </c>
      <c r="U43" s="706">
        <f t="shared" si="11"/>
        <v>100</v>
      </c>
      <c r="V43" s="705" t="s">
        <v>14</v>
      </c>
      <c r="W43" s="706">
        <f t="shared" si="12"/>
        <v>100</v>
      </c>
      <c r="X43" s="1351"/>
      <c r="Y43" s="3725"/>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5"/>
      <c r="Q44" s="1348">
        <f t="shared" si="14"/>
        <v>111</v>
      </c>
      <c r="R44" s="705" t="s">
        <v>14</v>
      </c>
      <c r="S44" s="706">
        <f t="shared" si="10"/>
        <v>100</v>
      </c>
      <c r="T44" s="705" t="s">
        <v>14</v>
      </c>
      <c r="U44" s="706">
        <f t="shared" si="11"/>
        <v>100</v>
      </c>
      <c r="V44" s="705" t="s">
        <v>14</v>
      </c>
      <c r="W44" s="706">
        <f t="shared" si="12"/>
        <v>100</v>
      </c>
      <c r="X44" s="1351"/>
      <c r="Y44" s="3725"/>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5"/>
      <c r="Q45" s="1348">
        <f t="shared" si="14"/>
        <v>111</v>
      </c>
      <c r="R45" s="708" t="s">
        <v>14</v>
      </c>
      <c r="S45" s="709">
        <f t="shared" si="10"/>
        <v>100</v>
      </c>
      <c r="T45" s="708" t="s">
        <v>14</v>
      </c>
      <c r="U45" s="709">
        <f t="shared" si="11"/>
        <v>100</v>
      </c>
      <c r="V45" s="708" t="s">
        <v>14</v>
      </c>
      <c r="W45" s="709">
        <f t="shared" si="12"/>
        <v>100</v>
      </c>
      <c r="X45" s="710"/>
      <c r="Y45" s="3725"/>
      <c r="Z45" s="711">
        <f t="shared" si="13"/>
        <v>111</v>
      </c>
      <c r="AA45" s="1349">
        <f t="shared" si="3"/>
        <v>1</v>
      </c>
      <c r="AB45" s="1349">
        <f t="shared" si="4"/>
        <v>1</v>
      </c>
      <c r="AC45" s="1349">
        <f t="shared" si="5"/>
        <v>1</v>
      </c>
    </row>
    <row r="46" spans="1:29" ht="15">
      <c r="A46" s="430" t="s">
        <v>1839</v>
      </c>
      <c r="B46" s="1977" t="s">
        <v>1874</v>
      </c>
      <c r="C46" s="630" t="s">
        <v>0</v>
      </c>
      <c r="D46" s="432"/>
      <c r="E46" s="433"/>
      <c r="F46" s="434"/>
      <c r="G46" s="435"/>
      <c r="H46" s="436"/>
      <c r="I46" s="433"/>
      <c r="J46" s="436"/>
      <c r="K46" s="714"/>
      <c r="L46" s="2717"/>
      <c r="M46" s="2718"/>
      <c r="N46" s="2709"/>
      <c r="O46" s="2718"/>
      <c r="P46" s="3727" t="str">
        <f>A46</f>
        <v>成交单价</v>
      </c>
      <c r="Q46" s="3727"/>
      <c r="R46" s="3709">
        <f>E46</f>
        <v>0</v>
      </c>
      <c r="S46" s="3709"/>
      <c r="T46" s="3709">
        <f>G46</f>
        <v>0</v>
      </c>
      <c r="U46" s="3709"/>
      <c r="V46" s="3709">
        <f>I46</f>
        <v>0</v>
      </c>
      <c r="W46" s="3709"/>
      <c r="X46" s="690"/>
      <c r="Y46" s="712"/>
      <c r="Z46" s="690"/>
      <c r="AA46" s="690"/>
      <c r="AB46" s="690"/>
      <c r="AC46" s="690"/>
    </row>
    <row r="47" spans="1:29" ht="15.75" thickBot="1">
      <c r="A47" s="437" t="s">
        <v>1788</v>
      </c>
      <c r="B47" s="631"/>
      <c r="C47" s="440" t="e">
        <f>R48</f>
        <v>#DIV/0!</v>
      </c>
      <c r="D47" s="2312" t="s">
        <v>2133</v>
      </c>
      <c r="E47" s="440" t="e">
        <f>R47</f>
        <v>#DIV/0!</v>
      </c>
      <c r="F47" s="2313"/>
      <c r="G47" s="439" t="e">
        <f>T47</f>
        <v>#DIV/0!</v>
      </c>
      <c r="H47" s="2313"/>
      <c r="I47" s="440" t="e">
        <f>V47</f>
        <v>#DIV/0!</v>
      </c>
      <c r="J47" s="2313"/>
      <c r="K47" s="2315">
        <f>F47+H47+J47</f>
        <v>0</v>
      </c>
      <c r="L47" s="2717"/>
      <c r="M47" s="2718"/>
      <c r="N47" s="2718"/>
      <c r="O47" s="2718"/>
      <c r="P47" s="3727" t="str">
        <f>A47</f>
        <v>比较价值（元/平方米）</v>
      </c>
      <c r="Q47" s="3727"/>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7"/>
      <c r="M48" s="2718"/>
      <c r="N48" s="2718"/>
      <c r="O48" s="2718"/>
      <c r="P48" s="3763" t="str">
        <f>A48</f>
        <v>估价对象XX用房的比较价值（楼面单价，元/平方米）</v>
      </c>
      <c r="Q48" s="3764"/>
      <c r="R48" s="3769" t="e">
        <f>ROUND(IF(D47="简单平均",AVERAGE(R47:W47),R47*F47+T47*H47+V47*J47),0)</f>
        <v>#DIV/0!</v>
      </c>
      <c r="S48" s="3769"/>
      <c r="T48" s="3769"/>
      <c r="U48" s="3769"/>
      <c r="V48" s="3769"/>
      <c r="W48" s="3769"/>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1876</v>
      </c>
      <c r="B55" s="633" t="s">
        <v>1877</v>
      </c>
      <c r="C55" s="1978" t="s">
        <v>1878</v>
      </c>
      <c r="D55" s="1979" t="s">
        <v>1879</v>
      </c>
      <c r="E55" s="634" t="s">
        <v>1880</v>
      </c>
      <c r="F55" s="886" t="s">
        <v>1881</v>
      </c>
      <c r="G55" s="3686" t="s">
        <v>1882</v>
      </c>
      <c r="H55" s="3770"/>
      <c r="I55" s="135" t="s">
        <v>1883</v>
      </c>
      <c r="J55" s="1980">
        <f>项目基本情况!F35</f>
        <v>0</v>
      </c>
      <c r="K55" s="1981" t="s">
        <v>1884</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1885</v>
      </c>
      <c r="B56" s="637" t="e">
        <f>C48</f>
        <v>#DIV/0!</v>
      </c>
      <c r="C56" s="638">
        <v>1</v>
      </c>
      <c r="D56" s="940">
        <v>1</v>
      </c>
      <c r="E56" s="638">
        <f>'数据-汇总表'!E8+'数据-汇总表'!E9</f>
        <v>680.04</v>
      </c>
      <c r="F56" s="882" t="e">
        <f t="shared" ref="F56:F64" si="15">ROUND(B56*E56/10000,0)</f>
        <v>#DIV/0!</v>
      </c>
      <c r="G56" s="3717"/>
      <c r="H56" s="3727"/>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1886</v>
      </c>
      <c r="B57" s="218" t="e">
        <f>ROUND($C$48*C57*D57,0)</f>
        <v>#DIV/0!</v>
      </c>
      <c r="C57" s="171">
        <f t="shared" ref="C57:C64" si="16">IF($C$55="北京市系数",I57,J57)</f>
        <v>0</v>
      </c>
      <c r="D57" s="941">
        <v>0.25</v>
      </c>
      <c r="E57" s="642"/>
      <c r="F57" s="882" t="e">
        <f t="shared" si="15"/>
        <v>#DIV/0!</v>
      </c>
      <c r="G57" s="2999" t="s">
        <v>1887</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1888</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1889</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1890</v>
      </c>
      <c r="B60" s="218" t="e">
        <f t="shared" si="17"/>
        <v>#DIV/0!</v>
      </c>
      <c r="C60" s="171">
        <f t="shared" si="16"/>
        <v>0</v>
      </c>
      <c r="D60" s="941">
        <v>0.25</v>
      </c>
      <c r="E60" s="217">
        <f>'数据-汇总表'!E11</f>
        <v>0</v>
      </c>
      <c r="F60" s="882" t="e">
        <f t="shared" si="15"/>
        <v>#DIV/0!</v>
      </c>
      <c r="G60" s="1982" t="s">
        <v>1891</v>
      </c>
      <c r="H60" s="883">
        <f>项目基本情况!C37</f>
        <v>0</v>
      </c>
      <c r="I60" s="887">
        <f>SUMIF(修正!A57:A68,H60,修正!E57:E68)</f>
        <v>0</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1892</v>
      </c>
      <c r="B61" s="218" t="e">
        <f t="shared" si="17"/>
        <v>#DIV/0!</v>
      </c>
      <c r="C61" s="171">
        <f t="shared" si="16"/>
        <v>0</v>
      </c>
      <c r="D61" s="941">
        <v>0.25</v>
      </c>
      <c r="E61" s="217">
        <f>'数据-汇总表'!E12</f>
        <v>0</v>
      </c>
      <c r="F61" s="882" t="e">
        <f t="shared" si="15"/>
        <v>#DIV/0!</v>
      </c>
      <c r="G61" s="888" t="s">
        <v>1893</v>
      </c>
      <c r="H61" s="883">
        <f>IF(G61="商业",项目基本情况!B37,IF(G61="办公",项目基本情况!C37,IF(G61="住宅",项目基本情况!D37,项目基本情况!E37)))</f>
        <v>0</v>
      </c>
      <c r="I61" s="887">
        <f>SUMIF(修正!A57:A68,H61,修正!F57:F68)</f>
        <v>0</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1894</v>
      </c>
      <c r="B62" s="218" t="e">
        <f t="shared" si="17"/>
        <v>#DIV/0!</v>
      </c>
      <c r="C62" s="171">
        <f t="shared" si="16"/>
        <v>0</v>
      </c>
      <c r="D62" s="941">
        <v>0.25</v>
      </c>
      <c r="E62" s="217">
        <f>'数据-汇总表'!E13</f>
        <v>0</v>
      </c>
      <c r="F62" s="882" t="e">
        <f t="shared" si="15"/>
        <v>#DIV/0!</v>
      </c>
      <c r="G62" s="888" t="s">
        <v>1895</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1896</v>
      </c>
      <c r="B63" s="218" t="e">
        <f t="shared" si="17"/>
        <v>#DIV/0!</v>
      </c>
      <c r="C63" s="171">
        <f t="shared" si="16"/>
        <v>0</v>
      </c>
      <c r="D63" s="941">
        <v>0.25</v>
      </c>
      <c r="E63" s="217">
        <f>'数据-汇总表'!E14</f>
        <v>0</v>
      </c>
      <c r="F63" s="882" t="e">
        <f t="shared" si="15"/>
        <v>#DIV/0!</v>
      </c>
      <c r="G63" s="1982" t="s">
        <v>1887</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1897</v>
      </c>
      <c r="B64" s="218" t="e">
        <f t="shared" si="17"/>
        <v>#DIV/0!</v>
      </c>
      <c r="C64" s="171">
        <f t="shared" si="16"/>
        <v>0</v>
      </c>
      <c r="D64" s="941">
        <v>0.25</v>
      </c>
      <c r="E64" s="217">
        <f>'数据-汇总表'!E15</f>
        <v>0</v>
      </c>
      <c r="F64" s="882" t="e">
        <f t="shared" si="15"/>
        <v>#DIV/0!</v>
      </c>
      <c r="G64" s="1983" t="s">
        <v>1891</v>
      </c>
      <c r="H64" s="893">
        <f>项目基本情况!C37</f>
        <v>0</v>
      </c>
      <c r="I64" s="889">
        <f>SUMIF(修正!A57:A68,H64,修正!G57:G68)</f>
        <v>0</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1898</v>
      </c>
      <c r="B65" s="644" t="s">
        <v>22</v>
      </c>
      <c r="C65" s="644" t="s">
        <v>23</v>
      </c>
      <c r="D65" s="644" t="s">
        <v>392</v>
      </c>
      <c r="E65" s="644">
        <f>IF(B46="楼面地价",SUM(E56:E64),'数据-汇总表'!D3)</f>
        <v>680.04</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18"/>
      <c r="Q67" s="2718"/>
      <c r="R67" s="2718"/>
      <c r="S67" s="2718"/>
      <c r="T67" s="2718"/>
      <c r="U67" s="2718"/>
      <c r="V67" s="2718"/>
      <c r="W67" s="2718"/>
      <c r="X67" s="2718"/>
      <c r="Y67" s="2718"/>
      <c r="Z67" s="2718"/>
      <c r="AA67" s="2718"/>
      <c r="AB67" s="2718"/>
      <c r="AC67" s="2718"/>
    </row>
    <row r="68" spans="1:29" ht="21.75" thickBot="1">
      <c r="A68" s="694" t="s">
        <v>1793</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4" t="s">
        <v>1899</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5"/>
      <c r="R70" s="2655"/>
      <c r="S70" s="2655"/>
      <c r="T70" s="2655"/>
      <c r="U70" s="2655"/>
      <c r="V70" s="2655"/>
      <c r="W70" s="2655"/>
      <c r="X70" s="2655"/>
      <c r="Y70" s="2655"/>
      <c r="Z70" s="2655"/>
      <c r="AA70" s="2655"/>
      <c r="AB70" s="2655"/>
      <c r="AC70" s="2655"/>
    </row>
    <row r="71" spans="1:29" s="108" customFormat="1" ht="15.75" thickBot="1">
      <c r="A71" s="464" t="s">
        <v>1711</v>
      </c>
      <c r="B71" s="465"/>
      <c r="C71" s="466"/>
      <c r="D71" s="467"/>
      <c r="E71" s="467"/>
      <c r="F71" s="467"/>
      <c r="G71" s="467"/>
      <c r="H71" s="467"/>
      <c r="I71" s="467"/>
      <c r="J71" s="467"/>
      <c r="K71" s="467"/>
      <c r="L71" s="467"/>
      <c r="M71" s="468"/>
      <c r="N71" s="467"/>
      <c r="O71" s="939"/>
      <c r="P71" s="2732"/>
      <c r="Q71" s="2732"/>
      <c r="R71" s="2655"/>
      <c r="S71" s="2655"/>
      <c r="T71" s="2655"/>
      <c r="U71" s="2655"/>
      <c r="V71" s="2655"/>
      <c r="W71" s="2655"/>
      <c r="X71" s="2655"/>
      <c r="Y71" s="2655"/>
      <c r="Z71" s="2655"/>
      <c r="AA71" s="2655"/>
      <c r="AB71" s="2655"/>
      <c r="AC71" s="2655"/>
    </row>
    <row r="72" spans="1:29" s="108" customFormat="1" ht="15">
      <c r="A72" s="470" t="s">
        <v>1676</v>
      </c>
      <c r="B72" s="459"/>
      <c r="C72" s="471" t="s">
        <v>1771</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1714</v>
      </c>
      <c r="B74" s="477" t="s">
        <v>1680</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1683</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1685</v>
      </c>
      <c r="B87" s="477" t="s">
        <v>1715</v>
      </c>
      <c r="C87" s="522" t="s">
        <v>1716</v>
      </c>
      <c r="D87" s="522" t="s">
        <v>1717</v>
      </c>
      <c r="E87" s="522" t="s">
        <v>1718</v>
      </c>
      <c r="F87" s="522" t="s">
        <v>1719</v>
      </c>
      <c r="G87" s="522" t="s">
        <v>1720</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1901</v>
      </c>
      <c r="C89" s="527" t="s">
        <v>1716</v>
      </c>
      <c r="D89" s="527" t="s">
        <v>1717</v>
      </c>
      <c r="E89" s="527" t="s">
        <v>1718</v>
      </c>
      <c r="F89" s="527" t="s">
        <v>1719</v>
      </c>
      <c r="G89" s="527" t="s">
        <v>1720</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1816</v>
      </c>
      <c r="C91" s="527" t="s">
        <v>1716</v>
      </c>
      <c r="D91" s="527" t="s">
        <v>1717</v>
      </c>
      <c r="E91" s="527" t="s">
        <v>1718</v>
      </c>
      <c r="F91" s="527" t="s">
        <v>1719</v>
      </c>
      <c r="G91" s="527" t="s">
        <v>1720</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1721</v>
      </c>
      <c r="C93" s="527" t="s">
        <v>1716</v>
      </c>
      <c r="D93" s="527" t="s">
        <v>1717</v>
      </c>
      <c r="E93" s="527" t="s">
        <v>1718</v>
      </c>
      <c r="F93" s="527" t="s">
        <v>1719</v>
      </c>
      <c r="G93" s="527" t="s">
        <v>1720</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1810</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1868</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1909</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1910</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1911</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1912</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1764</v>
      </c>
      <c r="B4" s="356"/>
      <c r="C4" s="3686" t="s">
        <v>1765</v>
      </c>
      <c r="D4" s="3687"/>
      <c r="E4" s="3688" t="s">
        <v>1766</v>
      </c>
      <c r="F4" s="3689"/>
      <c r="G4" s="3686" t="s">
        <v>1767</v>
      </c>
      <c r="H4" s="3687"/>
      <c r="I4" s="3686" t="s">
        <v>1768</v>
      </c>
      <c r="J4" s="3687"/>
      <c r="K4" s="559" t="s">
        <v>1769</v>
      </c>
      <c r="L4" s="2708"/>
      <c r="M4" s="2709"/>
      <c r="N4" s="2709"/>
      <c r="O4" s="2709"/>
      <c r="P4" s="3759" t="s">
        <v>1770</v>
      </c>
      <c r="Q4" s="3760"/>
      <c r="R4" s="3754" t="s">
        <v>1766</v>
      </c>
      <c r="S4" s="3755"/>
      <c r="T4" s="3754" t="s">
        <v>1767</v>
      </c>
      <c r="U4" s="3755"/>
      <c r="V4" s="3709" t="s">
        <v>1768</v>
      </c>
      <c r="W4" s="3709"/>
      <c r="X4" s="1351"/>
      <c r="Y4" s="3754" t="s">
        <v>1770</v>
      </c>
      <c r="Z4" s="3755"/>
      <c r="AA4" s="3753" t="s">
        <v>1766</v>
      </c>
      <c r="AB4" s="3711" t="s">
        <v>1767</v>
      </c>
      <c r="AC4" s="3753" t="s">
        <v>1768</v>
      </c>
    </row>
    <row r="5" spans="1:29" ht="15">
      <c r="A5" s="358"/>
      <c r="B5" s="359"/>
      <c r="C5" s="3758" t="s">
        <v>1668</v>
      </c>
      <c r="D5" s="3701"/>
      <c r="E5" s="3756" t="s">
        <v>1669</v>
      </c>
      <c r="F5" s="3757"/>
      <c r="G5" s="3758" t="s">
        <v>1670</v>
      </c>
      <c r="H5" s="3701"/>
      <c r="I5" s="3758" t="s">
        <v>1671</v>
      </c>
      <c r="J5" s="3701"/>
      <c r="K5" s="559"/>
      <c r="L5" s="2708"/>
      <c r="M5" s="2709"/>
      <c r="N5" s="2709"/>
      <c r="O5" s="2709"/>
      <c r="P5" s="3761"/>
      <c r="Q5" s="3693"/>
      <c r="R5" s="3698"/>
      <c r="S5" s="3699"/>
      <c r="T5" s="3698"/>
      <c r="U5" s="3699"/>
      <c r="V5" s="3709"/>
      <c r="W5" s="3709"/>
      <c r="X5" s="1351"/>
      <c r="Y5" s="3698"/>
      <c r="Z5" s="3699"/>
      <c r="AA5" s="3711"/>
      <c r="AB5" s="3711"/>
      <c r="AC5" s="3711"/>
    </row>
    <row r="6" spans="1:29" ht="15.75" thickBot="1">
      <c r="A6" s="360"/>
      <c r="B6" s="361"/>
      <c r="C6" s="3771" t="s">
        <v>1914</v>
      </c>
      <c r="D6" s="3772"/>
      <c r="E6" s="3773" t="s">
        <v>1914</v>
      </c>
      <c r="F6" s="3774"/>
      <c r="G6" s="3771" t="s">
        <v>1914</v>
      </c>
      <c r="H6" s="3772"/>
      <c r="I6" s="3771" t="s">
        <v>1914</v>
      </c>
      <c r="J6" s="3772"/>
      <c r="K6" s="559" t="s">
        <v>1673</v>
      </c>
      <c r="L6" s="2708"/>
      <c r="M6" s="2709"/>
      <c r="N6" s="2709"/>
      <c r="O6" s="2709"/>
      <c r="P6" s="3762"/>
      <c r="Q6" s="3695"/>
      <c r="R6" s="3698"/>
      <c r="S6" s="3699"/>
      <c r="T6" s="3706"/>
      <c r="U6" s="3707"/>
      <c r="V6" s="3709"/>
      <c r="W6" s="3709"/>
      <c r="X6" s="1351"/>
      <c r="Y6" s="3706"/>
      <c r="Z6" s="3707"/>
      <c r="AA6" s="3712"/>
      <c r="AB6" s="3712"/>
      <c r="AC6" s="3712"/>
    </row>
    <row r="7" spans="1:29" s="108" customFormat="1" ht="15.75" thickBot="1">
      <c r="A7" s="362" t="s">
        <v>1674</v>
      </c>
      <c r="B7" s="363"/>
      <c r="C7" s="364">
        <f>'数据-取费表'!B2</f>
        <v>45034</v>
      </c>
      <c r="D7" s="365">
        <v>100</v>
      </c>
      <c r="E7" s="366"/>
      <c r="F7" s="367">
        <f>SUMIF(65:65,YEAR(E7)&amp;"-"&amp;INT((MONTH(E7)+2)/3),66:66)</f>
        <v>0</v>
      </c>
      <c r="G7" s="1969"/>
      <c r="H7" s="365">
        <f>SUMIF(65:65,YEAR(G7)&amp;"-"&amp;INT((MONTH(G7)+2)/3),66:66)</f>
        <v>0</v>
      </c>
      <c r="I7" s="1969"/>
      <c r="J7" s="365">
        <f>SUMIF(65:65,YEAR(I7)&amp;"-"&amp;INT((MONTH(I7)+2)/3),66:66)</f>
        <v>0</v>
      </c>
      <c r="K7" s="560"/>
      <c r="L7" s="2710"/>
      <c r="M7" s="2711"/>
      <c r="N7" s="2711"/>
      <c r="O7" s="2711"/>
      <c r="P7" s="3716" t="s">
        <v>1675</v>
      </c>
      <c r="Q7" s="3714"/>
      <c r="R7" s="701" t="s">
        <v>14</v>
      </c>
      <c r="S7" s="702">
        <f t="shared" ref="S7:S15" si="0">F7</f>
        <v>0</v>
      </c>
      <c r="T7" s="701" t="s">
        <v>14</v>
      </c>
      <c r="U7" s="702">
        <f t="shared" ref="U7:U15" si="1">H7</f>
        <v>0</v>
      </c>
      <c r="V7" s="701" t="s">
        <v>14</v>
      </c>
      <c r="W7" s="702">
        <f t="shared" ref="W7:W15" si="2">J7</f>
        <v>0</v>
      </c>
      <c r="X7" s="703"/>
      <c r="Y7" s="3716" t="s">
        <v>1675</v>
      </c>
      <c r="Z7" s="3715"/>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16" t="s">
        <v>1678</v>
      </c>
      <c r="Q8" s="3715"/>
      <c r="R8" s="701" t="s">
        <v>14</v>
      </c>
      <c r="S8" s="702">
        <f t="shared" si="0"/>
        <v>0</v>
      </c>
      <c r="T8" s="701" t="s">
        <v>14</v>
      </c>
      <c r="U8" s="702">
        <f t="shared" si="1"/>
        <v>0</v>
      </c>
      <c r="V8" s="701" t="s">
        <v>14</v>
      </c>
      <c r="W8" s="702">
        <f t="shared" si="2"/>
        <v>0</v>
      </c>
      <c r="X8" s="703"/>
      <c r="Y8" s="3716" t="s">
        <v>1678</v>
      </c>
      <c r="Z8" s="3715"/>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0"/>
      <c r="M9" s="2711"/>
      <c r="N9" s="2711"/>
      <c r="O9" s="2765"/>
      <c r="P9" s="3727" t="s">
        <v>1681</v>
      </c>
      <c r="Q9" s="1339" t="str">
        <f t="shared" ref="Q9:Q15" si="6">B9</f>
        <v>用途</v>
      </c>
      <c r="R9" s="701" t="s">
        <v>14</v>
      </c>
      <c r="S9" s="702">
        <f t="shared" si="0"/>
        <v>100</v>
      </c>
      <c r="T9" s="701" t="s">
        <v>14</v>
      </c>
      <c r="U9" s="702">
        <f t="shared" si="1"/>
        <v>100</v>
      </c>
      <c r="V9" s="701" t="s">
        <v>14</v>
      </c>
      <c r="W9" s="702">
        <f t="shared" si="2"/>
        <v>100</v>
      </c>
      <c r="X9" s="703"/>
      <c r="Y9" s="3651"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129</v>
      </c>
      <c r="G10" s="383"/>
      <c r="H10" s="127">
        <f>ROUND(100/'数据-取费表'!G16,0)</f>
        <v>129</v>
      </c>
      <c r="I10" s="383"/>
      <c r="J10" s="127">
        <f>ROUND(100/'数据-取费表'!G16,0)</f>
        <v>129</v>
      </c>
      <c r="K10" s="620"/>
      <c r="L10" s="2712"/>
      <c r="M10" s="2713"/>
      <c r="N10" s="2713"/>
      <c r="O10" s="2766"/>
      <c r="P10" s="3727"/>
      <c r="Q10" s="1339" t="str">
        <f t="shared" si="6"/>
        <v>土地使用年限（年）</v>
      </c>
      <c r="R10" s="701" t="s">
        <v>14</v>
      </c>
      <c r="S10" s="702">
        <f t="shared" si="0"/>
        <v>129</v>
      </c>
      <c r="T10" s="701" t="s">
        <v>14</v>
      </c>
      <c r="U10" s="702">
        <f t="shared" si="1"/>
        <v>129</v>
      </c>
      <c r="V10" s="701" t="s">
        <v>14</v>
      </c>
      <c r="W10" s="702">
        <f t="shared" si="2"/>
        <v>129</v>
      </c>
      <c r="X10" s="703"/>
      <c r="Y10" s="3651"/>
      <c r="Z10" s="52" t="str">
        <f t="shared" si="7"/>
        <v>土地使用年限（年）</v>
      </c>
      <c r="AA10" s="704">
        <f t="shared" si="3"/>
        <v>0.77519379844961245</v>
      </c>
      <c r="AB10" s="704">
        <f t="shared" si="4"/>
        <v>0.77519379844961245</v>
      </c>
      <c r="AC10" s="704">
        <f t="shared" si="5"/>
        <v>0.77519379844961245</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7"/>
      <c r="Q11" s="1339"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7"/>
      <c r="Q12" s="1339">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7"/>
      <c r="Q13" s="1339">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7"/>
      <c r="Q14" s="1339">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0" t="s">
        <v>1686</v>
      </c>
      <c r="Q15" s="1348" t="str">
        <f t="shared" si="6"/>
        <v>产业集聚程度</v>
      </c>
      <c r="R15" s="705" t="s">
        <v>14</v>
      </c>
      <c r="S15" s="706">
        <f t="shared" si="0"/>
        <v>100</v>
      </c>
      <c r="T15" s="705" t="s">
        <v>14</v>
      </c>
      <c r="U15" s="706">
        <f t="shared" si="1"/>
        <v>100</v>
      </c>
      <c r="V15" s="705" t="s">
        <v>14</v>
      </c>
      <c r="W15" s="706">
        <f t="shared" si="2"/>
        <v>100</v>
      </c>
      <c r="X15" s="1351"/>
      <c r="Y15" s="3720" t="s">
        <v>1686</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1"/>
      <c r="Q16" s="1348"/>
      <c r="R16" s="705"/>
      <c r="S16" s="706"/>
      <c r="T16" s="705"/>
      <c r="U16" s="706"/>
      <c r="V16" s="705"/>
      <c r="W16" s="706"/>
      <c r="X16" s="1351"/>
      <c r="Y16" s="3721"/>
      <c r="Z16" s="1352"/>
      <c r="AA16" s="1349">
        <v>1</v>
      </c>
      <c r="AB16" s="1349">
        <v>1</v>
      </c>
      <c r="AC16" s="1349">
        <v>1</v>
      </c>
    </row>
    <row r="17" spans="1:29" ht="85.5">
      <c r="A17" s="379"/>
      <c r="B17" s="579" t="s">
        <v>1828</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1"/>
      <c r="Q17" s="1348" t="str">
        <f>B17</f>
        <v>交通便捷度</v>
      </c>
      <c r="R17" s="705" t="s">
        <v>14</v>
      </c>
      <c r="S17" s="706">
        <f>F17</f>
        <v>100</v>
      </c>
      <c r="T17" s="705" t="s">
        <v>14</v>
      </c>
      <c r="U17" s="706">
        <f>H17</f>
        <v>100</v>
      </c>
      <c r="V17" s="705" t="s">
        <v>14</v>
      </c>
      <c r="W17" s="706">
        <f>J17</f>
        <v>100</v>
      </c>
      <c r="X17" s="1351"/>
      <c r="Y17" s="372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1"/>
      <c r="Q18" s="1348"/>
      <c r="R18" s="705"/>
      <c r="S18" s="706"/>
      <c r="T18" s="705"/>
      <c r="U18" s="706"/>
      <c r="V18" s="705"/>
      <c r="W18" s="706"/>
      <c r="X18" s="1351"/>
      <c r="Y18" s="3721"/>
      <c r="Z18" s="1352"/>
      <c r="AA18" s="1349">
        <v>1</v>
      </c>
      <c r="AB18" s="1349">
        <v>1</v>
      </c>
      <c r="AC18" s="1349">
        <v>1</v>
      </c>
    </row>
    <row r="19" spans="1:29" ht="15">
      <c r="A19" s="379"/>
      <c r="B19" s="579" t="s">
        <v>1866</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1"/>
      <c r="Q19" s="1348" t="str">
        <f t="shared" ref="Q19:Q33" si="8">B19</f>
        <v>区域土地利用方向</v>
      </c>
      <c r="R19" s="705" t="s">
        <v>14</v>
      </c>
      <c r="S19" s="706">
        <f>F19</f>
        <v>100</v>
      </c>
      <c r="T19" s="705" t="s">
        <v>14</v>
      </c>
      <c r="U19" s="706">
        <f>H19</f>
        <v>100</v>
      </c>
      <c r="V19" s="705" t="s">
        <v>14</v>
      </c>
      <c r="W19" s="706">
        <f>J19</f>
        <v>100</v>
      </c>
      <c r="X19" s="1351"/>
      <c r="Y19" s="372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1"/>
      <c r="Q20" s="1348"/>
      <c r="R20" s="705"/>
      <c r="S20" s="706"/>
      <c r="T20" s="705"/>
      <c r="U20" s="706"/>
      <c r="V20" s="705"/>
      <c r="W20" s="706"/>
      <c r="X20" s="1351"/>
      <c r="Y20" s="3721"/>
      <c r="Z20" s="1352"/>
      <c r="AA20" s="1349"/>
      <c r="AB20" s="1349"/>
      <c r="AC20" s="1349"/>
    </row>
    <row r="21" spans="1:29" ht="71.25">
      <c r="A21" s="358"/>
      <c r="B21" s="579" t="s">
        <v>1916</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1"/>
      <c r="Q21" s="1348" t="str">
        <f t="shared" si="8"/>
        <v>环境状况</v>
      </c>
      <c r="R21" s="705" t="s">
        <v>14</v>
      </c>
      <c r="S21" s="706">
        <f>F21</f>
        <v>100</v>
      </c>
      <c r="T21" s="705" t="s">
        <v>14</v>
      </c>
      <c r="U21" s="706">
        <f>H21</f>
        <v>100</v>
      </c>
      <c r="V21" s="705" t="s">
        <v>14</v>
      </c>
      <c r="W21" s="706">
        <f>J21</f>
        <v>100</v>
      </c>
      <c r="X21" s="1351"/>
      <c r="Y21" s="372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1"/>
      <c r="Q22" s="1348"/>
      <c r="R22" s="705"/>
      <c r="S22" s="706"/>
      <c r="T22" s="705"/>
      <c r="U22" s="706"/>
      <c r="V22" s="705"/>
      <c r="W22" s="706"/>
      <c r="X22" s="1351"/>
      <c r="Y22" s="3721"/>
      <c r="Z22" s="1352"/>
      <c r="AA22" s="1349">
        <v>1</v>
      </c>
      <c r="AB22" s="1349">
        <v>1</v>
      </c>
      <c r="AC22" s="1349">
        <v>1</v>
      </c>
    </row>
    <row r="23" spans="1:29" s="108" customFormat="1" ht="42.75">
      <c r="A23" s="597"/>
      <c r="B23" s="581" t="s">
        <v>1773</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1"/>
      <c r="Q23" s="1339" t="str">
        <f t="shared" si="8"/>
        <v>公共配套设施</v>
      </c>
      <c r="R23" s="701" t="s">
        <v>14</v>
      </c>
      <c r="S23" s="702">
        <f>F23</f>
        <v>100</v>
      </c>
      <c r="T23" s="701" t="s">
        <v>14</v>
      </c>
      <c r="U23" s="702">
        <f>H23</f>
        <v>100</v>
      </c>
      <c r="V23" s="701" t="s">
        <v>14</v>
      </c>
      <c r="W23" s="702">
        <f>J23</f>
        <v>100</v>
      </c>
      <c r="X23" s="703"/>
      <c r="Y23" s="3721"/>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0"/>
      <c r="M24" s="2711"/>
      <c r="N24" s="2711"/>
      <c r="O24" s="2765"/>
      <c r="P24" s="3721"/>
      <c r="Q24" s="1339"/>
      <c r="R24" s="701"/>
      <c r="S24" s="702"/>
      <c r="T24" s="701"/>
      <c r="U24" s="702"/>
      <c r="V24" s="701"/>
      <c r="W24" s="702"/>
      <c r="X24" s="703"/>
      <c r="Y24" s="3721"/>
      <c r="Z24" s="52"/>
      <c r="AA24" s="704">
        <v>1</v>
      </c>
      <c r="AB24" s="704">
        <v>1</v>
      </c>
      <c r="AC24" s="704">
        <v>1</v>
      </c>
    </row>
    <row r="25" spans="1:29" s="108" customFormat="1" ht="28.5">
      <c r="A25" s="597"/>
      <c r="B25" s="581" t="s">
        <v>1774</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1"/>
      <c r="Q25" s="1339" t="str">
        <f t="shared" ref="Q25" si="9">B25</f>
        <v>基础设施水平</v>
      </c>
      <c r="R25" s="701" t="s">
        <v>14</v>
      </c>
      <c r="S25" s="702">
        <f>F25</f>
        <v>100</v>
      </c>
      <c r="T25" s="701" t="s">
        <v>14</v>
      </c>
      <c r="U25" s="702">
        <f>H25</f>
        <v>100</v>
      </c>
      <c r="V25" s="701" t="s">
        <v>14</v>
      </c>
      <c r="W25" s="702">
        <f>J25</f>
        <v>100</v>
      </c>
      <c r="X25" s="703"/>
      <c r="Y25" s="3721"/>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0"/>
      <c r="M26" s="2711"/>
      <c r="N26" s="2711"/>
      <c r="O26" s="2765"/>
      <c r="P26" s="3721"/>
      <c r="Q26" s="1339"/>
      <c r="R26" s="701"/>
      <c r="S26" s="702"/>
      <c r="T26" s="701"/>
      <c r="U26" s="702"/>
      <c r="V26" s="701"/>
      <c r="W26" s="702"/>
      <c r="X26" s="703"/>
      <c r="Y26" s="3721"/>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1"/>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1"/>
      <c r="Z27" s="1352" t="str">
        <f t="shared" ref="Z27:Z40" si="13">Q27</f>
        <v>临街状况</v>
      </c>
      <c r="AA27" s="1349">
        <f t="shared" si="3"/>
        <v>1</v>
      </c>
      <c r="AB27" s="1349">
        <f t="shared" si="4"/>
        <v>1</v>
      </c>
      <c r="AC27" s="1349">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1"/>
      <c r="Q28" s="1348" t="str">
        <f t="shared" si="8"/>
        <v>毗邻道路的类型与等级</v>
      </c>
      <c r="R28" s="705" t="s">
        <v>14</v>
      </c>
      <c r="S28" s="706">
        <f t="shared" si="10"/>
        <v>100</v>
      </c>
      <c r="T28" s="705" t="s">
        <v>14</v>
      </c>
      <c r="U28" s="706">
        <f t="shared" si="11"/>
        <v>100</v>
      </c>
      <c r="V28" s="705" t="s">
        <v>14</v>
      </c>
      <c r="W28" s="706">
        <f t="shared" si="12"/>
        <v>100</v>
      </c>
      <c r="X28" s="1351"/>
      <c r="Y28" s="372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1"/>
      <c r="Q29" s="1348"/>
      <c r="R29" s="705"/>
      <c r="S29" s="706"/>
      <c r="T29" s="705"/>
      <c r="U29" s="706"/>
      <c r="V29" s="705"/>
      <c r="W29" s="706"/>
      <c r="X29" s="1351"/>
      <c r="Y29" s="3721"/>
      <c r="Z29" s="1352"/>
      <c r="AA29" s="1349">
        <v>1</v>
      </c>
      <c r="AB29" s="1349">
        <v>1</v>
      </c>
      <c r="AC29" s="1349">
        <v>1</v>
      </c>
    </row>
    <row r="30" spans="1:29" ht="15">
      <c r="A30" s="379"/>
      <c r="B30" s="602" t="s">
        <v>1868</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1"/>
      <c r="Q30" s="1348" t="str">
        <f t="shared" si="8"/>
        <v>土地级别</v>
      </c>
      <c r="R30" s="705" t="s">
        <v>14</v>
      </c>
      <c r="S30" s="706">
        <f t="shared" si="10"/>
        <v>100</v>
      </c>
      <c r="T30" s="705" t="s">
        <v>14</v>
      </c>
      <c r="U30" s="706">
        <f t="shared" si="11"/>
        <v>100</v>
      </c>
      <c r="V30" s="705" t="s">
        <v>14</v>
      </c>
      <c r="W30" s="706">
        <f t="shared" si="12"/>
        <v>100</v>
      </c>
      <c r="X30" s="1351"/>
      <c r="Y30" s="3721"/>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1"/>
      <c r="Q31" s="1348">
        <f t="shared" si="8"/>
        <v>111</v>
      </c>
      <c r="R31" s="705" t="s">
        <v>14</v>
      </c>
      <c r="S31" s="706">
        <f t="shared" si="10"/>
        <v>100</v>
      </c>
      <c r="T31" s="705" t="s">
        <v>14</v>
      </c>
      <c r="U31" s="706">
        <f t="shared" si="11"/>
        <v>100</v>
      </c>
      <c r="V31" s="705" t="s">
        <v>14</v>
      </c>
      <c r="W31" s="706">
        <f t="shared" si="12"/>
        <v>100</v>
      </c>
      <c r="X31" s="1351"/>
      <c r="Y31" s="3721"/>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6" t="s">
        <v>1691</v>
      </c>
      <c r="Q32" s="1348">
        <f t="shared" si="8"/>
        <v>111</v>
      </c>
      <c r="R32" s="705" t="s">
        <v>14</v>
      </c>
      <c r="S32" s="706">
        <f t="shared" si="10"/>
        <v>100</v>
      </c>
      <c r="T32" s="705" t="s">
        <v>14</v>
      </c>
      <c r="U32" s="706">
        <f t="shared" si="11"/>
        <v>100</v>
      </c>
      <c r="V32" s="705" t="s">
        <v>14</v>
      </c>
      <c r="W32" s="706">
        <f t="shared" si="12"/>
        <v>100</v>
      </c>
      <c r="X32" s="1351"/>
      <c r="Y32" s="3725" t="s">
        <v>1691</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5"/>
      <c r="Q33" s="1348">
        <f t="shared" si="8"/>
        <v>111</v>
      </c>
      <c r="R33" s="708" t="s">
        <v>14</v>
      </c>
      <c r="S33" s="709">
        <f t="shared" si="10"/>
        <v>100</v>
      </c>
      <c r="T33" s="708" t="s">
        <v>14</v>
      </c>
      <c r="U33" s="709">
        <f t="shared" si="11"/>
        <v>100</v>
      </c>
      <c r="V33" s="708" t="s">
        <v>14</v>
      </c>
      <c r="W33" s="709">
        <f t="shared" si="12"/>
        <v>100</v>
      </c>
      <c r="X33" s="710"/>
      <c r="Y33" s="3725"/>
      <c r="Z33" s="711">
        <f t="shared" si="13"/>
        <v>111</v>
      </c>
      <c r="AA33" s="1349">
        <f t="shared" si="3"/>
        <v>1</v>
      </c>
      <c r="AB33" s="1349">
        <f t="shared" si="4"/>
        <v>1</v>
      </c>
      <c r="AC33" s="1349">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5"/>
      <c r="Q34" s="1348" t="str">
        <f>B34</f>
        <v>宗地面积</v>
      </c>
      <c r="R34" s="705" t="s">
        <v>14</v>
      </c>
      <c r="S34" s="706" t="e">
        <f t="shared" si="10"/>
        <v>#N/A</v>
      </c>
      <c r="T34" s="705" t="s">
        <v>14</v>
      </c>
      <c r="U34" s="706" t="e">
        <f t="shared" si="11"/>
        <v>#N/A</v>
      </c>
      <c r="V34" s="705" t="s">
        <v>14</v>
      </c>
      <c r="W34" s="706" t="e">
        <f t="shared" si="12"/>
        <v>#N/A</v>
      </c>
      <c r="X34" s="1351"/>
      <c r="Y34" s="3725"/>
      <c r="Z34" s="1352" t="str">
        <f t="shared" si="13"/>
        <v>宗地面积</v>
      </c>
      <c r="AA34" s="1349" t="e">
        <f t="shared" si="3"/>
        <v>#N/A</v>
      </c>
      <c r="AB34" s="1349" t="e">
        <f t="shared" si="4"/>
        <v>#N/A</v>
      </c>
      <c r="AC34" s="1349" t="e">
        <f t="shared" si="5"/>
        <v>#N/A</v>
      </c>
    </row>
    <row r="35" spans="1:31" ht="15">
      <c r="A35" s="423"/>
      <c r="B35" s="375" t="s">
        <v>1870</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5"/>
      <c r="Q35" s="1348" t="str">
        <f t="shared" ref="Q35:Q40" si="14">B35</f>
        <v>宗地形状</v>
      </c>
      <c r="R35" s="705" t="s">
        <v>14</v>
      </c>
      <c r="S35" s="706">
        <f t="shared" si="10"/>
        <v>100</v>
      </c>
      <c r="T35" s="705" t="s">
        <v>14</v>
      </c>
      <c r="U35" s="706">
        <f t="shared" si="11"/>
        <v>100</v>
      </c>
      <c r="V35" s="705" t="s">
        <v>14</v>
      </c>
      <c r="W35" s="706">
        <f t="shared" si="12"/>
        <v>100</v>
      </c>
      <c r="X35" s="1351"/>
      <c r="Y35" s="3725"/>
      <c r="Z35" s="1352" t="str">
        <f t="shared" si="13"/>
        <v>宗地形状</v>
      </c>
      <c r="AA35" s="1349">
        <f t="shared" si="3"/>
        <v>1</v>
      </c>
      <c r="AB35" s="1349">
        <f t="shared" si="4"/>
        <v>1</v>
      </c>
      <c r="AC35" s="1349">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0"/>
      <c r="M36" s="2711"/>
      <c r="N36" s="2711"/>
      <c r="O36" s="2765"/>
      <c r="P36" s="3725"/>
      <c r="Q36" s="1348"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1873</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5" t="s">
        <v>1691</v>
      </c>
      <c r="Q37" s="1348" t="str">
        <f t="shared" si="14"/>
        <v>工程地质条件</v>
      </c>
      <c r="R37" s="705" t="s">
        <v>14</v>
      </c>
      <c r="S37" s="706">
        <f t="shared" si="10"/>
        <v>100</v>
      </c>
      <c r="T37" s="705" t="s">
        <v>14</v>
      </c>
      <c r="U37" s="706">
        <f t="shared" si="11"/>
        <v>100</v>
      </c>
      <c r="V37" s="705" t="s">
        <v>14</v>
      </c>
      <c r="W37" s="706">
        <f t="shared" si="12"/>
        <v>100</v>
      </c>
      <c r="X37" s="1351"/>
      <c r="Y37" s="3725" t="s">
        <v>1691</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5"/>
      <c r="Q38" s="1348">
        <f t="shared" si="14"/>
        <v>111</v>
      </c>
      <c r="R38" s="705" t="s">
        <v>14</v>
      </c>
      <c r="S38" s="706">
        <f t="shared" si="10"/>
        <v>100</v>
      </c>
      <c r="T38" s="705" t="s">
        <v>14</v>
      </c>
      <c r="U38" s="706">
        <f t="shared" si="11"/>
        <v>100</v>
      </c>
      <c r="V38" s="705" t="s">
        <v>14</v>
      </c>
      <c r="W38" s="706">
        <f t="shared" si="12"/>
        <v>100</v>
      </c>
      <c r="X38" s="1351"/>
      <c r="Y38" s="3725"/>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5"/>
      <c r="Q39" s="1348">
        <f t="shared" si="14"/>
        <v>111</v>
      </c>
      <c r="R39" s="705" t="s">
        <v>14</v>
      </c>
      <c r="S39" s="706">
        <f t="shared" si="10"/>
        <v>100</v>
      </c>
      <c r="T39" s="705" t="s">
        <v>14</v>
      </c>
      <c r="U39" s="706">
        <f t="shared" si="11"/>
        <v>100</v>
      </c>
      <c r="V39" s="705" t="s">
        <v>14</v>
      </c>
      <c r="W39" s="706">
        <f t="shared" si="12"/>
        <v>100</v>
      </c>
      <c r="X39" s="1351"/>
      <c r="Y39" s="3725"/>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5"/>
      <c r="Q40" s="1348">
        <f t="shared" si="14"/>
        <v>111</v>
      </c>
      <c r="R40" s="708" t="s">
        <v>14</v>
      </c>
      <c r="S40" s="709">
        <f t="shared" si="10"/>
        <v>100</v>
      </c>
      <c r="T40" s="708" t="s">
        <v>14</v>
      </c>
      <c r="U40" s="709">
        <f t="shared" si="11"/>
        <v>100</v>
      </c>
      <c r="V40" s="708" t="s">
        <v>14</v>
      </c>
      <c r="W40" s="709">
        <f t="shared" si="12"/>
        <v>100</v>
      </c>
      <c r="X40" s="710"/>
      <c r="Y40" s="3725"/>
      <c r="Z40" s="711">
        <f t="shared" si="13"/>
        <v>111</v>
      </c>
      <c r="AA40" s="1349">
        <f t="shared" si="3"/>
        <v>1</v>
      </c>
      <c r="AB40" s="1349">
        <f t="shared" si="4"/>
        <v>1</v>
      </c>
      <c r="AC40" s="1349">
        <f t="shared" si="5"/>
        <v>1</v>
      </c>
    </row>
    <row r="41" spans="1:31" ht="15">
      <c r="A41" s="430" t="s">
        <v>1839</v>
      </c>
      <c r="B41" s="1977" t="s">
        <v>1917</v>
      </c>
      <c r="C41" s="630" t="s">
        <v>0</v>
      </c>
      <c r="D41" s="432"/>
      <c r="E41" s="433"/>
      <c r="F41" s="434"/>
      <c r="G41" s="435"/>
      <c r="H41" s="436"/>
      <c r="I41" s="433"/>
      <c r="J41" s="436"/>
      <c r="K41" s="714"/>
      <c r="L41" s="2717"/>
      <c r="M41" s="2709"/>
      <c r="N41" s="2709"/>
      <c r="O41" s="2718"/>
      <c r="P41" s="3727" t="str">
        <f>A41</f>
        <v>成交单价</v>
      </c>
      <c r="Q41" s="3727"/>
      <c r="R41" s="3709">
        <f>E41</f>
        <v>0</v>
      </c>
      <c r="S41" s="3709"/>
      <c r="T41" s="3709">
        <f>G41</f>
        <v>0</v>
      </c>
      <c r="U41" s="3709"/>
      <c r="V41" s="3709">
        <f>I41</f>
        <v>0</v>
      </c>
      <c r="W41" s="3709"/>
      <c r="X41" s="690"/>
      <c r="Y41" s="712"/>
      <c r="Z41" s="690"/>
      <c r="AA41" s="690"/>
      <c r="AB41" s="690"/>
      <c r="AC41" s="690"/>
    </row>
    <row r="42" spans="1:31" ht="15.75" thickBot="1">
      <c r="A42" s="437" t="s">
        <v>1788</v>
      </c>
      <c r="B42" s="631"/>
      <c r="C42" s="440" t="e">
        <f>R43</f>
        <v>#DIV/0!</v>
      </c>
      <c r="D42" s="2312" t="s">
        <v>2133</v>
      </c>
      <c r="E42" s="440" t="e">
        <f>R42</f>
        <v>#DIV/0!</v>
      </c>
      <c r="F42" s="2313"/>
      <c r="G42" s="439" t="e">
        <f>T42</f>
        <v>#DIV/0!</v>
      </c>
      <c r="H42" s="2313"/>
      <c r="I42" s="440" t="e">
        <f>V42</f>
        <v>#DIV/0!</v>
      </c>
      <c r="J42" s="2313"/>
      <c r="K42" s="2315">
        <f>F42+H42+J42</f>
        <v>0</v>
      </c>
      <c r="L42" s="2717"/>
      <c r="M42" s="2709"/>
      <c r="N42" s="2709"/>
      <c r="O42" s="2718"/>
      <c r="P42" s="3727" t="str">
        <f>A42</f>
        <v>比较价值（元/平方米）</v>
      </c>
      <c r="Q42" s="3727"/>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7"/>
      <c r="M43" s="2709"/>
      <c r="N43" s="2709"/>
      <c r="O43" s="2718"/>
      <c r="P43" s="3763" t="str">
        <f>A43</f>
        <v>估价对象XX用房的比较价值（楼面单价，元/平方米）</v>
      </c>
      <c r="Q43" s="3764"/>
      <c r="R43" s="3769" t="e">
        <f>ROUND(IF(D42="简单平均",AVERAGE(R42:W42),R42*F42+T42*H42+V42*J42),0)</f>
        <v>#DIV/0!</v>
      </c>
      <c r="S43" s="3769"/>
      <c r="T43" s="3769"/>
      <c r="U43" s="3769"/>
      <c r="V43" s="3769"/>
      <c r="W43" s="3769"/>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1876</v>
      </c>
      <c r="B50" s="633" t="s">
        <v>1877</v>
      </c>
      <c r="C50" s="1978" t="s">
        <v>1878</v>
      </c>
      <c r="D50" s="1979" t="s">
        <v>1879</v>
      </c>
      <c r="E50" s="634" t="s">
        <v>1880</v>
      </c>
      <c r="F50" s="635" t="s">
        <v>1881</v>
      </c>
      <c r="G50" s="3686" t="s">
        <v>1882</v>
      </c>
      <c r="H50" s="3770"/>
      <c r="I50" s="1352" t="s">
        <v>1918</v>
      </c>
      <c r="J50" s="1352">
        <f>项目基本情况!F35</f>
        <v>0</v>
      </c>
      <c r="K50" s="1981" t="s">
        <v>1884</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1885</v>
      </c>
      <c r="B51" s="637" t="e">
        <f>C43</f>
        <v>#DIV/0!</v>
      </c>
      <c r="C51" s="638">
        <v>1</v>
      </c>
      <c r="D51" s="940">
        <v>1</v>
      </c>
      <c r="E51" s="638">
        <f>'数据-汇总表'!E8+'数据-汇总表'!E9</f>
        <v>680.04</v>
      </c>
      <c r="F51" s="639" t="e">
        <f t="shared" ref="F51:F60" si="15">ROUND(B51*E51/10000,0)</f>
        <v>#DIV/0!</v>
      </c>
      <c r="G51" s="3717"/>
      <c r="H51" s="3727"/>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1886</v>
      </c>
      <c r="B52" s="218" t="e">
        <f>ROUND($C$43*C52*D52,0)</f>
        <v>#DIV/0!</v>
      </c>
      <c r="C52" s="171">
        <f t="shared" ref="C52:C60" si="16">IF($C$50="北京市系数",I52,J52)</f>
        <v>0</v>
      </c>
      <c r="D52" s="941">
        <v>0.25</v>
      </c>
      <c r="E52" s="642"/>
      <c r="F52" s="639" t="e">
        <f t="shared" si="15"/>
        <v>#DIV/0!</v>
      </c>
      <c r="G52" s="2999" t="s">
        <v>1887</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1888</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1889</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1890</v>
      </c>
      <c r="B56" s="218" t="e">
        <f t="shared" si="17"/>
        <v>#DIV/0!</v>
      </c>
      <c r="C56" s="171">
        <f t="shared" si="16"/>
        <v>0</v>
      </c>
      <c r="D56" s="941">
        <v>0.25</v>
      </c>
      <c r="E56" s="217">
        <f>'数据-汇总表'!E11</f>
        <v>0</v>
      </c>
      <c r="F56" s="639" t="e">
        <f t="shared" si="15"/>
        <v>#DIV/0!</v>
      </c>
      <c r="G56" s="1982" t="s">
        <v>1891</v>
      </c>
      <c r="H56" s="883">
        <f>项目基本情况!C37</f>
        <v>0</v>
      </c>
      <c r="I56" s="769">
        <f>SUMIF(修正!A57:A68,H56,修正!E57:E68)</f>
        <v>0</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1892</v>
      </c>
      <c r="B57" s="218" t="e">
        <f t="shared" si="17"/>
        <v>#DIV/0!</v>
      </c>
      <c r="C57" s="171">
        <f t="shared" si="16"/>
        <v>0</v>
      </c>
      <c r="D57" s="941">
        <v>0.25</v>
      </c>
      <c r="E57" s="217">
        <f>'数据-汇总表'!E12</f>
        <v>0</v>
      </c>
      <c r="F57" s="639" t="e">
        <f t="shared" si="15"/>
        <v>#DIV/0!</v>
      </c>
      <c r="G57" s="888" t="s">
        <v>1893</v>
      </c>
      <c r="H57" s="883">
        <f>IF(G57="商业",项目基本情况!B37,IF(G57="办公",项目基本情况!C37,IF(G57="住宅",项目基本情况!D37,项目基本情况!E37)))</f>
        <v>0</v>
      </c>
      <c r="I57" s="769">
        <f>SUMIF(修正!A57:A68,H57,修正!F57:F68)</f>
        <v>0</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1894</v>
      </c>
      <c r="B58" s="218" t="e">
        <f t="shared" si="17"/>
        <v>#DIV/0!</v>
      </c>
      <c r="C58" s="171">
        <f t="shared" si="16"/>
        <v>0</v>
      </c>
      <c r="D58" s="941">
        <v>0.25</v>
      </c>
      <c r="E58" s="217">
        <f>'数据-汇总表'!E13</f>
        <v>0</v>
      </c>
      <c r="F58" s="639" t="e">
        <f t="shared" si="15"/>
        <v>#DIV/0!</v>
      </c>
      <c r="G58" s="888" t="s">
        <v>1895</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1896</v>
      </c>
      <c r="B59" s="218" t="e">
        <f t="shared" si="17"/>
        <v>#DIV/0!</v>
      </c>
      <c r="C59" s="171">
        <f t="shared" si="16"/>
        <v>0</v>
      </c>
      <c r="D59" s="941">
        <v>0.25</v>
      </c>
      <c r="E59" s="217">
        <f>'数据-汇总表'!E14</f>
        <v>0</v>
      </c>
      <c r="F59" s="639" t="e">
        <f t="shared" si="15"/>
        <v>#DIV/0!</v>
      </c>
      <c r="G59" s="1982" t="s">
        <v>1887</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1897</v>
      </c>
      <c r="B60" s="218" t="e">
        <f t="shared" si="17"/>
        <v>#DIV/0!</v>
      </c>
      <c r="C60" s="171">
        <f t="shared" si="16"/>
        <v>0</v>
      </c>
      <c r="D60" s="941">
        <v>0.25</v>
      </c>
      <c r="E60" s="217">
        <f>'数据-汇总表'!E15</f>
        <v>0</v>
      </c>
      <c r="F60" s="639" t="e">
        <f t="shared" si="15"/>
        <v>#DIV/0!</v>
      </c>
      <c r="G60" s="1983" t="s">
        <v>1891</v>
      </c>
      <c r="H60" s="893">
        <f>项目基本情况!C37</f>
        <v>0</v>
      </c>
      <c r="I60" s="769">
        <f>SUMIF(修正!A57:A68,H60,修正!G57:G68)</f>
        <v>0</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18"/>
      <c r="Q63" s="2718"/>
      <c r="R63" s="2718"/>
      <c r="S63" s="2718"/>
      <c r="T63" s="2718"/>
      <c r="U63" s="2718"/>
      <c r="V63" s="2718"/>
      <c r="W63" s="2718"/>
      <c r="X63" s="2718"/>
      <c r="Y63" s="2718"/>
      <c r="Z63" s="2718"/>
      <c r="AA63" s="2718"/>
      <c r="AB63" s="2718"/>
      <c r="AC63" s="2718"/>
      <c r="AD63" s="2718"/>
      <c r="AE63" s="2718"/>
    </row>
    <row r="64" spans="1:31" ht="21.75" thickBot="1">
      <c r="A64" s="694" t="s">
        <v>1793</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4" t="s">
        <v>1899</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1711</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1676</v>
      </c>
      <c r="B68" s="459"/>
      <c r="C68" s="471" t="s">
        <v>1771</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1714</v>
      </c>
      <c r="B70" s="477" t="s">
        <v>1680</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1683</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1685</v>
      </c>
      <c r="B83" s="477" t="s">
        <v>1824</v>
      </c>
      <c r="C83" s="522" t="s">
        <v>1716</v>
      </c>
      <c r="D83" s="522" t="s">
        <v>1717</v>
      </c>
      <c r="E83" s="522" t="s">
        <v>1718</v>
      </c>
      <c r="F83" s="522" t="s">
        <v>1719</v>
      </c>
      <c r="G83" s="522" t="s">
        <v>1720</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1721</v>
      </c>
      <c r="C85" s="527" t="s">
        <v>1716</v>
      </c>
      <c r="D85" s="527" t="s">
        <v>1717</v>
      </c>
      <c r="E85" s="527" t="s">
        <v>1718</v>
      </c>
      <c r="F85" s="527" t="s">
        <v>1719</v>
      </c>
      <c r="G85" s="527" t="s">
        <v>1720</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1810</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1868</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1909</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1911</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1912</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89"/>
      <c r="B4" s="3496" t="s">
        <v>913</v>
      </c>
      <c r="C4" s="3496"/>
      <c r="D4" s="3496"/>
      <c r="E4" s="1489"/>
    </row>
    <row r="5" spans="1:5" ht="16.5" thickTop="1">
      <c r="A5" s="1487"/>
      <c r="B5" s="3494" t="s">
        <v>905</v>
      </c>
      <c r="C5" s="1490" t="s">
        <v>906</v>
      </c>
      <c r="D5" s="846">
        <f ca="1">结果表501!H101</f>
        <v>548</v>
      </c>
      <c r="E5" s="1487"/>
    </row>
    <row r="6" spans="1:5" ht="15.75">
      <c r="A6" s="1487"/>
      <c r="B6" s="3494"/>
      <c r="C6" s="1490" t="s">
        <v>907</v>
      </c>
      <c r="D6" s="846" t="str">
        <f ca="1">NUMBERSTRING(INT(D5*10000),2)&amp;"元整"</f>
        <v>伍佰肆拾捌万元整</v>
      </c>
      <c r="E6" s="1487"/>
    </row>
    <row r="7" spans="1:5" ht="15.75">
      <c r="A7" s="1487"/>
      <c r="B7" s="3499"/>
      <c r="C7" s="1491" t="s">
        <v>908</v>
      </c>
      <c r="D7" s="847">
        <f ca="1">结果表501!H102</f>
        <v>25122</v>
      </c>
      <c r="E7" s="1487"/>
    </row>
    <row r="8" spans="1:5" ht="15.75">
      <c r="A8" s="1487"/>
      <c r="B8" s="3500" t="str">
        <f>结果表501!E103</f>
        <v>2.估价师知悉的法定优先受偿款</v>
      </c>
      <c r="C8" s="1492" t="s">
        <v>909</v>
      </c>
      <c r="D8" s="847">
        <f>结果表501!H103</f>
        <v>0</v>
      </c>
      <c r="E8" s="1487"/>
    </row>
    <row r="9" spans="1:5" ht="15.75">
      <c r="A9" s="1487"/>
      <c r="B9" s="3502"/>
      <c r="C9" s="1490" t="s">
        <v>907</v>
      </c>
      <c r="D9" s="846" t="str">
        <f>NUMBERSTRING(INT(D8*10000),2)&amp;"元整"</f>
        <v>零元整</v>
      </c>
      <c r="E9" s="1487"/>
    </row>
    <row r="10" spans="1:5" ht="15">
      <c r="A10" s="1487"/>
      <c r="B10" s="1493" t="s">
        <v>912</v>
      </c>
      <c r="C10" s="1494" t="s">
        <v>910</v>
      </c>
      <c r="D10" s="848">
        <f>结果表501!H104</f>
        <v>0</v>
      </c>
      <c r="E10" s="1487"/>
    </row>
    <row r="11" spans="1:5" ht="15">
      <c r="A11" s="1487"/>
      <c r="B11" s="1493" t="s">
        <v>914</v>
      </c>
      <c r="C11" s="1494" t="s">
        <v>915</v>
      </c>
      <c r="D11" s="848">
        <f>结果表501!H105</f>
        <v>0</v>
      </c>
      <c r="E11" s="1487"/>
    </row>
    <row r="12" spans="1:5" ht="15">
      <c r="A12" s="1487"/>
      <c r="B12" s="1493" t="s">
        <v>916</v>
      </c>
      <c r="C12" s="1494" t="s">
        <v>915</v>
      </c>
      <c r="D12" s="848">
        <f>结果表501!H106</f>
        <v>0</v>
      </c>
      <c r="E12" s="1487"/>
    </row>
    <row r="13" spans="1:5" ht="15.75">
      <c r="A13" s="1487"/>
      <c r="B13" s="3493" t="str">
        <f>结果表501!E107</f>
        <v>3.房地产抵押价值</v>
      </c>
      <c r="C13" s="1495" t="s">
        <v>906</v>
      </c>
      <c r="D13" s="849">
        <f ca="1">结果表501!H107</f>
        <v>548</v>
      </c>
      <c r="E13" s="1487"/>
    </row>
    <row r="14" spans="1:5" ht="15.75">
      <c r="A14" s="1487"/>
      <c r="B14" s="3494"/>
      <c r="C14" s="1490" t="s">
        <v>907</v>
      </c>
      <c r="D14" s="846" t="str">
        <f ca="1">NUMBERSTRING(INT(D13*10000),2)&amp;"元整"</f>
        <v>伍佰肆拾捌万元整</v>
      </c>
      <c r="E14" s="1487"/>
    </row>
    <row r="15" spans="1:5" ht="15">
      <c r="A15" s="1487"/>
      <c r="B15" s="3499"/>
      <c r="C15" s="1491" t="s">
        <v>917</v>
      </c>
      <c r="D15" s="855">
        <f ca="1">结果表501!H108</f>
        <v>25122</v>
      </c>
      <c r="E15" s="1487"/>
    </row>
    <row r="16" spans="1:5" ht="15">
      <c r="A16" s="1487"/>
      <c r="B16" s="3500" t="str">
        <f>结果表501!E109</f>
        <v>——</v>
      </c>
      <c r="C16" s="1495" t="s">
        <v>918</v>
      </c>
      <c r="D16" s="1496" t="str">
        <f>结果表501!H109</f>
        <v>——</v>
      </c>
      <c r="E16" s="1487"/>
    </row>
    <row r="17" spans="1:5" ht="15.75">
      <c r="A17" s="1487"/>
      <c r="B17" s="3501"/>
      <c r="C17" s="1490" t="s">
        <v>919</v>
      </c>
      <c r="D17" s="846" t="e">
        <f>NUMBERSTRING(INT(D16*10000),2)&amp;"元整"</f>
        <v>#VALUE!</v>
      </c>
      <c r="E17" s="1487"/>
    </row>
    <row r="18" spans="1:5" ht="15">
      <c r="A18" s="1487"/>
      <c r="B18" s="3502"/>
      <c r="C18" s="1491" t="s">
        <v>908</v>
      </c>
      <c r="D18" s="855" t="str">
        <f>结果表501!H110</f>
        <v>——</v>
      </c>
      <c r="E18" s="1487"/>
    </row>
    <row r="19" spans="1:5" ht="15.75">
      <c r="A19" s="1487"/>
      <c r="B19" s="3493" t="str">
        <f>结果表501!E111</f>
        <v>——</v>
      </c>
      <c r="C19" s="1495" t="s">
        <v>906</v>
      </c>
      <c r="D19" s="847" t="str">
        <f>结果表501!H111</f>
        <v>——</v>
      </c>
      <c r="E19" s="1487"/>
    </row>
    <row r="20" spans="1:5" ht="15.75">
      <c r="A20" s="1487"/>
      <c r="B20" s="3494"/>
      <c r="C20" s="1490" t="s">
        <v>919</v>
      </c>
      <c r="D20" s="846" t="e">
        <f>NUMBERSTRING(INT(D19*10000),2)&amp;"元整"</f>
        <v>#VALUE!</v>
      </c>
      <c r="E20" s="1487"/>
    </row>
    <row r="21" spans="1:5" ht="15.75" thickBot="1">
      <c r="A21" s="1487"/>
      <c r="B21" s="3495"/>
      <c r="C21" s="1497" t="s">
        <v>917</v>
      </c>
      <c r="D21" s="856" t="str">
        <f>结果表501!H112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778" t="s">
        <v>2079</v>
      </c>
      <c r="D1" s="3779"/>
      <c r="E1" s="3779"/>
      <c r="F1" s="3779"/>
      <c r="G1" s="3779"/>
      <c r="H1" s="3779"/>
      <c r="I1" s="3779"/>
      <c r="J1" s="3779"/>
      <c r="K1" s="3779"/>
      <c r="L1" s="3779"/>
      <c r="M1" s="3779"/>
      <c r="N1" s="3779"/>
      <c r="O1" s="3779"/>
      <c r="P1" s="3779"/>
      <c r="Q1" s="3779"/>
      <c r="R1" s="3779"/>
      <c r="S1" s="3780"/>
      <c r="T1" s="979" t="s">
        <v>2080</v>
      </c>
    </row>
    <row r="2" spans="1:45" s="655" customFormat="1">
      <c r="A2" s="980"/>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2088</v>
      </c>
      <c r="B17" s="2144"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2090</v>
      </c>
      <c r="E19" s="1336"/>
      <c r="F19" s="1336"/>
      <c r="G19" s="1336"/>
      <c r="H19" s="1055"/>
      <c r="I19" s="159"/>
      <c r="J19" s="159"/>
      <c r="K19" s="159"/>
      <c r="L19" s="159"/>
      <c r="M19" s="159"/>
      <c r="N19" s="159"/>
      <c r="O19" s="159"/>
      <c r="P19" s="159"/>
      <c r="Q19" s="159"/>
      <c r="R19" s="718"/>
      <c r="S19" s="129"/>
    </row>
    <row r="20" spans="1:45" ht="16.5" thickBot="1">
      <c r="A20" s="662" t="s">
        <v>2091</v>
      </c>
      <c r="B20" s="294" t="e">
        <f ca="1">IF(D20="——",S22,S22-F20)</f>
        <v>#REF!</v>
      </c>
      <c r="C20" s="159"/>
      <c r="D20" s="2146"/>
      <c r="E20" s="1337"/>
      <c r="F20" s="979" t="e">
        <f ca="1">SUMIF(INDIRECT("'"&amp;H20&amp;"'"&amp;"!A:A"),"承租人权益价值",INDIRECT("'"&amp;H20&amp;"'"&amp;"!c:c"))</f>
        <v>#REF!</v>
      </c>
      <c r="G20" s="979" t="s">
        <v>2092</v>
      </c>
      <c r="H20" s="2147"/>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2"/>
      <c r="C1" s="2142"/>
      <c r="D1" s="2142"/>
      <c r="E1" s="2142"/>
      <c r="F1" s="2786"/>
      <c r="G1" s="2786"/>
      <c r="H1" s="2786"/>
      <c r="I1" s="2786"/>
      <c r="J1" s="2786"/>
      <c r="K1" s="2786"/>
      <c r="L1" s="2786"/>
      <c r="M1" s="2786"/>
      <c r="N1" s="2786"/>
      <c r="O1" s="2786"/>
      <c r="P1" s="2786"/>
    </row>
    <row r="2" spans="1:16" ht="15.75">
      <c r="A2" s="2140" t="s">
        <v>2068</v>
      </c>
      <c r="B2" s="2596" t="e">
        <f ca="1">SUMIF(B6:B13,"&lt;&gt;#ref!",B6:B13)</f>
        <v>#DIV/0!</v>
      </c>
      <c r="C2" s="2140" t="s">
        <v>2069</v>
      </c>
      <c r="D2" s="2140" t="s">
        <v>2070</v>
      </c>
      <c r="E2" s="2606">
        <f ca="1">SUMIF(E6:E13,"&lt;&gt;#ref!",E6:E13)</f>
        <v>0</v>
      </c>
      <c r="F2" s="2786"/>
      <c r="G2" s="2786"/>
      <c r="H2" s="2786"/>
      <c r="I2" s="2786"/>
      <c r="J2" s="2786"/>
      <c r="K2" s="2786"/>
      <c r="L2" s="2786"/>
      <c r="M2" s="2786"/>
      <c r="N2" s="2786"/>
      <c r="O2" s="2786"/>
      <c r="P2" s="2786"/>
    </row>
    <row r="3" spans="1:16" ht="15.75">
      <c r="A3" s="2140" t="s">
        <v>2071</v>
      </c>
      <c r="B3" s="2596" t="e">
        <f ca="1">ROUND(B2*10000/E2,0)</f>
        <v>#DIV/0!</v>
      </c>
      <c r="C3" s="2140" t="s">
        <v>2077</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2072</v>
      </c>
      <c r="B5" s="2604" t="s">
        <v>2073</v>
      </c>
      <c r="C5" s="2141"/>
      <c r="D5" s="2786"/>
      <c r="E5" s="2605" t="s">
        <v>2074</v>
      </c>
      <c r="F5" s="2786"/>
      <c r="G5" s="2786"/>
      <c r="H5" s="2786"/>
      <c r="I5" s="2786"/>
      <c r="J5" s="2786"/>
      <c r="K5" s="2786"/>
      <c r="L5" s="2786"/>
      <c r="M5" s="2786"/>
      <c r="N5" s="2786"/>
      <c r="O5" s="2786"/>
      <c r="P5" s="2786"/>
    </row>
    <row r="6" spans="1:16" ht="15.75">
      <c r="A6" s="2603" t="s">
        <v>2075</v>
      </c>
      <c r="B6" s="2596" t="e">
        <f ca="1">SUMIF(INDIRECT("'"&amp;A6&amp;"'"&amp;"!A:A"),"总价",INDIRECT("'"&amp;A6&amp;"'"&amp;"!B:B"))</f>
        <v>#DIV/0!</v>
      </c>
      <c r="C6" s="2140" t="s">
        <v>2069</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0" t="s">
        <v>2069</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0" t="s">
        <v>2069</v>
      </c>
      <c r="D8" s="2786"/>
      <c r="E8" s="2606" t="e">
        <f t="shared" ca="1" si="0"/>
        <v>#REF!</v>
      </c>
      <c r="F8" s="2786"/>
      <c r="G8" s="2786"/>
      <c r="H8" s="2786"/>
      <c r="I8" s="2786"/>
      <c r="J8" s="2786"/>
      <c r="K8" s="2786"/>
      <c r="L8" s="2786"/>
      <c r="M8" s="2786"/>
      <c r="N8" s="2786"/>
      <c r="O8" s="2786"/>
      <c r="P8" s="2786"/>
    </row>
    <row r="9" spans="1:16" ht="15.75">
      <c r="A9" s="2603"/>
      <c r="B9" s="2596" t="e">
        <f t="shared" ca="1" si="1"/>
        <v>#REF!</v>
      </c>
      <c r="C9" s="2140" t="s">
        <v>2069</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0" t="s">
        <v>2069</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0" t="s">
        <v>2069</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0" t="s">
        <v>2069</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0" t="s">
        <v>2069</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5"/>
      <c r="L1" s="1991" t="s">
        <v>1923</v>
      </c>
      <c r="M1" s="859">
        <f>SUMPRODUCT((区片价!B5:B9=I2)*(区片价!C3:G3=E2)*(区片价!C5:G9))</f>
        <v>0</v>
      </c>
      <c r="N1" s="862">
        <f>SUMPRODUCT((因素修正幅度!B5:B9=I2)*(因素修正幅度!C3:G3=E2)*(因素修正幅度!C5:G9))</f>
        <v>0</v>
      </c>
      <c r="O1" s="1992"/>
      <c r="P1" s="1992"/>
      <c r="Q1" s="1115"/>
      <c r="R1" s="1208" t="s">
        <v>1924</v>
      </c>
      <c r="S1" s="1208" t="s">
        <v>1925</v>
      </c>
      <c r="T1" s="1208" t="s">
        <v>1926</v>
      </c>
      <c r="U1" s="1208" t="s">
        <v>1927</v>
      </c>
      <c r="V1" s="1208" t="s">
        <v>1928</v>
      </c>
      <c r="W1" s="1212"/>
      <c r="X1" s="1212"/>
      <c r="Y1" s="1212"/>
      <c r="Z1" s="1212"/>
      <c r="AA1" s="1212"/>
      <c r="AB1" s="1212"/>
      <c r="AC1" s="1213"/>
      <c r="AD1" s="1214"/>
      <c r="AE1" s="1214"/>
      <c r="AF1" s="1214"/>
      <c r="AG1" s="1214"/>
      <c r="AH1" s="1214"/>
      <c r="AI1" s="1214"/>
      <c r="AJ1" s="1215"/>
    </row>
    <row r="2" spans="1:36" ht="15.75">
      <c r="A2" s="201" t="s">
        <v>1929</v>
      </c>
      <c r="B2" s="204" t="e">
        <f>C30</f>
        <v>#DIV/0!</v>
      </c>
      <c r="C2" s="1994" t="s">
        <v>1930</v>
      </c>
      <c r="D2" s="1995" t="s">
        <v>1931</v>
      </c>
      <c r="E2" s="3415"/>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5"/>
      <c r="L2" s="1998" t="s">
        <v>1934</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0</v>
      </c>
      <c r="T2" s="3354" t="e">
        <f t="shared" ref="T2:T16" si="0">ROUND($C$5*$C$22*$C$23*$C$24*S2*$C$28,0)</f>
        <v>#DIV/0!</v>
      </c>
      <c r="U2" s="1209"/>
      <c r="V2" s="3354" t="e">
        <f>ROUND(T2*U2/10000,0)</f>
        <v>#DIV/0!</v>
      </c>
      <c r="W2" s="1212"/>
      <c r="X2" s="1212"/>
      <c r="Y2" s="1212"/>
      <c r="Z2" s="1212"/>
      <c r="AA2" s="1212"/>
      <c r="AB2" s="1212"/>
      <c r="AC2" s="1213"/>
      <c r="AD2" s="1214"/>
      <c r="AE2" s="1214"/>
      <c r="AF2" s="1214"/>
      <c r="AG2" s="1214"/>
      <c r="AH2" s="1214"/>
      <c r="AI2" s="1214"/>
      <c r="AJ2" s="1215"/>
    </row>
    <row r="3" spans="1:36" ht="15.75">
      <c r="A3" s="203" t="s">
        <v>1935</v>
      </c>
      <c r="B3" s="204" t="e">
        <f>ROUND(B2*10000/D1,0)</f>
        <v>#DIV/0!</v>
      </c>
      <c r="C3" s="1994" t="s">
        <v>1936</v>
      </c>
      <c r="D3" s="1995" t="s">
        <v>1937</v>
      </c>
      <c r="E3" s="3413"/>
      <c r="F3" s="1999"/>
      <c r="G3" s="748">
        <f>IF(F3="宗地容积率",'数据-汇总表'!I4,IF(F3="估价对象容积率",'数据-汇总表'!I6,'数据-汇总表'!I7))</f>
        <v>0</v>
      </c>
      <c r="H3" s="170" t="s">
        <v>1938</v>
      </c>
      <c r="I3" s="771"/>
      <c r="J3" s="1997" t="s">
        <v>1939</v>
      </c>
      <c r="K3" s="1115"/>
      <c r="L3" s="1998" t="s">
        <v>1940</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0</v>
      </c>
      <c r="T3" s="3354" t="e">
        <f t="shared" si="0"/>
        <v>#DIV/0!</v>
      </c>
      <c r="U3" s="1209"/>
      <c r="V3" s="3354" t="e">
        <f t="shared" ref="V3:V16" si="1">ROUND(T3*U3/10000,0)</f>
        <v>#DIV/0!</v>
      </c>
      <c r="W3" s="1212"/>
      <c r="X3" s="1212"/>
      <c r="Y3" s="1212"/>
      <c r="Z3" s="1212"/>
      <c r="AA3" s="1212"/>
      <c r="AB3" s="1212"/>
      <c r="AC3" s="1213"/>
      <c r="AD3" s="1214"/>
      <c r="AE3" s="1214"/>
      <c r="AF3" s="1214"/>
      <c r="AG3" s="1214"/>
      <c r="AH3" s="1214"/>
      <c r="AI3" s="1214"/>
      <c r="AJ3" s="1215"/>
    </row>
    <row r="4" spans="1:36" ht="15.75">
      <c r="A4" s="3788"/>
      <c r="B4" s="3789"/>
      <c r="C4" s="3789"/>
      <c r="D4" s="3790"/>
      <c r="E4" s="3790"/>
      <c r="F4" s="3790"/>
      <c r="G4" s="3790"/>
      <c r="H4" s="3790"/>
      <c r="I4" s="3790"/>
      <c r="J4" s="3791"/>
      <c r="K4" s="1115"/>
      <c r="L4" s="1998" t="s">
        <v>1941</v>
      </c>
      <c r="M4" s="860">
        <f>SUMPRODUCT((区片价!B55:B86=I2)*(区片价!C3:G3=E2)*(区片价!C55:G86))</f>
        <v>0</v>
      </c>
      <c r="N4" s="862">
        <f>SUMPRODUCT((因素修正幅度!B55:B86=I2)*(因素修正幅度!C3:G3=E2)*(因素修正幅度!C55:G86))</f>
        <v>0</v>
      </c>
      <c r="O4" s="1115"/>
      <c r="P4" s="1115"/>
      <c r="Q4" s="1115"/>
      <c r="R4" s="1208">
        <v>3</v>
      </c>
      <c r="S4" s="3354">
        <f>ROUND(SUMPRODUCT((B106:B110=R4)*(C105:N105=G2)*(C106:N110)),4)</f>
        <v>0</v>
      </c>
      <c r="T4" s="3354" t="e">
        <f t="shared" si="0"/>
        <v>#DIV/0!</v>
      </c>
      <c r="U4" s="1209"/>
      <c r="V4" s="3354"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1942</v>
      </c>
      <c r="C5" s="749" t="e">
        <f>ROUND(IF(E2="商业",C6*C7*C17+C20,(IF(E2="住宅",C6*C13*C17+C20,IF(E2="办公",C6*C12*C17+C20,C6+C20)))),0)</f>
        <v>#DIV/0!</v>
      </c>
      <c r="D5" s="1335" t="e">
        <f>ROUND(C6*C17+C20,0)</f>
        <v>#DIV/0!</v>
      </c>
      <c r="E5" s="1335"/>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v>
      </c>
      <c r="T5" s="3354" t="e">
        <f t="shared" si="0"/>
        <v>#DIV/0!</v>
      </c>
      <c r="U5" s="1209"/>
      <c r="V5" s="3354" t="e">
        <f t="shared" si="1"/>
        <v>#DIV/0!</v>
      </c>
      <c r="W5" s="1212"/>
      <c r="X5" s="1212"/>
      <c r="Y5" s="1212"/>
      <c r="Z5" s="1212"/>
      <c r="AA5" s="1212"/>
      <c r="AB5" s="1212"/>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80"/>
      <c r="L6" s="1998" t="s">
        <v>1946</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v>
      </c>
      <c r="T6" s="3354" t="e">
        <f t="shared" si="0"/>
        <v>#DIV/0!</v>
      </c>
      <c r="U6" s="1209"/>
      <c r="V6" s="3354" t="e">
        <f t="shared" si="1"/>
        <v>#DIV/0!</v>
      </c>
      <c r="W6" s="1212"/>
      <c r="X6" s="1212"/>
      <c r="Y6" s="1212"/>
      <c r="Z6" s="1212"/>
      <c r="AA6" s="1212"/>
      <c r="AB6" s="1212"/>
      <c r="AC6" s="2006"/>
      <c r="AD6" s="2007"/>
      <c r="AE6" s="2007"/>
      <c r="AF6" s="2007"/>
      <c r="AG6" s="2007"/>
      <c r="AH6" s="2007"/>
      <c r="AI6" s="2007"/>
      <c r="AJ6" s="2008"/>
    </row>
    <row r="7" spans="1:36" ht="24.75" thickBot="1">
      <c r="A7" s="3297" t="s">
        <v>3239</v>
      </c>
      <c r="B7" s="2016" t="s">
        <v>1947</v>
      </c>
      <c r="C7" s="751" t="e">
        <f>IF(C8="不临65条商业街",1,ROUND(1+(1.6*E8+1.2*E9+0.8*E10+0.4*E11)*C9,4))</f>
        <v>#DIV/0!</v>
      </c>
      <c r="D7" s="2017" t="s">
        <v>1948</v>
      </c>
      <c r="E7" s="772"/>
      <c r="F7" s="2018"/>
      <c r="G7" s="2019"/>
      <c r="H7" s="2019"/>
      <c r="I7" s="2019"/>
      <c r="J7" s="2020"/>
      <c r="K7" s="1380"/>
      <c r="L7" s="1998" t="s">
        <v>1949</v>
      </c>
      <c r="M7" s="860">
        <f>SUMPRODUCT((区片价!B190:B233=I2)*(区片价!C3:G3=E2)*(区片价!C190:G233))</f>
        <v>0</v>
      </c>
      <c r="N7" s="862">
        <f>SUMPRODUCT((因素修正幅度!B190:B233=I2)*(因素修正幅度!C3:G3=E2)*(因素修正幅度!C190:G233))</f>
        <v>0</v>
      </c>
      <c r="O7" s="1115"/>
      <c r="P7" s="1115"/>
      <c r="Q7" s="1115"/>
      <c r="R7" s="1208">
        <v>6</v>
      </c>
      <c r="S7" s="3412"/>
      <c r="T7" s="3354" t="e">
        <f t="shared" si="0"/>
        <v>#DIV/0!</v>
      </c>
      <c r="U7" s="1209"/>
      <c r="V7" s="3354" t="e">
        <f t="shared" si="1"/>
        <v>#DIV/0!</v>
      </c>
      <c r="W7" s="1354" t="s">
        <v>1950</v>
      </c>
      <c r="X7" s="1210">
        <f>G2</f>
        <v>0</v>
      </c>
      <c r="Y7" s="1210" t="s">
        <v>1951</v>
      </c>
      <c r="Z7" s="1211">
        <f>G3</f>
        <v>0</v>
      </c>
      <c r="AA7" s="1212"/>
      <c r="AB7" s="1212"/>
      <c r="AC7" s="1213"/>
      <c r="AD7" s="1214"/>
      <c r="AE7" s="1214"/>
      <c r="AF7" s="1214"/>
      <c r="AG7" s="1214"/>
      <c r="AH7" s="1214"/>
      <c r="AI7" s="1214"/>
      <c r="AJ7" s="1215"/>
    </row>
    <row r="8" spans="1:36" ht="15">
      <c r="A8" s="3292"/>
      <c r="B8" s="170" t="s">
        <v>1952</v>
      </c>
      <c r="C8" s="2021"/>
      <c r="D8" s="752" t="s">
        <v>112</v>
      </c>
      <c r="E8" s="753" t="e">
        <f>ROUND(C11/E7,4)</f>
        <v>#DIV/0!</v>
      </c>
      <c r="F8" s="2022" t="s">
        <v>1953</v>
      </c>
      <c r="G8" s="2023"/>
      <c r="H8" s="2023"/>
      <c r="I8" s="2023"/>
      <c r="J8" s="2024"/>
      <c r="K8" s="1115"/>
      <c r="L8" s="1998" t="s">
        <v>1954</v>
      </c>
      <c r="M8" s="860">
        <f>SUMPRODUCT((区片价!B234:B276=I2)*(区片价!C3:G3=E2)*(区片价!C234:G276))</f>
        <v>0</v>
      </c>
      <c r="N8" s="862">
        <f>SUMPRODUCT((因素修正幅度!B234:B276=I2)*(因素修正幅度!C3:G3=E2)*(因素修正幅度!C234:G276))</f>
        <v>0</v>
      </c>
      <c r="O8" s="1115"/>
      <c r="P8" s="1115"/>
      <c r="Q8" s="1115"/>
      <c r="R8" s="1208">
        <v>7</v>
      </c>
      <c r="S8" s="1209"/>
      <c r="T8" s="3354" t="e">
        <f t="shared" si="0"/>
        <v>#DIV/0!</v>
      </c>
      <c r="U8" s="1209"/>
      <c r="V8" s="3354" t="e">
        <f t="shared" si="1"/>
        <v>#DIV/0!</v>
      </c>
      <c r="W8" s="3785" t="s">
        <v>1955</v>
      </c>
      <c r="X8" s="3786"/>
      <c r="Y8" s="1216" t="s">
        <v>1956</v>
      </c>
      <c r="Z8" s="1216" t="s">
        <v>1957</v>
      </c>
      <c r="AA8" s="1216" t="s">
        <v>1958</v>
      </c>
      <c r="AB8" s="1216" t="s">
        <v>1959</v>
      </c>
      <c r="AC8" s="1216" t="s">
        <v>1960</v>
      </c>
      <c r="AD8" s="1216" t="s">
        <v>1961</v>
      </c>
      <c r="AE8" s="1216" t="s">
        <v>1962</v>
      </c>
      <c r="AF8" s="1216" t="s">
        <v>1963</v>
      </c>
      <c r="AG8" s="1216" t="s">
        <v>1964</v>
      </c>
      <c r="AH8" s="1216" t="s">
        <v>1965</v>
      </c>
      <c r="AI8" s="1216" t="s">
        <v>1966</v>
      </c>
      <c r="AJ8" s="1216" t="s">
        <v>1967</v>
      </c>
    </row>
    <row r="9" spans="1:36" ht="15">
      <c r="A9" s="3292"/>
      <c r="B9" s="170" t="s">
        <v>1968</v>
      </c>
      <c r="C9" s="754">
        <f>SUMIF(修正!C71:C138,C8,修正!E71:E138)</f>
        <v>0</v>
      </c>
      <c r="D9" s="171" t="s">
        <v>113</v>
      </c>
      <c r="E9" s="171" t="e">
        <f>ROUND(C11/E7,4)</f>
        <v>#DIV/0!</v>
      </c>
      <c r="F9" s="2022" t="s">
        <v>1969</v>
      </c>
      <c r="G9" s="2023"/>
      <c r="H9" s="2023"/>
      <c r="I9" s="2023"/>
      <c r="J9" s="2024"/>
      <c r="K9" s="1115"/>
      <c r="L9" s="1998" t="s">
        <v>1970</v>
      </c>
      <c r="M9" s="860">
        <f>SUMPRODUCT((区片价!B277:B326=I2)*(区片价!C3:G3=E2)*(区片价!C277:G326))</f>
        <v>0</v>
      </c>
      <c r="N9" s="862">
        <f>SUMPRODUCT((因素修正幅度!B277:B326=I2)*(因素修正幅度!C3:G3=E2)*(因素修正幅度!C277:G326))</f>
        <v>0</v>
      </c>
      <c r="O9" s="1115"/>
      <c r="P9" s="1115"/>
      <c r="Q9" s="1115"/>
      <c r="R9" s="1208">
        <v>8</v>
      </c>
      <c r="S9" s="1209"/>
      <c r="T9" s="3354" t="e">
        <f t="shared" si="0"/>
        <v>#DIV/0!</v>
      </c>
      <c r="U9" s="1209"/>
      <c r="V9" s="3354" t="e">
        <f t="shared" si="1"/>
        <v>#DIV/0!</v>
      </c>
      <c r="W9" s="3787"/>
      <c r="X9" s="3355" t="s">
        <v>3270</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1971</v>
      </c>
      <c r="C10" s="171">
        <f>SUMIF(修正!C71:C138,C8,修正!F71:F138)</f>
        <v>0</v>
      </c>
      <c r="D10" s="171" t="s">
        <v>114</v>
      </c>
      <c r="E10" s="171" t="e">
        <f>ROUND(C11/E7,4)</f>
        <v>#DIV/0!</v>
      </c>
      <c r="F10" s="2022" t="s">
        <v>1972</v>
      </c>
      <c r="G10" s="2023"/>
      <c r="H10" s="2023"/>
      <c r="I10" s="2023"/>
      <c r="J10" s="2024"/>
      <c r="K10" s="1115"/>
      <c r="L10" s="1998" t="s">
        <v>1973</v>
      </c>
      <c r="M10" s="860">
        <f>SUMPRODUCT((区片价!B327:B357=I2)*(区片价!C3:G3=E2)*(区片价!C327:G357))</f>
        <v>0</v>
      </c>
      <c r="N10" s="862">
        <f>SUMPRODUCT((因素修正幅度!B327:B357=I2)*(因素修正幅度!C3:G3=E2)*(因素修正幅度!C327:G357))</f>
        <v>0</v>
      </c>
      <c r="O10" s="1115"/>
      <c r="P10" s="1115"/>
      <c r="Q10" s="1115"/>
      <c r="R10" s="1208">
        <v>9</v>
      </c>
      <c r="S10" s="1209"/>
      <c r="T10" s="3354" t="e">
        <f t="shared" si="0"/>
        <v>#DIV/0!</v>
      </c>
      <c r="U10" s="1209"/>
      <c r="V10" s="3354" t="e">
        <f t="shared" si="1"/>
        <v>#DIV/0!</v>
      </c>
      <c r="W10" s="378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5" t="s">
        <v>1974</v>
      </c>
      <c r="C11" s="755">
        <f>C10/4</f>
        <v>0</v>
      </c>
      <c r="D11" s="755" t="s">
        <v>115</v>
      </c>
      <c r="E11" s="755" t="e">
        <f>ROUND(C11/E7,4)</f>
        <v>#DIV/0!</v>
      </c>
      <c r="F11" s="2026" t="s">
        <v>1975</v>
      </c>
      <c r="G11" s="2027"/>
      <c r="H11" s="2027"/>
      <c r="I11" s="2027"/>
      <c r="J11" s="2028"/>
      <c r="K11" s="1115"/>
      <c r="L11" s="1998" t="s">
        <v>1976</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t="e">
        <f t="shared" si="0"/>
        <v>#DIV/0!</v>
      </c>
      <c r="U11" s="1209"/>
      <c r="V11" s="3354" t="e">
        <f t="shared" si="1"/>
        <v>#DIV/0!</v>
      </c>
      <c r="W11" s="1212"/>
      <c r="X11" s="1212"/>
      <c r="Y11" s="1212"/>
      <c r="Z11" s="1212"/>
      <c r="AA11" s="1212"/>
      <c r="AB11" s="1212"/>
      <c r="AC11" s="1213"/>
      <c r="AD11" s="2782"/>
      <c r="AE11" s="2782"/>
      <c r="AF11" s="2782"/>
      <c r="AG11" s="2782"/>
      <c r="AH11" s="2782"/>
      <c r="AI11" s="2782"/>
      <c r="AJ11" s="2783"/>
    </row>
    <row r="12" spans="1:36" ht="25.5" thickBot="1">
      <c r="A12" s="3297" t="s">
        <v>3240</v>
      </c>
      <c r="B12" s="3298" t="s">
        <v>3241</v>
      </c>
      <c r="C12" s="3299"/>
      <c r="D12" s="3300" t="s">
        <v>3242</v>
      </c>
      <c r="E12" s="3301" t="s">
        <v>3243</v>
      </c>
      <c r="F12" s="3302"/>
      <c r="G12" s="3303"/>
      <c r="H12" s="3303"/>
      <c r="I12" s="3303"/>
      <c r="J12" s="3304"/>
      <c r="K12" s="1115"/>
      <c r="L12" s="2034" t="s">
        <v>1979</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t="e">
        <f t="shared" si="0"/>
        <v>#DIV/0!</v>
      </c>
      <c r="U12" s="1209"/>
      <c r="V12" s="3354" t="e">
        <f t="shared" si="1"/>
        <v>#DIV/0!</v>
      </c>
      <c r="W12" s="1212"/>
      <c r="X12" s="1212"/>
      <c r="Y12" s="1212"/>
      <c r="Z12" s="1212"/>
      <c r="AA12" s="1212"/>
      <c r="AB12" s="1212"/>
      <c r="AC12" s="1213"/>
      <c r="AD12" s="2782"/>
      <c r="AE12" s="2782"/>
      <c r="AF12" s="2782"/>
      <c r="AG12" s="2782"/>
      <c r="AH12" s="2782"/>
      <c r="AI12" s="2782"/>
      <c r="AJ12" s="2783"/>
    </row>
    <row r="13" spans="1:36" ht="15.75" thickBot="1">
      <c r="A13" s="3297" t="s">
        <v>3244</v>
      </c>
      <c r="B13" s="2029" t="s">
        <v>1977</v>
      </c>
      <c r="C13" s="751">
        <f>ROUND(C16*D16*E16*F16*G16*H16*I16*J16,4)</f>
        <v>0</v>
      </c>
      <c r="D13" s="2030" t="s">
        <v>1978</v>
      </c>
      <c r="E13" s="2031"/>
      <c r="F13" s="2031"/>
      <c r="G13" s="2032"/>
      <c r="H13" s="2032"/>
      <c r="I13" s="2032"/>
      <c r="J13" s="2033"/>
      <c r="K13" s="1115"/>
      <c r="L13" s="3293"/>
      <c r="M13" s="3294"/>
      <c r="N13" s="3295"/>
      <c r="O13" s="1115"/>
      <c r="P13" s="1115"/>
      <c r="Q13" s="1115"/>
      <c r="R13" s="1208">
        <v>12</v>
      </c>
      <c r="S13" s="1209"/>
      <c r="T13" s="3354" t="e">
        <f t="shared" si="0"/>
        <v>#DIV/0!</v>
      </c>
      <c r="U13" s="1209"/>
      <c r="V13" s="3354" t="e">
        <f t="shared" si="1"/>
        <v>#DIV/0!</v>
      </c>
      <c r="W13" s="1212"/>
      <c r="X13" s="1212"/>
      <c r="Y13" s="1212"/>
      <c r="Z13" s="1212"/>
      <c r="AA13" s="1212"/>
      <c r="AB13" s="1212"/>
      <c r="AC13" s="1213"/>
      <c r="AD13" s="2782"/>
      <c r="AE13" s="2782"/>
      <c r="AF13" s="2782"/>
      <c r="AG13" s="2782"/>
      <c r="AH13" s="2782"/>
      <c r="AI13" s="2782"/>
      <c r="AJ13" s="2783"/>
    </row>
    <row r="14" spans="1:36" ht="15">
      <c r="A14" s="3291"/>
      <c r="B14" s="2035" t="s">
        <v>1980</v>
      </c>
      <c r="C14" s="2036" t="s">
        <v>1981</v>
      </c>
      <c r="D14" s="1346" t="s">
        <v>1982</v>
      </c>
      <c r="E14" s="27" t="s">
        <v>1983</v>
      </c>
      <c r="F14" s="3305" t="s">
        <v>3245</v>
      </c>
      <c r="G14" s="3305" t="s">
        <v>3245</v>
      </c>
      <c r="H14" s="3305" t="s">
        <v>3245</v>
      </c>
      <c r="I14" s="3305" t="s">
        <v>3245</v>
      </c>
      <c r="J14" s="3305" t="s">
        <v>3245</v>
      </c>
      <c r="K14" s="1115"/>
      <c r="L14" s="1115"/>
      <c r="M14" s="1115"/>
      <c r="N14" s="1115"/>
      <c r="O14" s="1115"/>
      <c r="P14" s="1115"/>
      <c r="Q14" s="1115"/>
      <c r="R14" s="1208">
        <v>13</v>
      </c>
      <c r="S14" s="1209"/>
      <c r="T14" s="3354" t="e">
        <f t="shared" si="0"/>
        <v>#DIV/0!</v>
      </c>
      <c r="U14" s="1209"/>
      <c r="V14" s="3354" t="e">
        <f t="shared" si="1"/>
        <v>#DIV/0!</v>
      </c>
      <c r="W14" s="1212"/>
      <c r="X14" s="1212"/>
      <c r="Y14" s="1212"/>
      <c r="Z14" s="1212"/>
      <c r="AA14" s="1212"/>
      <c r="AB14" s="1212"/>
      <c r="AC14" s="1213"/>
      <c r="AD14" s="2782"/>
      <c r="AE14" s="2782"/>
      <c r="AF14" s="2782"/>
      <c r="AG14" s="2782"/>
      <c r="AH14" s="2782"/>
      <c r="AI14" s="2782"/>
      <c r="AJ14" s="2783"/>
    </row>
    <row r="15" spans="1:36" ht="15">
      <c r="A15" s="3291"/>
      <c r="B15" s="2037"/>
      <c r="C15" s="2038"/>
      <c r="D15" s="2039"/>
      <c r="E15" s="2040"/>
      <c r="F15" s="3306" t="s">
        <v>3246</v>
      </c>
      <c r="G15" s="3307"/>
      <c r="H15" s="3308"/>
      <c r="I15" s="3309"/>
      <c r="J15" s="3310"/>
      <c r="K15" s="1115"/>
      <c r="L15" s="1115"/>
      <c r="M15" s="1115"/>
      <c r="N15" s="1115"/>
      <c r="O15" s="1115"/>
      <c r="P15" s="1115"/>
      <c r="Q15" s="1115"/>
      <c r="R15" s="1208">
        <v>14</v>
      </c>
      <c r="S15" s="1209"/>
      <c r="T15" s="3354" t="e">
        <f t="shared" si="0"/>
        <v>#DIV/0!</v>
      </c>
      <c r="U15" s="1209"/>
      <c r="V15" s="3354" t="e">
        <f t="shared" si="1"/>
        <v>#DIV/0!</v>
      </c>
      <c r="W15" s="1212"/>
      <c r="X15" s="1212"/>
      <c r="Y15" s="1212"/>
      <c r="Z15" s="1212"/>
      <c r="AA15" s="1212"/>
      <c r="AB15" s="1212"/>
      <c r="AC15" s="1213"/>
      <c r="AD15" s="2782"/>
      <c r="AE15" s="2782"/>
      <c r="AF15" s="2782"/>
      <c r="AG15" s="2782"/>
      <c r="AH15" s="2782"/>
      <c r="AI15" s="2782"/>
      <c r="AJ15" s="2783"/>
    </row>
    <row r="16" spans="1:36" ht="15.75" thickBot="1">
      <c r="A16" s="3291"/>
      <c r="B16" s="3313" t="s">
        <v>1984</v>
      </c>
      <c r="C16" s="3311"/>
      <c r="D16" s="3311"/>
      <c r="E16" s="3311"/>
      <c r="F16" s="3311">
        <v>1</v>
      </c>
      <c r="G16" s="3311">
        <v>1</v>
      </c>
      <c r="H16" s="3311">
        <v>1</v>
      </c>
      <c r="I16" s="3311">
        <v>1</v>
      </c>
      <c r="J16" s="3312">
        <v>1</v>
      </c>
      <c r="K16" s="1115"/>
      <c r="L16" s="1992"/>
      <c r="M16" s="1992"/>
      <c r="N16" s="1992"/>
      <c r="O16" s="1992"/>
      <c r="P16" s="1992"/>
      <c r="Q16" s="1115"/>
      <c r="R16" s="1208">
        <v>15</v>
      </c>
      <c r="S16" s="1209"/>
      <c r="T16" s="3354" t="e">
        <f t="shared" si="0"/>
        <v>#DIV/0!</v>
      </c>
      <c r="U16" s="1209"/>
      <c r="V16" s="3354" t="e">
        <f t="shared" si="1"/>
        <v>#DIV/0!</v>
      </c>
      <c r="W16" s="1212"/>
      <c r="X16" s="1212"/>
      <c r="Y16" s="1212"/>
      <c r="Z16" s="1212"/>
      <c r="AA16" s="1212"/>
      <c r="AB16" s="1212"/>
      <c r="AC16" s="1213"/>
      <c r="AD16" s="2782"/>
      <c r="AE16" s="2782"/>
      <c r="AF16" s="2782"/>
      <c r="AG16" s="2782"/>
      <c r="AH16" s="2782"/>
      <c r="AI16" s="2782"/>
      <c r="AJ16" s="2783"/>
    </row>
    <row r="17" spans="1:37">
      <c r="A17" s="3323" t="s">
        <v>3247</v>
      </c>
      <c r="B17" s="3314" t="s">
        <v>3248</v>
      </c>
      <c r="C17" s="3324">
        <f>ROUND(IF(OR(E2="工业",E2="公共服务"),1,IF(AND(E18=0,E19=0),1,IF(AND(E18=J24,E19=G19),0.8,IF(E19=0,1+E17*(-0.2),1+E17*G17*(-0.2))))),4)</f>
        <v>1</v>
      </c>
      <c r="D17" s="3315" t="s">
        <v>3249</v>
      </c>
      <c r="E17" s="3324" t="e">
        <f>ROUND(G18/I18,2)</f>
        <v>#DIV/0!</v>
      </c>
      <c r="F17" s="3315" t="s">
        <v>3252</v>
      </c>
      <c r="G17" s="3324" t="e">
        <f>ROUND(E19/G19,2)</f>
        <v>#DIV/0!</v>
      </c>
      <c r="H17" s="3324"/>
      <c r="I17" s="3324"/>
      <c r="J17" s="3325"/>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6"/>
      <c r="B18" s="3003"/>
      <c r="C18" s="3321"/>
      <c r="D18" s="3316" t="s">
        <v>3250</v>
      </c>
      <c r="E18" s="3322"/>
      <c r="F18" s="3317" t="s">
        <v>3253</v>
      </c>
      <c r="G18" s="3321">
        <f>ROUND(1-(1/(POWER(1+G24,E18))),4)</f>
        <v>0</v>
      </c>
      <c r="H18" s="3317" t="s">
        <v>3255</v>
      </c>
      <c r="I18" s="3321">
        <f>ROUND(1-(1/(POWER(1+G24,J24))),4)</f>
        <v>0</v>
      </c>
      <c r="J18" s="3327"/>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1"/>
    </row>
    <row r="19" spans="1:37" s="2009" customFormat="1" ht="15" thickBot="1">
      <c r="A19" s="3328"/>
      <c r="B19" s="3329"/>
      <c r="C19" s="3330"/>
      <c r="D19" s="3330" t="s">
        <v>3251</v>
      </c>
      <c r="E19" s="3331"/>
      <c r="F19" s="3332" t="s">
        <v>3254</v>
      </c>
      <c r="G19" s="3331"/>
      <c r="H19" s="3330"/>
      <c r="I19" s="3330"/>
      <c r="J19" s="3333"/>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4"/>
      <c r="AH19" s="2136"/>
      <c r="AI19" s="2785"/>
      <c r="AJ19" s="2785"/>
      <c r="AK19" s="2052"/>
    </row>
    <row r="20" spans="1:37" s="2009" customFormat="1" ht="14.25">
      <c r="A20" s="3792" t="s">
        <v>3256</v>
      </c>
      <c r="B20" s="167" t="s">
        <v>1989</v>
      </c>
      <c r="C20" s="3318" t="e">
        <f>ROUND(IF(F21="与级别开发程度一致",0,(G21-E21)/C21),0)</f>
        <v>#DIV/0!</v>
      </c>
      <c r="D20" s="3334" t="s">
        <v>1993</v>
      </c>
      <c r="E20" s="3335"/>
      <c r="F20" s="3798" t="s">
        <v>1990</v>
      </c>
      <c r="G20" s="3799"/>
      <c r="H20" s="3319"/>
      <c r="I20" s="3319"/>
      <c r="J20" s="3320"/>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09" customFormat="1" ht="15" thickBot="1">
      <c r="A21" s="3793"/>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09" customFormat="1" ht="15.75" thickBot="1">
      <c r="A22" s="2153" t="s">
        <v>363</v>
      </c>
      <c r="B22" s="2154" t="s">
        <v>1995</v>
      </c>
      <c r="C22" s="2155">
        <f>SUMIF(修正!C20:C51,E3,修正!E20:E51)</f>
        <v>0</v>
      </c>
      <c r="D22" s="2156"/>
      <c r="E22" s="2157"/>
      <c r="F22" s="2157"/>
      <c r="G22" s="2157"/>
      <c r="H22" s="2157"/>
      <c r="I22" s="2157"/>
      <c r="J22" s="2158"/>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5" t="s">
        <v>364</v>
      </c>
      <c r="B23" s="2046" t="s">
        <v>1996</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1997</v>
      </c>
      <c r="E23" s="757">
        <v>44197</v>
      </c>
      <c r="F23" s="2049" t="s">
        <v>1998</v>
      </c>
      <c r="G23" s="758">
        <f>'数据-取费表'!B2</f>
        <v>45034</v>
      </c>
      <c r="H23" s="3336" t="s">
        <v>3258</v>
      </c>
      <c r="I23" s="3337" t="str">
        <f>IF(H23="季度增幅（自定义）",SUMIF(N25:N28,E2,O25:O28),"")</f>
        <v/>
      </c>
      <c r="J23" s="3438" t="s">
        <v>3257</v>
      </c>
      <c r="K23" s="1121"/>
      <c r="L23" s="2050" t="s">
        <v>1999</v>
      </c>
      <c r="M23" s="1324">
        <f>ROUND(SUMIF(地价!B2:G2,E2,地价!B16:G16),0)</f>
        <v>0</v>
      </c>
      <c r="N23" s="2051" t="s">
        <v>2000</v>
      </c>
      <c r="O23" s="759">
        <f>ROUNDDOWN(DATEDIF(E23,G23,"M")/3,0)</f>
        <v>9</v>
      </c>
      <c r="P23" s="1118"/>
      <c r="Q23" s="2781"/>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1">
        <f>存贷款利率!E22/100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1"/>
      <c r="L24" s="2056" t="s">
        <v>2004</v>
      </c>
      <c r="M24" s="1325">
        <f>ROUND(SUMPRODUCT((地价!A4:A16=YEAR(G23)&amp;"-"&amp;ROUNDUP(MONTH(G23)/3,0))*(地价!B2:G2=E2)*(地价!B4:G16)),0)</f>
        <v>0</v>
      </c>
      <c r="N24" s="2057" t="s">
        <v>2005</v>
      </c>
      <c r="O24" s="2058" t="s">
        <v>2006</v>
      </c>
      <c r="P24" s="2059" t="s">
        <v>2007</v>
      </c>
      <c r="Q24" s="1992"/>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0" t="s">
        <v>366</v>
      </c>
      <c r="B25" s="2061" t="s">
        <v>3337</v>
      </c>
      <c r="C25" s="767">
        <f>IF(B25="容积率修正",IF(G3&lt;10,D26,J26),C27)</f>
        <v>0</v>
      </c>
      <c r="D25" s="2062"/>
      <c r="E25" s="2062"/>
      <c r="F25" s="2062"/>
      <c r="G25" s="2062"/>
      <c r="H25" s="2062"/>
      <c r="I25" s="2062"/>
      <c r="J25" s="2063"/>
      <c r="K25" s="1121"/>
      <c r="L25" s="2781"/>
      <c r="M25" s="2781"/>
      <c r="N25" s="2064" t="s">
        <v>2008</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2009</v>
      </c>
      <c r="B26" s="2065" t="s">
        <v>2010</v>
      </c>
      <c r="C26" s="3338" t="s">
        <v>3259</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3260</v>
      </c>
      <c r="J26" s="768" t="str">
        <f>IF(G3&gt;=10,D115,"——")</f>
        <v>——</v>
      </c>
      <c r="K26" s="1121"/>
      <c r="L26" s="2781"/>
      <c r="M26" s="2781"/>
      <c r="N26" s="2064" t="s">
        <v>2011</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2012</v>
      </c>
      <c r="B27" s="2066" t="s">
        <v>2013</v>
      </c>
      <c r="C27" s="837">
        <f>ROUND(IF(I3&lt;6,SUMPRODUCT((B106:B110=I3)*(C105:N105=G2)*(C106:N110)),SUMIF(C105:N105,G2,C112:N112)),4)</f>
        <v>0</v>
      </c>
      <c r="D27" s="2041"/>
      <c r="E27" s="2041"/>
      <c r="F27" s="2067"/>
      <c r="G27" s="2068"/>
      <c r="H27" s="2069"/>
      <c r="I27" s="2070"/>
      <c r="J27" s="2071"/>
      <c r="K27" s="1115"/>
      <c r="L27" s="1992"/>
      <c r="M27" s="1992"/>
      <c r="N27" s="2064" t="s">
        <v>2014</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1"/>
      <c r="L28" s="2781"/>
      <c r="M28" s="2781"/>
      <c r="N28" s="2074" t="s">
        <v>2016</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2017</v>
      </c>
      <c r="C29" s="761"/>
      <c r="D29" s="2019"/>
      <c r="E29" s="2019"/>
      <c r="F29" s="2076"/>
      <c r="G29" s="2019"/>
      <c r="H29" s="2019"/>
      <c r="I29" s="2019"/>
      <c r="J29" s="2020"/>
      <c r="K29" s="1115"/>
      <c r="L29" s="1992"/>
      <c r="M29" s="1992"/>
      <c r="N29" s="2778" t="s">
        <v>2018</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5"/>
      <c r="L30" s="3344" t="s">
        <v>1931</v>
      </c>
      <c r="M30" s="3345" t="s">
        <v>1985</v>
      </c>
      <c r="N30" s="3345" t="s">
        <v>1986</v>
      </c>
      <c r="O30" s="3345" t="s">
        <v>1987</v>
      </c>
      <c r="P30" s="3345" t="s">
        <v>1988</v>
      </c>
      <c r="Q30" s="3348" t="s">
        <v>3264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2020</v>
      </c>
      <c r="C31" s="762" t="e">
        <f>E34+SUM(I37:I42)</f>
        <v>#DIV/0!</v>
      </c>
      <c r="D31" s="2082"/>
      <c r="E31" s="2083"/>
      <c r="F31" s="2084"/>
      <c r="G31" s="2083"/>
      <c r="H31" s="2083"/>
      <c r="I31" s="2083"/>
      <c r="J31" s="2085"/>
      <c r="K31" s="1115"/>
      <c r="L31" s="3346" t="s">
        <v>1991</v>
      </c>
      <c r="M31" s="1995">
        <v>0.25</v>
      </c>
      <c r="N31" s="1995">
        <v>0.2</v>
      </c>
      <c r="O31" s="1995">
        <v>0.15</v>
      </c>
      <c r="P31" s="1995">
        <v>0.1</v>
      </c>
      <c r="Q31" s="3341">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5"/>
      <c r="L32" s="3347" t="s">
        <v>1994</v>
      </c>
      <c r="M32" s="2564">
        <f>ROUND($E$24*(1+M31),3)</f>
        <v>5.3999999999999999E-2</v>
      </c>
      <c r="N32" s="2564">
        <f>ROUND($E$24*(1+N31),3)</f>
        <v>5.1999999999999998E-2</v>
      </c>
      <c r="O32" s="2564">
        <f>ROUND($E$24*(1+O31),3)</f>
        <v>0.05</v>
      </c>
      <c r="P32" s="2564">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2025</v>
      </c>
      <c r="C33" s="175" t="e">
        <f>ROUND(C5*C22*C23*C24*C25*C28,0)</f>
        <v>#DIV/0!</v>
      </c>
      <c r="D33" s="2093"/>
      <c r="E33" s="769" t="e">
        <f>ROUND(C33*D33/10000,0)</f>
        <v>#DIV/0!</v>
      </c>
      <c r="F33" s="3339" t="s">
        <v>3262</v>
      </c>
      <c r="G33" s="2094"/>
      <c r="H33" s="2094"/>
      <c r="I33" s="2094"/>
      <c r="J33" s="2095"/>
      <c r="K33" s="1115"/>
      <c r="L33" s="3342" t="s">
        <v>3265</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5"/>
      <c r="L34" s="3342" t="s">
        <v>3266</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2028</v>
      </c>
      <c r="C35" s="3340" t="s">
        <v>3263</v>
      </c>
      <c r="D35" s="2032"/>
      <c r="E35" s="2104"/>
      <c r="F35" s="2104"/>
      <c r="G35" s="2030" t="s">
        <v>2029</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0" t="s">
        <v>3267</v>
      </c>
      <c r="L36" s="3439">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6"/>
      <c r="B37" s="2108" t="s">
        <v>2031</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5"/>
      <c r="K37" s="3352" t="s">
        <v>3268</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7"/>
      <c r="B38" s="2036" t="s">
        <v>2032</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97"/>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2033</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2034</v>
      </c>
      <c r="M40" s="2112"/>
      <c r="Z40" s="1116"/>
      <c r="AA40" s="1116"/>
      <c r="AB40" s="1116"/>
      <c r="AC40" s="1116"/>
      <c r="AD40" s="1116"/>
      <c r="AE40" s="1116"/>
      <c r="AF40" s="1116"/>
      <c r="AG40" s="1116"/>
      <c r="AH40" s="1116"/>
      <c r="AI40" s="1116"/>
      <c r="AJ40" s="1116"/>
    </row>
    <row r="41" spans="1:37" s="1115" customFormat="1">
      <c r="A41" s="2110"/>
      <c r="B41" s="2036" t="s">
        <v>2035</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3" t="s">
        <v>3269</v>
      </c>
      <c r="M41" s="2113">
        <v>0.25</v>
      </c>
      <c r="Z41" s="1116"/>
      <c r="AA41" s="1116"/>
      <c r="AB41" s="1116"/>
      <c r="AC41" s="1116"/>
      <c r="AD41" s="1116"/>
      <c r="AE41" s="1116"/>
      <c r="AF41" s="1116"/>
      <c r="AG41" s="1116"/>
      <c r="AH41" s="1116"/>
      <c r="AI41" s="1116"/>
      <c r="AJ41" s="1116"/>
    </row>
    <row r="42" spans="1:37" s="1115" customFormat="1" ht="13.5" thickBot="1">
      <c r="A42" s="2096"/>
      <c r="B42" s="2114" t="s">
        <v>2036</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1988</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2117</v>
      </c>
      <c r="C44" s="342" t="e">
        <f>ROUND(POWER(1+E44,H44-G44)*(POWER(1+E44,G44)-1)/(POWER(1+E44,H44)-1),4)</f>
        <v>#DIV/0!</v>
      </c>
      <c r="D44" s="171" t="s">
        <v>1994</v>
      </c>
      <c r="E44" s="2148">
        <f>G24</f>
        <v>0</v>
      </c>
      <c r="F44" s="171" t="s">
        <v>2003</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2037</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2038</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2039</v>
      </c>
      <c r="B49" s="1347" t="s">
        <v>2040</v>
      </c>
      <c r="C49" s="1347" t="s">
        <v>2041</v>
      </c>
      <c r="D49" s="1347" t="s">
        <v>2042</v>
      </c>
      <c r="E49" s="739" t="s">
        <v>2043</v>
      </c>
      <c r="F49" s="2126" t="s">
        <v>2044</v>
      </c>
      <c r="G49" s="1347" t="s">
        <v>310</v>
      </c>
      <c r="H49" s="2127" t="s">
        <v>2045</v>
      </c>
      <c r="I49" s="1347" t="s">
        <v>2046</v>
      </c>
      <c r="J49" s="552" t="s">
        <v>1716</v>
      </c>
      <c r="K49" s="552" t="s">
        <v>1717</v>
      </c>
      <c r="L49" s="552" t="s">
        <v>1718</v>
      </c>
      <c r="M49" s="552" t="s">
        <v>1719</v>
      </c>
      <c r="N49" s="552" t="s">
        <v>1720</v>
      </c>
      <c r="AA49" s="1116"/>
      <c r="AB49" s="1116"/>
      <c r="AC49" s="1116"/>
      <c r="AD49" s="1116"/>
      <c r="AE49" s="1116"/>
      <c r="AF49" s="1116"/>
      <c r="AG49" s="1116"/>
      <c r="AH49" s="1116"/>
      <c r="AI49" s="1116"/>
      <c r="AJ49" s="1116"/>
      <c r="AK49" s="1116"/>
    </row>
    <row r="50" spans="1:37" s="1115" customFormat="1" ht="38.25">
      <c r="A50" s="2125" t="s">
        <v>2047</v>
      </c>
      <c r="B50" s="2128" t="str">
        <f>估价对象房地状况!C4</f>
        <v>估价对象位于XX商圈，周边商业氛围成熟，人流量大，商业繁华度好</v>
      </c>
      <c r="C50" s="2039"/>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2048</v>
      </c>
      <c r="B51" s="2129" t="str">
        <f>估价对象房地状况!C18</f>
        <v>估价对象周边道路状况、公共交通通达情况、停车便捷程度，综合评价交通便捷度较好</v>
      </c>
      <c r="C51" s="2039"/>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3271</v>
      </c>
      <c r="B52" s="2129">
        <f>估价对象房地状况!C19</f>
        <v>0</v>
      </c>
      <c r="C52" s="2039"/>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2049</v>
      </c>
      <c r="B53" s="2130" t="s">
        <v>2050</v>
      </c>
      <c r="C53" s="2039"/>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2051</v>
      </c>
      <c r="B54" s="2129">
        <f>估价对象房地状况!C24</f>
        <v>0</v>
      </c>
      <c r="C54" s="2039"/>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2052</v>
      </c>
      <c r="B55" s="2131" t="s">
        <v>2053</v>
      </c>
      <c r="C55" s="2039"/>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2054</v>
      </c>
      <c r="B56" s="1322" t="str">
        <f>估价对象房地状况!C21</f>
        <v>估价对象所在区域公共配套设施齐备情况</v>
      </c>
      <c r="C56" s="2039"/>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2055</v>
      </c>
      <c r="B57" s="2129" t="str">
        <f>估价对象房地状况!C22</f>
        <v>估价对象所在区域基础设施水平</v>
      </c>
      <c r="C57" s="2039"/>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2056</v>
      </c>
      <c r="B58" s="2134" t="str">
        <f>估价对象房地状况!C20</f>
        <v>区域自然环境：；人文环境；综合评价环境状况一般</v>
      </c>
      <c r="C58" s="2039"/>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2057</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2039</v>
      </c>
      <c r="B60" s="1347"/>
      <c r="C60" s="1347" t="s">
        <v>2041</v>
      </c>
      <c r="D60" s="1347" t="s">
        <v>2042</v>
      </c>
      <c r="E60" s="739" t="s">
        <v>2043</v>
      </c>
      <c r="F60" s="2126" t="s">
        <v>2058</v>
      </c>
      <c r="G60" s="1347" t="s">
        <v>310</v>
      </c>
      <c r="H60" s="2127" t="s">
        <v>2045</v>
      </c>
      <c r="I60" s="1347" t="s">
        <v>2046</v>
      </c>
      <c r="J60" s="552" t="s">
        <v>1716</v>
      </c>
      <c r="K60" s="552" t="s">
        <v>1717</v>
      </c>
      <c r="L60" s="552" t="s">
        <v>1718</v>
      </c>
      <c r="M60" s="552" t="s">
        <v>1719</v>
      </c>
      <c r="N60" s="552" t="s">
        <v>1720</v>
      </c>
      <c r="AA60" s="1116"/>
      <c r="AB60" s="1116"/>
      <c r="AC60" s="1116"/>
      <c r="AD60" s="1116"/>
      <c r="AE60" s="1116"/>
      <c r="AF60" s="1116"/>
      <c r="AG60" s="1116"/>
      <c r="AH60" s="1116"/>
      <c r="AI60" s="1116"/>
      <c r="AJ60" s="1116"/>
      <c r="AK60" s="1116"/>
    </row>
    <row r="61" spans="1:37" s="1115" customFormat="1" ht="38.25">
      <c r="A61" s="2125" t="s">
        <v>2059</v>
      </c>
      <c r="B61" s="2128" t="str">
        <f>估价对象房地状况!C17</f>
        <v>估价对象位于XX商圈，周边办公楼项目较多，入驻率高，办公集聚程度较好</v>
      </c>
      <c r="C61" s="2039"/>
      <c r="D61" s="1061">
        <f t="shared" ref="D61:D69" si="12">SUMIF($J$60:$N$60,C61,J61:N61)</f>
        <v>0</v>
      </c>
      <c r="E61" s="740">
        <f>ROUND(SUM(D61:D69),4)</f>
        <v>0</v>
      </c>
      <c r="F61" s="1810" t="str">
        <f>IF(E2="办公",SUMIF(L1:L12,G2,N1:N12),"——")</f>
        <v>——</v>
      </c>
      <c r="G61" s="1059"/>
      <c r="H61" s="1062" t="str">
        <f t="shared" ref="H61:H69" si="13">IFERROR(ROUNDDOWN($F$61*I61/2,4),"——")</f>
        <v>——</v>
      </c>
      <c r="I61" s="3360">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5" t="s">
        <v>2048</v>
      </c>
      <c r="B62" s="2129" t="str">
        <f>估价对象房地状况!C18</f>
        <v>估价对象周边道路状况、公共交通通达情况、停车便捷程度，综合评价交通便捷度较好</v>
      </c>
      <c r="C62" s="2039"/>
      <c r="D62" s="1061">
        <f t="shared" si="12"/>
        <v>0</v>
      </c>
      <c r="E62" s="741"/>
      <c r="F62" s="1810"/>
      <c r="G62" s="1059"/>
      <c r="H62" s="1062" t="str">
        <f t="shared" si="13"/>
        <v>——</v>
      </c>
      <c r="I62" s="3360">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2" t="s">
        <v>3271</v>
      </c>
      <c r="B63" s="2129">
        <f>估价对象房地状况!C19</f>
        <v>0</v>
      </c>
      <c r="C63" s="2039"/>
      <c r="D63" s="1061">
        <f t="shared" si="12"/>
        <v>0</v>
      </c>
      <c r="E63" s="741"/>
      <c r="F63" s="1810"/>
      <c r="G63" s="1059"/>
      <c r="H63" s="1062" t="str">
        <f t="shared" si="13"/>
        <v>——</v>
      </c>
      <c r="I63" s="3360">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2049</v>
      </c>
      <c r="B64" s="2130" t="s">
        <v>2050</v>
      </c>
      <c r="C64" s="2039"/>
      <c r="D64" s="1061">
        <f t="shared" si="12"/>
        <v>0</v>
      </c>
      <c r="E64" s="741"/>
      <c r="F64" s="1810"/>
      <c r="G64" s="1059"/>
      <c r="H64" s="1062" t="str">
        <f t="shared" si="13"/>
        <v>——</v>
      </c>
      <c r="I64" s="3360">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2051</v>
      </c>
      <c r="B65" s="2129">
        <f>估价对象房地状况!C24</f>
        <v>0</v>
      </c>
      <c r="C65" s="2039"/>
      <c r="D65" s="1061">
        <f t="shared" si="12"/>
        <v>0</v>
      </c>
      <c r="E65" s="741"/>
      <c r="F65" s="1810"/>
      <c r="G65" s="1059"/>
      <c r="H65" s="1062" t="str">
        <f t="shared" si="13"/>
        <v>——</v>
      </c>
      <c r="I65" s="3360">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2052</v>
      </c>
      <c r="B66" s="2131" t="s">
        <v>2053</v>
      </c>
      <c r="C66" s="2039"/>
      <c r="D66" s="1061">
        <f t="shared" si="12"/>
        <v>0</v>
      </c>
      <c r="E66" s="741"/>
      <c r="F66" s="1810"/>
      <c r="G66" s="1059"/>
      <c r="H66" s="1062" t="str">
        <f t="shared" si="13"/>
        <v>——</v>
      </c>
      <c r="I66" s="3360">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5" t="s">
        <v>2054</v>
      </c>
      <c r="B67" s="1322" t="str">
        <f>估价对象房地状况!C21</f>
        <v>估价对象所在区域公共配套设施齐备情况</v>
      </c>
      <c r="C67" s="2039"/>
      <c r="D67" s="1061">
        <f t="shared" si="12"/>
        <v>0</v>
      </c>
      <c r="E67" s="741"/>
      <c r="F67" s="1810"/>
      <c r="G67" s="1059"/>
      <c r="H67" s="1062" t="str">
        <f t="shared" si="13"/>
        <v>——</v>
      </c>
      <c r="I67" s="3360">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5" t="s">
        <v>2055</v>
      </c>
      <c r="B68" s="1322" t="str">
        <f>估价对象房地状况!C22</f>
        <v>估价对象所在区域基础设施水平</v>
      </c>
      <c r="C68" s="2039"/>
      <c r="D68" s="1061">
        <f t="shared" si="12"/>
        <v>0</v>
      </c>
      <c r="E68" s="741"/>
      <c r="F68" s="1810"/>
      <c r="G68" s="1059"/>
      <c r="H68" s="1062" t="str">
        <f t="shared" si="13"/>
        <v>——</v>
      </c>
      <c r="I68" s="3360">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3" t="s">
        <v>2056</v>
      </c>
      <c r="B69" s="2135" t="str">
        <f>估价对象房地状况!C20</f>
        <v>区域自然环境：；人文环境；综合评价环境状况一般</v>
      </c>
      <c r="C69" s="2039"/>
      <c r="D69" s="1061">
        <f t="shared" si="12"/>
        <v>0</v>
      </c>
      <c r="E69" s="742"/>
      <c r="F69" s="1810"/>
      <c r="G69" s="1059"/>
      <c r="H69" s="1062" t="str">
        <f t="shared" si="13"/>
        <v>——</v>
      </c>
      <c r="I69" s="3361">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2060</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2039</v>
      </c>
      <c r="B71" s="1347"/>
      <c r="C71" s="1347" t="s">
        <v>2041</v>
      </c>
      <c r="D71" s="1347" t="s">
        <v>2042</v>
      </c>
      <c r="E71" s="739" t="s">
        <v>2043</v>
      </c>
      <c r="F71" s="2126" t="s">
        <v>2058</v>
      </c>
      <c r="G71" s="1347" t="s">
        <v>310</v>
      </c>
      <c r="H71" s="2127" t="s">
        <v>2045</v>
      </c>
      <c r="I71" s="1347" t="s">
        <v>2046</v>
      </c>
      <c r="J71" s="552" t="s">
        <v>1716</v>
      </c>
      <c r="K71" s="552" t="s">
        <v>1717</v>
      </c>
      <c r="L71" s="552" t="s">
        <v>1718</v>
      </c>
      <c r="M71" s="552" t="s">
        <v>1719</v>
      </c>
      <c r="N71" s="552" t="s">
        <v>1720</v>
      </c>
      <c r="AA71" s="1116"/>
      <c r="AB71" s="1116"/>
      <c r="AC71" s="1116"/>
      <c r="AD71" s="1116"/>
      <c r="AE71" s="1116"/>
      <c r="AF71" s="1116"/>
      <c r="AG71" s="1116"/>
      <c r="AH71" s="1116"/>
      <c r="AI71" s="1116"/>
      <c r="AJ71" s="1116"/>
      <c r="AK71" s="1116"/>
    </row>
    <row r="72" spans="1:37" s="1115" customFormat="1" ht="51">
      <c r="A72" s="2125" t="s">
        <v>2061</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2048</v>
      </c>
      <c r="B73" s="2129" t="str">
        <f>估价对象房地状况!C18</f>
        <v>估价对象周边道路状况、公共交通通达情况、停车便捷程度，综合评价交通便捷度较好</v>
      </c>
      <c r="C73" s="2039"/>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2" t="s">
        <v>3271</v>
      </c>
      <c r="B74" s="2129">
        <f>估价对象房地状况!C19</f>
        <v>0</v>
      </c>
      <c r="C74" s="2039"/>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2062</v>
      </c>
      <c r="B75" s="2129">
        <f>估价对象房地状况!C24</f>
        <v>0</v>
      </c>
      <c r="C75" s="2039"/>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2054</v>
      </c>
      <c r="B76" s="1322" t="str">
        <f>估价对象房地状况!C21</f>
        <v>估价对象所在区域公共配套设施齐备情况</v>
      </c>
      <c r="C76" s="2039"/>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2055</v>
      </c>
      <c r="B77" s="1322" t="str">
        <f>估价对象房地状况!C22</f>
        <v>估价对象所在区域基础设施水平</v>
      </c>
      <c r="C77" s="2039"/>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2052</v>
      </c>
      <c r="B78" s="2131" t="s">
        <v>2053</v>
      </c>
      <c r="C78" s="2039"/>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2056</v>
      </c>
      <c r="B79" s="2128" t="str">
        <f>估价对象房地状况!C20</f>
        <v>区域自然环境：；人文环境；综合评价环境状况一般</v>
      </c>
      <c r="C79" s="2039"/>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3"/>
      <c r="AA79" s="2048"/>
      <c r="AG79" s="1117"/>
      <c r="AK79" s="2048"/>
    </row>
    <row r="80" spans="1:37" ht="24.75" thickBot="1">
      <c r="A80" s="2133" t="s">
        <v>2063</v>
      </c>
      <c r="B80" s="2137"/>
      <c r="C80" s="2039"/>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3"/>
      <c r="AA80" s="2048"/>
      <c r="AG80" s="1117"/>
      <c r="AK80" s="2048"/>
    </row>
    <row r="81" spans="1:37" ht="15">
      <c r="A81" s="2121" t="s">
        <v>2064</v>
      </c>
      <c r="B81" s="2122">
        <f>1+E83</f>
        <v>1</v>
      </c>
      <c r="C81" s="737"/>
      <c r="D81" s="737"/>
      <c r="E81" s="738"/>
      <c r="F81" s="2124"/>
      <c r="G81" s="3"/>
      <c r="H81" s="3"/>
      <c r="I81" s="3"/>
      <c r="J81" s="4"/>
      <c r="K81" s="4"/>
      <c r="L81" s="4"/>
      <c r="M81" s="4"/>
      <c r="N81" s="4"/>
      <c r="Z81" s="1993"/>
      <c r="AA81" s="2048"/>
      <c r="AG81" s="1117"/>
      <c r="AK81" s="2048"/>
    </row>
    <row r="82" spans="1:37" ht="24.75">
      <c r="A82" s="2125" t="s">
        <v>2039</v>
      </c>
      <c r="B82" s="1347"/>
      <c r="C82" s="1347" t="s">
        <v>2041</v>
      </c>
      <c r="D82" s="1347" t="s">
        <v>2042</v>
      </c>
      <c r="E82" s="739" t="s">
        <v>2043</v>
      </c>
      <c r="F82" s="2126" t="s">
        <v>2058</v>
      </c>
      <c r="G82" s="1347" t="s">
        <v>310</v>
      </c>
      <c r="H82" s="2127" t="s">
        <v>2045</v>
      </c>
      <c r="I82" s="1347" t="s">
        <v>2046</v>
      </c>
      <c r="J82" s="552" t="s">
        <v>1716</v>
      </c>
      <c r="K82" s="552" t="s">
        <v>1717</v>
      </c>
      <c r="L82" s="552" t="s">
        <v>1718</v>
      </c>
      <c r="M82" s="552" t="s">
        <v>1719</v>
      </c>
      <c r="N82" s="552" t="s">
        <v>1720</v>
      </c>
      <c r="Z82" s="1993"/>
      <c r="AA82" s="2048"/>
      <c r="AG82" s="1117"/>
      <c r="AK82" s="2048"/>
    </row>
    <row r="83" spans="1:37" ht="38.25">
      <c r="A83" s="2125" t="s">
        <v>2065</v>
      </c>
      <c r="B83" s="2129" t="str">
        <f>估价对象房地状况!G15</f>
        <v>估价对象位于XX开发区，园区建设成熟度XX，产业集聚程度XX</v>
      </c>
      <c r="C83" s="2039"/>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2048</v>
      </c>
      <c r="B84" s="2129" t="str">
        <f>估价对象房地状况!G16</f>
        <v>估价对象周边道路状况、公共交通通达情况、停车便捷程度，综合评价交通便捷度较好</v>
      </c>
      <c r="C84" s="2039"/>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3"/>
      <c r="AA84" s="2048"/>
      <c r="AG84" s="1117"/>
      <c r="AK84" s="2048"/>
    </row>
    <row r="85" spans="1:37" ht="36">
      <c r="A85" s="3362" t="s">
        <v>3272</v>
      </c>
      <c r="B85" s="2129">
        <f>估价对象房地状况!G17</f>
        <v>0</v>
      </c>
      <c r="C85" s="2039"/>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3"/>
      <c r="AA85" s="2048"/>
      <c r="AG85" s="1117"/>
      <c r="AK85" s="2048"/>
    </row>
    <row r="86" spans="1:37" ht="14.25">
      <c r="A86" s="2125" t="s">
        <v>2062</v>
      </c>
      <c r="B86" s="2129">
        <f>估价对象房地状况!G22</f>
        <v>0</v>
      </c>
      <c r="C86" s="2039"/>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3"/>
      <c r="AA86" s="2048"/>
      <c r="AG86" s="1117"/>
      <c r="AK86" s="2048"/>
    </row>
    <row r="87" spans="1:37" ht="25.5">
      <c r="A87" s="2125" t="s">
        <v>2054</v>
      </c>
      <c r="B87" s="1322" t="str">
        <f>估价对象房地状况!G19</f>
        <v>估价对象所在区域公共配套设施齐备情况</v>
      </c>
      <c r="C87" s="2039"/>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5" t="s">
        <v>2055</v>
      </c>
      <c r="B88" s="1322" t="str">
        <f>估价对象房地状况!G20</f>
        <v>估价对象所在区域基础设施水平</v>
      </c>
      <c r="C88" s="2039"/>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5" t="s">
        <v>2052</v>
      </c>
      <c r="B89" s="2131" t="s">
        <v>2066</v>
      </c>
      <c r="C89" s="2039"/>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3" t="s">
        <v>2067</v>
      </c>
      <c r="B90" s="2138" t="str">
        <f>估价对象房地状况!G18</f>
        <v>该园区内是否有污染型企业，绿化情况，卫生条件，整体环境状况判断</v>
      </c>
      <c r="C90" s="2039"/>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2610</v>
      </c>
      <c r="B91" s="3371">
        <f>1+E93</f>
        <v>1</v>
      </c>
      <c r="C91" s="3364"/>
      <c r="D91" s="3365"/>
      <c r="E91" s="1810"/>
      <c r="F91" s="1810"/>
      <c r="G91" s="3366"/>
      <c r="H91" s="3367"/>
      <c r="I91" s="3368"/>
      <c r="J91" s="3369"/>
      <c r="K91" s="3369"/>
      <c r="L91" s="3369"/>
      <c r="M91" s="3369"/>
      <c r="N91" s="3369"/>
    </row>
    <row r="92" spans="1:37" ht="24.75">
      <c r="A92" s="3372" t="s">
        <v>3273</v>
      </c>
      <c r="B92" s="3359"/>
      <c r="C92" s="3359" t="s">
        <v>3282</v>
      </c>
      <c r="D92" s="3359" t="s">
        <v>3283</v>
      </c>
      <c r="E92" s="3341" t="s">
        <v>3284</v>
      </c>
      <c r="F92" s="3374" t="s">
        <v>3285</v>
      </c>
      <c r="G92" s="3359" t="s">
        <v>3286</v>
      </c>
      <c r="H92" s="3381" t="s">
        <v>3289</v>
      </c>
      <c r="I92" s="3359" t="s">
        <v>3290</v>
      </c>
      <c r="J92" s="3382" t="s">
        <v>3291</v>
      </c>
      <c r="K92" s="3382" t="s">
        <v>3292</v>
      </c>
      <c r="L92" s="3382" t="s">
        <v>3293</v>
      </c>
      <c r="M92" s="3382" t="s">
        <v>3294</v>
      </c>
      <c r="N92" s="3382" t="s">
        <v>3295</v>
      </c>
    </row>
    <row r="93" spans="1:37" ht="24">
      <c r="A93" s="3362" t="s">
        <v>3274</v>
      </c>
      <c r="B93" s="1302"/>
      <c r="C93" s="2039"/>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3275</v>
      </c>
      <c r="B94" s="3363" t="str">
        <f>估价对象房地状况!C18</f>
        <v>估价对象周边道路状况、公共交通通达情况、停车便捷程度，综合评价交通便捷度较好</v>
      </c>
      <c r="C94" s="2039"/>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3271</v>
      </c>
      <c r="B95" s="3363">
        <f>估价对象房地状况!C19</f>
        <v>0</v>
      </c>
      <c r="C95" s="2039"/>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3276</v>
      </c>
      <c r="B96" s="3378" t="s">
        <v>3287</v>
      </c>
      <c r="C96" s="2039"/>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3277</v>
      </c>
      <c r="B97" s="3363">
        <f>估价对象房地状况!C24</f>
        <v>0</v>
      </c>
      <c r="C97" s="2039"/>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3278</v>
      </c>
      <c r="B98" s="3379" t="s">
        <v>3288</v>
      </c>
      <c r="C98" s="2039"/>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5.5">
      <c r="A99" s="3372" t="s">
        <v>3279</v>
      </c>
      <c r="B99" s="3363" t="str">
        <f>估价对象房地状况!C21</f>
        <v>估价对象所在区域公共配套设施齐备情况</v>
      </c>
      <c r="C99" s="2039"/>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3280</v>
      </c>
      <c r="B100" s="3363" t="str">
        <f>估价对象房地状况!C22</f>
        <v>估价对象所在区域基础设施水平</v>
      </c>
      <c r="C100" s="2039"/>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3281</v>
      </c>
      <c r="B101" s="3380" t="str">
        <f>估价对象房地状况!C20</f>
        <v>区域自然环境：；人文环境；综合评价环境状况一般</v>
      </c>
      <c r="C101" s="2039"/>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94" t="s">
        <v>3296</v>
      </c>
      <c r="B103" s="3794"/>
      <c r="C103" s="3794"/>
      <c r="D103" s="3794"/>
      <c r="E103" s="3794"/>
      <c r="F103" s="3794"/>
      <c r="G103" s="3794"/>
      <c r="H103" s="3794"/>
      <c r="I103" s="3794"/>
      <c r="J103" s="3794"/>
      <c r="K103" s="3383"/>
      <c r="L103" s="3383"/>
      <c r="M103" s="3383"/>
      <c r="N103" s="3383"/>
    </row>
    <row r="104" spans="1:14">
      <c r="A104" s="3795" t="s">
        <v>3297</v>
      </c>
      <c r="B104" s="3795" t="s">
        <v>3298</v>
      </c>
      <c r="C104" s="3384" t="s">
        <v>3299</v>
      </c>
      <c r="D104" s="3385"/>
      <c r="E104" s="3385"/>
      <c r="F104" s="3385"/>
      <c r="G104" s="3385"/>
      <c r="H104" s="3385"/>
      <c r="I104" s="3385"/>
      <c r="J104" s="3386"/>
      <c r="K104" s="3387"/>
      <c r="L104" s="3387"/>
      <c r="M104" s="3387"/>
      <c r="N104" s="3387"/>
    </row>
    <row r="105" spans="1:14">
      <c r="A105" s="3795"/>
      <c r="B105" s="3795"/>
      <c r="C105" s="3388" t="s">
        <v>3300</v>
      </c>
      <c r="D105" s="3388" t="s">
        <v>3301</v>
      </c>
      <c r="E105" s="3388" t="s">
        <v>3302</v>
      </c>
      <c r="F105" s="3388" t="s">
        <v>3303</v>
      </c>
      <c r="G105" s="3388" t="s">
        <v>3304</v>
      </c>
      <c r="H105" s="3388" t="s">
        <v>3305</v>
      </c>
      <c r="I105" s="3388" t="s">
        <v>3306</v>
      </c>
      <c r="J105" s="3388" t="s">
        <v>3307</v>
      </c>
      <c r="K105" s="3388" t="s">
        <v>3308</v>
      </c>
      <c r="L105" s="3388" t="s">
        <v>3309</v>
      </c>
      <c r="M105" s="3388" t="s">
        <v>3310</v>
      </c>
      <c r="N105" s="3388" t="s">
        <v>3311</v>
      </c>
    </row>
    <row r="106" spans="1:14">
      <c r="A106" s="3781" t="s">
        <v>3312</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2"/>
      <c r="B111" s="3388" t="s">
        <v>3270</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84" t="s">
        <v>3313</v>
      </c>
      <c r="B113" s="3784"/>
      <c r="C113" s="3784"/>
      <c r="D113" s="3784"/>
      <c r="E113" s="3784"/>
      <c r="F113" s="3784"/>
      <c r="G113" s="3784"/>
      <c r="H113" s="3784"/>
      <c r="I113" s="3784"/>
      <c r="J113" s="378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3314</v>
      </c>
      <c r="B116" s="3409">
        <f>G3</f>
        <v>0</v>
      </c>
      <c r="C116" s="3393" t="s">
        <v>3315</v>
      </c>
      <c r="D116" s="3394">
        <f>SUMPRODUCT((A118:A122=F116)*(B117:M117=H116)*B118:M122)</f>
        <v>0</v>
      </c>
      <c r="E116" s="1995" t="s">
        <v>3316</v>
      </c>
      <c r="F116" s="3395">
        <f>E2</f>
        <v>0</v>
      </c>
      <c r="G116" s="1995" t="s">
        <v>3317</v>
      </c>
      <c r="H116" s="3395">
        <f>G2</f>
        <v>0</v>
      </c>
      <c r="I116" s="1995"/>
      <c r="J116" s="3396"/>
      <c r="K116" s="3396"/>
      <c r="L116" s="3396"/>
      <c r="M116" s="3396"/>
      <c r="N116" s="3391"/>
    </row>
    <row r="117" spans="1:14">
      <c r="A117" s="3397"/>
      <c r="B117" s="3398" t="s">
        <v>3318</v>
      </c>
      <c r="C117" s="3398" t="s">
        <v>3319</v>
      </c>
      <c r="D117" s="3398" t="s">
        <v>3320</v>
      </c>
      <c r="E117" s="3399" t="s">
        <v>3321</v>
      </c>
      <c r="F117" s="3399" t="s">
        <v>3322</v>
      </c>
      <c r="G117" s="3399" t="s">
        <v>3323</v>
      </c>
      <c r="H117" s="3400" t="s">
        <v>3324</v>
      </c>
      <c r="I117" s="3400" t="s">
        <v>3325</v>
      </c>
      <c r="J117" s="3401" t="s">
        <v>3326</v>
      </c>
      <c r="K117" s="3401" t="s">
        <v>3327</v>
      </c>
      <c r="L117" s="3401" t="s">
        <v>3328</v>
      </c>
      <c r="M117" s="3402" t="s">
        <v>3329</v>
      </c>
      <c r="N117" s="3391"/>
    </row>
    <row r="118" spans="1:14">
      <c r="A118" s="3403" t="s">
        <v>3330</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3331</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3332</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3333</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2610</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2592</v>
      </c>
      <c r="B1" s="3065" t="s">
        <v>2593</v>
      </c>
      <c r="C1" s="3065" t="s">
        <v>2594</v>
      </c>
      <c r="D1" s="3065" t="s">
        <v>2595</v>
      </c>
      <c r="E1" s="3065" t="s">
        <v>2596</v>
      </c>
      <c r="F1" s="3065" t="s">
        <v>2597</v>
      </c>
      <c r="G1" s="3065" t="s">
        <v>2598</v>
      </c>
      <c r="H1" s="3065" t="s">
        <v>2599</v>
      </c>
      <c r="I1" s="3065" t="s">
        <v>2600</v>
      </c>
      <c r="J1" s="3065" t="s">
        <v>2601</v>
      </c>
      <c r="K1" s="3065" t="s">
        <v>2602</v>
      </c>
      <c r="L1" s="3065" t="s">
        <v>2603</v>
      </c>
      <c r="M1" s="3066" t="s">
        <v>2604</v>
      </c>
    </row>
    <row r="2" spans="1:13" ht="19.5" customHeight="1">
      <c r="A2" s="3068" t="s">
        <v>2605</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2606</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2607</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2608</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2609</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2610</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2611</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2612</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2613</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2614</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2615</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2616</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2617</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2618</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2619</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2620</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2621</v>
      </c>
      <c r="B18" s="3090"/>
      <c r="C18" s="3091"/>
      <c r="D18" s="3091"/>
      <c r="E18" s="3090"/>
      <c r="F18" s="3091"/>
      <c r="G18" s="3091"/>
    </row>
    <row r="19" spans="1:13" ht="19.5" customHeight="1" thickBot="1">
      <c r="A19" s="3088" t="s">
        <v>2622</v>
      </c>
      <c r="B19" s="3093" t="s">
        <v>2623</v>
      </c>
      <c r="C19" s="3093" t="s">
        <v>2624</v>
      </c>
      <c r="D19" s="3094"/>
      <c r="E19" s="3088" t="s">
        <v>2625</v>
      </c>
      <c r="F19" s="3095"/>
      <c r="G19" s="3095"/>
    </row>
    <row r="20" spans="1:13" ht="19.5" customHeight="1">
      <c r="A20" s="3807" t="s">
        <v>2605</v>
      </c>
      <c r="B20" s="3800" t="s">
        <v>2626</v>
      </c>
      <c r="C20" s="3096" t="s">
        <v>2437</v>
      </c>
      <c r="D20" s="3097"/>
      <c r="E20" s="3098">
        <v>1</v>
      </c>
      <c r="F20" s="3099" t="s">
        <v>2438</v>
      </c>
      <c r="G20" s="3099"/>
    </row>
    <row r="21" spans="1:13" ht="19.5" customHeight="1">
      <c r="A21" s="3808"/>
      <c r="B21" s="3801"/>
      <c r="C21" s="3100" t="s">
        <v>2439</v>
      </c>
      <c r="D21" s="3101"/>
      <c r="E21" s="3102">
        <v>1</v>
      </c>
      <c r="F21" s="3099" t="s">
        <v>2440</v>
      </c>
      <c r="G21" s="3099"/>
    </row>
    <row r="22" spans="1:13" ht="19.5" customHeight="1">
      <c r="A22" s="3808"/>
      <c r="B22" s="3801"/>
      <c r="C22" s="3100" t="s">
        <v>2441</v>
      </c>
      <c r="D22" s="3101"/>
      <c r="E22" s="3102">
        <v>0.9</v>
      </c>
      <c r="F22" s="3099" t="s">
        <v>2442</v>
      </c>
      <c r="G22" s="3099"/>
    </row>
    <row r="23" spans="1:13" ht="19.5" customHeight="1">
      <c r="A23" s="3808"/>
      <c r="B23" s="3801"/>
      <c r="C23" s="3100" t="s">
        <v>2443</v>
      </c>
      <c r="D23" s="3101"/>
      <c r="E23" s="3102">
        <v>0.9</v>
      </c>
      <c r="F23" s="3099" t="s">
        <v>2444</v>
      </c>
      <c r="G23" s="3099"/>
    </row>
    <row r="24" spans="1:13" ht="19.5" customHeight="1">
      <c r="A24" s="3808"/>
      <c r="B24" s="3801"/>
      <c r="C24" s="3100" t="s">
        <v>2445</v>
      </c>
      <c r="D24" s="3101"/>
      <c r="E24" s="3102">
        <v>0.8</v>
      </c>
      <c r="F24" s="3099" t="s">
        <v>2446</v>
      </c>
      <c r="G24" s="3099"/>
    </row>
    <row r="25" spans="1:13" ht="19.5" customHeight="1" thickBot="1">
      <c r="A25" s="3809"/>
      <c r="B25" s="3802"/>
      <c r="C25" s="3103" t="s">
        <v>2447</v>
      </c>
      <c r="D25" s="3104"/>
      <c r="E25" s="3105">
        <v>0.8</v>
      </c>
      <c r="F25" s="3099" t="s">
        <v>2448</v>
      </c>
      <c r="G25" s="3099"/>
    </row>
    <row r="26" spans="1:13" ht="19.5" customHeight="1" thickBot="1">
      <c r="A26" s="3106" t="s">
        <v>2627</v>
      </c>
      <c r="B26" s="3107" t="s">
        <v>2626</v>
      </c>
      <c r="C26" s="3108" t="s">
        <v>2628</v>
      </c>
      <c r="D26" s="3109"/>
      <c r="E26" s="3110">
        <v>1</v>
      </c>
      <c r="F26" s="3099" t="s">
        <v>2449</v>
      </c>
      <c r="G26" s="3099"/>
    </row>
    <row r="27" spans="1:13" ht="19.5" customHeight="1">
      <c r="A27" s="3803" t="s">
        <v>2629</v>
      </c>
      <c r="B27" s="3800" t="s">
        <v>2610</v>
      </c>
      <c r="C27" s="3096" t="s">
        <v>2450</v>
      </c>
      <c r="D27" s="3097"/>
      <c r="E27" s="3098">
        <v>1</v>
      </c>
      <c r="F27" s="3099" t="s">
        <v>2451</v>
      </c>
      <c r="G27" s="3099"/>
    </row>
    <row r="28" spans="1:13" ht="19.5" customHeight="1">
      <c r="A28" s="3804"/>
      <c r="B28" s="3801"/>
      <c r="C28" s="3100" t="s">
        <v>2452</v>
      </c>
      <c r="D28" s="3101"/>
      <c r="E28" s="3102">
        <v>1</v>
      </c>
      <c r="F28" s="3099" t="s">
        <v>2453</v>
      </c>
      <c r="G28" s="3099"/>
    </row>
    <row r="29" spans="1:13" ht="19.5" customHeight="1">
      <c r="A29" s="3804"/>
      <c r="B29" s="3801"/>
      <c r="C29" s="3100" t="s">
        <v>2454</v>
      </c>
      <c r="D29" s="3101"/>
      <c r="E29" s="3102">
        <v>0.8</v>
      </c>
      <c r="F29" s="3099" t="s">
        <v>2455</v>
      </c>
      <c r="G29" s="3099"/>
    </row>
    <row r="30" spans="1:13" ht="19.5" customHeight="1">
      <c r="A30" s="3804"/>
      <c r="B30" s="3801"/>
      <c r="C30" s="3100" t="s">
        <v>2456</v>
      </c>
      <c r="D30" s="3101"/>
      <c r="E30" s="3102">
        <v>0.8</v>
      </c>
      <c r="F30" s="3099" t="s">
        <v>2457</v>
      </c>
      <c r="G30" s="3099"/>
    </row>
    <row r="31" spans="1:13" ht="19.5" customHeight="1">
      <c r="A31" s="3804"/>
      <c r="B31" s="3801"/>
      <c r="C31" s="3100" t="s">
        <v>2458</v>
      </c>
      <c r="D31" s="3101"/>
      <c r="E31" s="3102">
        <v>0.8</v>
      </c>
      <c r="F31" s="3099" t="s">
        <v>2459</v>
      </c>
      <c r="G31" s="3099"/>
    </row>
    <row r="32" spans="1:13" ht="19.5" customHeight="1">
      <c r="A32" s="3804"/>
      <c r="B32" s="3801"/>
      <c r="C32" s="3100" t="s">
        <v>2460</v>
      </c>
      <c r="D32" s="3101"/>
      <c r="E32" s="3102">
        <v>0.7</v>
      </c>
      <c r="F32" s="3099" t="s">
        <v>2461</v>
      </c>
      <c r="G32" s="3099"/>
    </row>
    <row r="33" spans="1:7" ht="19.5" customHeight="1">
      <c r="A33" s="3804"/>
      <c r="B33" s="3801"/>
      <c r="C33" s="3100" t="s">
        <v>2462</v>
      </c>
      <c r="D33" s="3101"/>
      <c r="E33" s="3102">
        <v>0.8</v>
      </c>
      <c r="F33" s="3099" t="s">
        <v>2463</v>
      </c>
      <c r="G33" s="3099"/>
    </row>
    <row r="34" spans="1:7" ht="19.5" customHeight="1">
      <c r="A34" s="3804"/>
      <c r="B34" s="3801"/>
      <c r="C34" s="3100" t="s">
        <v>2464</v>
      </c>
      <c r="D34" s="3101"/>
      <c r="E34" s="3102">
        <v>0.6</v>
      </c>
      <c r="F34" s="3099" t="s">
        <v>2465</v>
      </c>
      <c r="G34" s="3099"/>
    </row>
    <row r="35" spans="1:7" ht="19.5" customHeight="1">
      <c r="A35" s="3804"/>
      <c r="B35" s="3801"/>
      <c r="C35" s="3100" t="s">
        <v>2466</v>
      </c>
      <c r="D35" s="3101"/>
      <c r="E35" s="3102">
        <v>0.2</v>
      </c>
      <c r="F35" s="3099" t="s">
        <v>2467</v>
      </c>
      <c r="G35" s="3099"/>
    </row>
    <row r="36" spans="1:7" ht="19.5" customHeight="1">
      <c r="A36" s="3804"/>
      <c r="B36" s="3801"/>
      <c r="C36" s="3100" t="s">
        <v>2468</v>
      </c>
      <c r="D36" s="3101"/>
      <c r="E36" s="3102">
        <v>0.2</v>
      </c>
      <c r="F36" s="3099" t="s">
        <v>2469</v>
      </c>
      <c r="G36" s="3099"/>
    </row>
    <row r="37" spans="1:7" ht="19.5" customHeight="1">
      <c r="A37" s="3804"/>
      <c r="B37" s="3806" t="s">
        <v>2630</v>
      </c>
      <c r="C37" s="3100" t="s">
        <v>2470</v>
      </c>
      <c r="D37" s="3101"/>
      <c r="E37" s="3102">
        <v>0.6</v>
      </c>
      <c r="F37" s="3099" t="s">
        <v>2471</v>
      </c>
      <c r="G37" s="3099"/>
    </row>
    <row r="38" spans="1:7" ht="19.5" customHeight="1">
      <c r="A38" s="3804"/>
      <c r="B38" s="3801"/>
      <c r="C38" s="3100" t="s">
        <v>2472</v>
      </c>
      <c r="D38" s="3101"/>
      <c r="E38" s="3102">
        <v>0.6</v>
      </c>
      <c r="F38" s="3099" t="s">
        <v>2473</v>
      </c>
      <c r="G38" s="3099"/>
    </row>
    <row r="39" spans="1:7" ht="19.5" customHeight="1" thickBot="1">
      <c r="A39" s="3805"/>
      <c r="B39" s="3802"/>
      <c r="C39" s="3103" t="s">
        <v>2474</v>
      </c>
      <c r="D39" s="3104"/>
      <c r="E39" s="3105">
        <v>0.6</v>
      </c>
      <c r="F39" s="3099" t="s">
        <v>2475</v>
      </c>
      <c r="G39" s="3099"/>
    </row>
    <row r="40" spans="1:7" ht="19.5" customHeight="1" thickBot="1">
      <c r="A40" s="3106" t="s">
        <v>2607</v>
      </c>
      <c r="B40" s="3107" t="s">
        <v>2607</v>
      </c>
      <c r="C40" s="3108" t="s">
        <v>2631</v>
      </c>
      <c r="D40" s="3109"/>
      <c r="E40" s="3110">
        <v>1</v>
      </c>
      <c r="F40" s="3099" t="s">
        <v>2476</v>
      </c>
      <c r="G40" s="3099"/>
    </row>
    <row r="41" spans="1:7" ht="19.5" customHeight="1">
      <c r="A41" s="3807" t="s">
        <v>2608</v>
      </c>
      <c r="B41" s="3800" t="s">
        <v>2632</v>
      </c>
      <c r="C41" s="3096" t="s">
        <v>2477</v>
      </c>
      <c r="D41" s="3097"/>
      <c r="E41" s="3098">
        <v>1</v>
      </c>
      <c r="F41" s="3099" t="s">
        <v>2478</v>
      </c>
      <c r="G41" s="3099"/>
    </row>
    <row r="42" spans="1:7" ht="19.5" customHeight="1">
      <c r="A42" s="3808"/>
      <c r="B42" s="3801"/>
      <c r="C42" s="3100" t="s">
        <v>2479</v>
      </c>
      <c r="D42" s="3101"/>
      <c r="E42" s="3102">
        <v>1</v>
      </c>
      <c r="F42" s="3099" t="s">
        <v>2480</v>
      </c>
      <c r="G42" s="3099"/>
    </row>
    <row r="43" spans="1:7" ht="19.5" customHeight="1">
      <c r="A43" s="3808"/>
      <c r="B43" s="3810"/>
      <c r="C43" s="3100" t="s">
        <v>2481</v>
      </c>
      <c r="D43" s="3101"/>
      <c r="E43" s="3102">
        <v>1.5</v>
      </c>
      <c r="F43" s="3099" t="s">
        <v>2482</v>
      </c>
      <c r="G43" s="3099"/>
    </row>
    <row r="44" spans="1:7" ht="19.5" customHeight="1">
      <c r="A44" s="3808"/>
      <c r="B44" s="3111" t="s">
        <v>2633</v>
      </c>
      <c r="C44" s="3100" t="s">
        <v>2634</v>
      </c>
      <c r="D44" s="3101"/>
      <c r="E44" s="3102">
        <v>2</v>
      </c>
      <c r="F44" s="3099" t="s">
        <v>2483</v>
      </c>
      <c r="G44" s="3099"/>
    </row>
    <row r="45" spans="1:7" ht="19.5" customHeight="1">
      <c r="A45" s="3808"/>
      <c r="B45" s="3806" t="s">
        <v>2635</v>
      </c>
      <c r="C45" s="3100" t="s">
        <v>2484</v>
      </c>
      <c r="D45" s="3101"/>
      <c r="E45" s="3102">
        <v>1</v>
      </c>
      <c r="F45" s="3099" t="s">
        <v>2485</v>
      </c>
      <c r="G45" s="3099"/>
    </row>
    <row r="46" spans="1:7" ht="19.5" customHeight="1">
      <c r="A46" s="3808"/>
      <c r="B46" s="3801"/>
      <c r="C46" s="3100" t="s">
        <v>2486</v>
      </c>
      <c r="D46" s="3101"/>
      <c r="E46" s="3102">
        <v>1</v>
      </c>
      <c r="F46" s="3099" t="s">
        <v>2487</v>
      </c>
      <c r="G46" s="3099"/>
    </row>
    <row r="47" spans="1:7" ht="19.5" customHeight="1">
      <c r="A47" s="3808"/>
      <c r="B47" s="3801"/>
      <c r="C47" s="3100" t="s">
        <v>2488</v>
      </c>
      <c r="D47" s="3101"/>
      <c r="E47" s="3102">
        <v>1</v>
      </c>
      <c r="F47" s="3099" t="s">
        <v>2489</v>
      </c>
      <c r="G47" s="3099"/>
    </row>
    <row r="48" spans="1:7" ht="19.5" customHeight="1">
      <c r="A48" s="3808"/>
      <c r="B48" s="3801"/>
      <c r="C48" s="3100" t="s">
        <v>2490</v>
      </c>
      <c r="D48" s="3101"/>
      <c r="E48" s="3102">
        <v>1</v>
      </c>
      <c r="F48" s="3099" t="s">
        <v>2491</v>
      </c>
      <c r="G48" s="3099"/>
    </row>
    <row r="49" spans="1:7" ht="19.5" customHeight="1">
      <c r="A49" s="3808"/>
      <c r="B49" s="3801"/>
      <c r="C49" s="3100" t="s">
        <v>2492</v>
      </c>
      <c r="D49" s="3101"/>
      <c r="E49" s="3102">
        <v>1</v>
      </c>
      <c r="F49" s="3099" t="s">
        <v>2493</v>
      </c>
      <c r="G49" s="3099"/>
    </row>
    <row r="50" spans="1:7" ht="19.5" customHeight="1">
      <c r="A50" s="3808"/>
      <c r="B50" s="3801"/>
      <c r="C50" s="3100" t="s">
        <v>2494</v>
      </c>
      <c r="D50" s="3101"/>
      <c r="E50" s="3102">
        <v>1</v>
      </c>
      <c r="F50" s="3099" t="s">
        <v>2495</v>
      </c>
      <c r="G50" s="3099"/>
    </row>
    <row r="51" spans="1:7" ht="19.5" customHeight="1" thickBot="1">
      <c r="A51" s="3809"/>
      <c r="B51" s="3802"/>
      <c r="C51" s="3103" t="s">
        <v>2496</v>
      </c>
      <c r="D51" s="3104"/>
      <c r="E51" s="3105">
        <v>1</v>
      </c>
      <c r="F51" s="3099" t="s">
        <v>2497</v>
      </c>
      <c r="G51" s="3099"/>
    </row>
    <row r="52" spans="1:7" ht="19.5" customHeight="1">
      <c r="A52" s="3112"/>
      <c r="B52" s="3112"/>
      <c r="C52" s="3112"/>
      <c r="D52" s="3112"/>
      <c r="E52" s="3112"/>
      <c r="F52" s="3112"/>
      <c r="G52" s="3112"/>
    </row>
    <row r="54" spans="1:7" ht="19.5" customHeight="1">
      <c r="A54" s="3113"/>
      <c r="B54" s="3085" t="s">
        <v>2636</v>
      </c>
      <c r="C54" s="3085" t="s">
        <v>2636</v>
      </c>
      <c r="D54" s="3085" t="s">
        <v>2636</v>
      </c>
      <c r="E54" s="3088" t="s">
        <v>2636</v>
      </c>
      <c r="F54" s="3088" t="s">
        <v>2637</v>
      </c>
      <c r="G54" s="3088" t="s">
        <v>2638</v>
      </c>
    </row>
    <row r="55" spans="1:7" ht="19.5" customHeight="1">
      <c r="A55" s="3114"/>
      <c r="B55" s="3088" t="s">
        <v>2605</v>
      </c>
      <c r="C55" s="3088" t="s">
        <v>2605</v>
      </c>
      <c r="D55" s="3088" t="s">
        <v>2605</v>
      </c>
      <c r="E55" s="3085" t="s">
        <v>2606</v>
      </c>
      <c r="F55" s="3085" t="s">
        <v>2608</v>
      </c>
      <c r="G55" s="3085" t="s">
        <v>2639</v>
      </c>
    </row>
    <row r="56" spans="1:7" ht="19.5" customHeight="1">
      <c r="A56" s="3115"/>
      <c r="B56" s="3085">
        <v>1</v>
      </c>
      <c r="C56" s="3085">
        <v>2</v>
      </c>
      <c r="D56" s="3085">
        <v>3</v>
      </c>
      <c r="E56" s="3116" t="s">
        <v>2640</v>
      </c>
      <c r="F56" s="3116" t="s">
        <v>2640</v>
      </c>
      <c r="G56" s="3116" t="s">
        <v>2640</v>
      </c>
    </row>
    <row r="57" spans="1:7" ht="19.5" customHeight="1">
      <c r="A57" s="3117" t="s">
        <v>2593</v>
      </c>
      <c r="B57" s="3085">
        <v>0.7</v>
      </c>
      <c r="C57" s="3085">
        <v>0.4</v>
      </c>
      <c r="D57" s="3085">
        <v>0.3</v>
      </c>
      <c r="E57" s="3116">
        <v>0.3</v>
      </c>
      <c r="F57" s="3085">
        <v>0.3</v>
      </c>
      <c r="G57" s="3085">
        <v>0.2</v>
      </c>
    </row>
    <row r="58" spans="1:7" ht="19.5" customHeight="1">
      <c r="A58" s="3117" t="s">
        <v>2594</v>
      </c>
      <c r="B58" s="3085">
        <v>0.7</v>
      </c>
      <c r="C58" s="3085">
        <v>0.4</v>
      </c>
      <c r="D58" s="3085">
        <v>0.3</v>
      </c>
      <c r="E58" s="3085">
        <v>0.3</v>
      </c>
      <c r="F58" s="3085">
        <v>0.3</v>
      </c>
      <c r="G58" s="3085">
        <v>0.2</v>
      </c>
    </row>
    <row r="59" spans="1:7" ht="19.5" customHeight="1">
      <c r="A59" s="3117" t="s">
        <v>2595</v>
      </c>
      <c r="B59" s="3085">
        <v>0.6</v>
      </c>
      <c r="C59" s="3085">
        <v>0.3</v>
      </c>
      <c r="D59" s="3085">
        <v>0.25</v>
      </c>
      <c r="E59" s="3085">
        <v>0.25</v>
      </c>
      <c r="F59" s="3085">
        <v>0.25</v>
      </c>
      <c r="G59" s="3085">
        <v>0.15</v>
      </c>
    </row>
    <row r="60" spans="1:7" ht="19.5" customHeight="1">
      <c r="A60" s="3117" t="s">
        <v>2596</v>
      </c>
      <c r="B60" s="3085">
        <v>0.6</v>
      </c>
      <c r="C60" s="3085">
        <v>0.3</v>
      </c>
      <c r="D60" s="3085">
        <v>0.25</v>
      </c>
      <c r="E60" s="3085">
        <v>0.25</v>
      </c>
      <c r="F60" s="3085">
        <v>0.25</v>
      </c>
      <c r="G60" s="3085">
        <v>0.15</v>
      </c>
    </row>
    <row r="61" spans="1:7" ht="19.5" customHeight="1">
      <c r="A61" s="3117" t="s">
        <v>2597</v>
      </c>
      <c r="B61" s="3085">
        <v>0.6</v>
      </c>
      <c r="C61" s="3085">
        <v>0.3</v>
      </c>
      <c r="D61" s="3085">
        <v>0.25</v>
      </c>
      <c r="E61" s="3085">
        <v>0.25</v>
      </c>
      <c r="F61" s="3085">
        <v>0.25</v>
      </c>
      <c r="G61" s="3085">
        <v>0.15</v>
      </c>
    </row>
    <row r="62" spans="1:7" ht="19.5" customHeight="1">
      <c r="A62" s="3117" t="s">
        <v>2598</v>
      </c>
      <c r="B62" s="3085">
        <v>0.6</v>
      </c>
      <c r="C62" s="3085">
        <v>0.3</v>
      </c>
      <c r="D62" s="3085">
        <v>0.25</v>
      </c>
      <c r="E62" s="3085">
        <v>0.25</v>
      </c>
      <c r="F62" s="3085">
        <v>0.25</v>
      </c>
      <c r="G62" s="3085">
        <v>0.15</v>
      </c>
    </row>
    <row r="63" spans="1:7" ht="19.5" customHeight="1">
      <c r="A63" s="3117" t="s">
        <v>2599</v>
      </c>
      <c r="B63" s="3085">
        <v>0.6</v>
      </c>
      <c r="C63" s="3085">
        <v>0.3</v>
      </c>
      <c r="D63" s="3085">
        <v>0.25</v>
      </c>
      <c r="E63" s="3085">
        <v>0.25</v>
      </c>
      <c r="F63" s="3085">
        <v>0.25</v>
      </c>
      <c r="G63" s="3085">
        <v>0.15</v>
      </c>
    </row>
    <row r="64" spans="1:7" ht="19.5" customHeight="1">
      <c r="A64" s="3117" t="s">
        <v>2600</v>
      </c>
      <c r="B64" s="3085">
        <v>0.5</v>
      </c>
      <c r="C64" s="3085">
        <v>0.2</v>
      </c>
      <c r="D64" s="3085">
        <v>0.2</v>
      </c>
      <c r="E64" s="3085">
        <v>0.2</v>
      </c>
      <c r="F64" s="3085">
        <v>0.2</v>
      </c>
      <c r="G64" s="3085">
        <v>0.1</v>
      </c>
    </row>
    <row r="65" spans="1:7" ht="19.5" customHeight="1">
      <c r="A65" s="3117" t="s">
        <v>2601</v>
      </c>
      <c r="B65" s="3085">
        <v>0.5</v>
      </c>
      <c r="C65" s="3085">
        <v>0.2</v>
      </c>
      <c r="D65" s="3085">
        <v>0.2</v>
      </c>
      <c r="E65" s="3085">
        <v>0.2</v>
      </c>
      <c r="F65" s="3085">
        <v>0.2</v>
      </c>
      <c r="G65" s="3085">
        <v>0.1</v>
      </c>
    </row>
    <row r="66" spans="1:7" ht="19.5" customHeight="1">
      <c r="A66" s="3117" t="s">
        <v>2602</v>
      </c>
      <c r="B66" s="3085">
        <v>0.5</v>
      </c>
      <c r="C66" s="3085">
        <v>0.2</v>
      </c>
      <c r="D66" s="3085">
        <v>0.2</v>
      </c>
      <c r="E66" s="3085">
        <v>0.2</v>
      </c>
      <c r="F66" s="3085">
        <v>0.2</v>
      </c>
      <c r="G66" s="3085">
        <v>0.1</v>
      </c>
    </row>
    <row r="67" spans="1:7" ht="19.5" customHeight="1">
      <c r="A67" s="3117" t="s">
        <v>2603</v>
      </c>
      <c r="B67" s="3085">
        <v>0.5</v>
      </c>
      <c r="C67" s="3085">
        <v>0.2</v>
      </c>
      <c r="D67" s="3085">
        <v>0.2</v>
      </c>
      <c r="E67" s="3085">
        <v>0.2</v>
      </c>
      <c r="F67" s="3085">
        <v>0.2</v>
      </c>
      <c r="G67" s="3085">
        <v>0.1</v>
      </c>
    </row>
    <row r="68" spans="1:7" ht="19.5" customHeight="1">
      <c r="A68" s="3117" t="s">
        <v>2604</v>
      </c>
      <c r="B68" s="3085">
        <v>0.5</v>
      </c>
      <c r="C68" s="3085">
        <v>0.2</v>
      </c>
      <c r="D68" s="3085">
        <v>0.2</v>
      </c>
      <c r="E68" s="3085">
        <v>0.2</v>
      </c>
      <c r="F68" s="3085">
        <v>0.2</v>
      </c>
      <c r="G68" s="3085">
        <v>0.1</v>
      </c>
    </row>
    <row r="70" spans="1:7" ht="19.5" customHeight="1">
      <c r="A70" s="3118"/>
      <c r="B70" s="3119"/>
      <c r="C70" s="3119"/>
      <c r="D70" s="3119" t="s">
        <v>2641</v>
      </c>
      <c r="E70" s="3119"/>
      <c r="F70" s="3119"/>
    </row>
    <row r="71" spans="1:7" ht="19.5" customHeight="1">
      <c r="A71" s="3111" t="s">
        <v>2642</v>
      </c>
      <c r="B71" s="3111" t="s">
        <v>2643</v>
      </c>
      <c r="C71" s="3111" t="s">
        <v>2644</v>
      </c>
      <c r="D71" s="3111" t="s">
        <v>2645</v>
      </c>
      <c r="E71" s="3111" t="s">
        <v>2646</v>
      </c>
      <c r="F71" s="3111" t="s">
        <v>2647</v>
      </c>
    </row>
    <row r="72" spans="1:7" ht="13.5">
      <c r="A72" s="3111"/>
      <c r="B72" s="3111"/>
      <c r="C72" s="3111" t="s">
        <v>2648</v>
      </c>
      <c r="D72" s="3111"/>
      <c r="E72" s="3111" t="s">
        <v>2619</v>
      </c>
      <c r="F72" s="3111" t="s">
        <v>2619</v>
      </c>
    </row>
    <row r="73" spans="1:7" ht="13.5">
      <c r="A73" s="3111">
        <v>1</v>
      </c>
      <c r="B73" s="3806" t="s">
        <v>2649</v>
      </c>
      <c r="C73" s="3085" t="s">
        <v>2650</v>
      </c>
      <c r="D73" s="3085" t="s">
        <v>2651</v>
      </c>
      <c r="E73" s="3111">
        <v>0.2</v>
      </c>
      <c r="F73" s="3111">
        <v>25</v>
      </c>
    </row>
    <row r="74" spans="1:7" ht="24">
      <c r="A74" s="3111">
        <v>2</v>
      </c>
      <c r="B74" s="3801"/>
      <c r="C74" s="3085" t="s">
        <v>2652</v>
      </c>
      <c r="D74" s="3085" t="s">
        <v>2653</v>
      </c>
      <c r="E74" s="3111">
        <v>0.2</v>
      </c>
      <c r="F74" s="3111">
        <v>25</v>
      </c>
    </row>
    <row r="75" spans="1:7" ht="24">
      <c r="A75" s="3111">
        <v>3</v>
      </c>
      <c r="B75" s="3801"/>
      <c r="C75" s="3085" t="s">
        <v>2654</v>
      </c>
      <c r="D75" s="3085" t="s">
        <v>2655</v>
      </c>
      <c r="E75" s="3111">
        <v>0.2</v>
      </c>
      <c r="F75" s="3111">
        <v>25</v>
      </c>
    </row>
    <row r="76" spans="1:7" ht="13.5">
      <c r="A76" s="3111">
        <v>4</v>
      </c>
      <c r="B76" s="3801"/>
      <c r="C76" s="3085" t="s">
        <v>2656</v>
      </c>
      <c r="D76" s="3085" t="s">
        <v>2657</v>
      </c>
      <c r="E76" s="3111">
        <v>0.15</v>
      </c>
      <c r="F76" s="3111">
        <v>20</v>
      </c>
    </row>
    <row r="77" spans="1:7" ht="24">
      <c r="A77" s="3111">
        <v>5</v>
      </c>
      <c r="B77" s="3801"/>
      <c r="C77" s="3085" t="s">
        <v>2658</v>
      </c>
      <c r="D77" s="3085" t="s">
        <v>2659</v>
      </c>
      <c r="E77" s="3111">
        <v>0.15</v>
      </c>
      <c r="F77" s="3111">
        <v>20</v>
      </c>
    </row>
    <row r="78" spans="1:7" ht="24">
      <c r="A78" s="3111">
        <v>6</v>
      </c>
      <c r="B78" s="3801"/>
      <c r="C78" s="3085" t="s">
        <v>2660</v>
      </c>
      <c r="D78" s="3085" t="s">
        <v>2661</v>
      </c>
      <c r="E78" s="3111">
        <v>0.15</v>
      </c>
      <c r="F78" s="3111">
        <v>20</v>
      </c>
    </row>
    <row r="79" spans="1:7" ht="24">
      <c r="A79" s="3111">
        <v>7</v>
      </c>
      <c r="B79" s="3801"/>
      <c r="C79" s="3085" t="s">
        <v>2662</v>
      </c>
      <c r="D79" s="3085" t="s">
        <v>2663</v>
      </c>
      <c r="E79" s="3111">
        <v>0.15</v>
      </c>
      <c r="F79" s="3111">
        <v>20</v>
      </c>
    </row>
    <row r="80" spans="1:7" ht="24">
      <c r="A80" s="3111">
        <v>8</v>
      </c>
      <c r="B80" s="3801"/>
      <c r="C80" s="3085" t="s">
        <v>2664</v>
      </c>
      <c r="D80" s="3085" t="s">
        <v>2665</v>
      </c>
      <c r="E80" s="3111">
        <v>0.1</v>
      </c>
      <c r="F80" s="3111">
        <v>15</v>
      </c>
    </row>
    <row r="81" spans="1:6" ht="24">
      <c r="A81" s="3111">
        <v>9</v>
      </c>
      <c r="B81" s="3801"/>
      <c r="C81" s="3085" t="s">
        <v>2666</v>
      </c>
      <c r="D81" s="3085" t="s">
        <v>2667</v>
      </c>
      <c r="E81" s="3111">
        <v>0.1</v>
      </c>
      <c r="F81" s="3111">
        <v>15</v>
      </c>
    </row>
    <row r="82" spans="1:6" ht="24">
      <c r="A82" s="3111">
        <v>10</v>
      </c>
      <c r="B82" s="3801"/>
      <c r="C82" s="3085" t="s">
        <v>2668</v>
      </c>
      <c r="D82" s="3085" t="s">
        <v>2669</v>
      </c>
      <c r="E82" s="3111">
        <v>0.1</v>
      </c>
      <c r="F82" s="3111">
        <v>15</v>
      </c>
    </row>
    <row r="83" spans="1:6" ht="24">
      <c r="A83" s="3111">
        <v>11</v>
      </c>
      <c r="B83" s="3801"/>
      <c r="C83" s="3085" t="s">
        <v>2670</v>
      </c>
      <c r="D83" s="3085" t="s">
        <v>2671</v>
      </c>
      <c r="E83" s="3111">
        <v>0.1</v>
      </c>
      <c r="F83" s="3111">
        <v>15</v>
      </c>
    </row>
    <row r="84" spans="1:6" ht="24">
      <c r="A84" s="3111">
        <v>12</v>
      </c>
      <c r="B84" s="3801"/>
      <c r="C84" s="3085" t="s">
        <v>2672</v>
      </c>
      <c r="D84" s="3085" t="s">
        <v>2673</v>
      </c>
      <c r="E84" s="3111">
        <v>0.1</v>
      </c>
      <c r="F84" s="3111">
        <v>15</v>
      </c>
    </row>
    <row r="85" spans="1:6" ht="13.5">
      <c r="A85" s="3111">
        <v>13</v>
      </c>
      <c r="B85" s="3801"/>
      <c r="C85" s="3085" t="s">
        <v>2674</v>
      </c>
      <c r="D85" s="3085" t="s">
        <v>2675</v>
      </c>
      <c r="E85" s="3111">
        <v>0.1</v>
      </c>
      <c r="F85" s="3111">
        <v>15</v>
      </c>
    </row>
    <row r="86" spans="1:6" ht="13.5">
      <c r="A86" s="3111">
        <v>14</v>
      </c>
      <c r="B86" s="3801"/>
      <c r="C86" s="3085" t="s">
        <v>2676</v>
      </c>
      <c r="D86" s="3085" t="s">
        <v>2677</v>
      </c>
      <c r="E86" s="3111">
        <v>0.1</v>
      </c>
      <c r="F86" s="3111">
        <v>15</v>
      </c>
    </row>
    <row r="87" spans="1:6" ht="13.5">
      <c r="A87" s="3111">
        <v>15</v>
      </c>
      <c r="B87" s="3801"/>
      <c r="C87" s="3085" t="s">
        <v>2678</v>
      </c>
      <c r="D87" s="3085" t="s">
        <v>2679</v>
      </c>
      <c r="E87" s="3111">
        <v>0.1</v>
      </c>
      <c r="F87" s="3111">
        <v>15</v>
      </c>
    </row>
    <row r="88" spans="1:6" ht="24">
      <c r="A88" s="3111">
        <v>16</v>
      </c>
      <c r="B88" s="3801"/>
      <c r="C88" s="3085" t="s">
        <v>2680</v>
      </c>
      <c r="D88" s="3085" t="s">
        <v>2681</v>
      </c>
      <c r="E88" s="3111">
        <v>0.1</v>
      </c>
      <c r="F88" s="3111">
        <v>15</v>
      </c>
    </row>
    <row r="89" spans="1:6" ht="24">
      <c r="A89" s="3111">
        <v>17</v>
      </c>
      <c r="B89" s="3810"/>
      <c r="C89" s="3085" t="s">
        <v>2682</v>
      </c>
      <c r="D89" s="3085" t="s">
        <v>2683</v>
      </c>
      <c r="E89" s="3111">
        <v>0.1</v>
      </c>
      <c r="F89" s="3111">
        <v>15</v>
      </c>
    </row>
    <row r="90" spans="1:6" ht="13.5">
      <c r="A90" s="3111">
        <v>18</v>
      </c>
      <c r="B90" s="3806" t="s">
        <v>2684</v>
      </c>
      <c r="C90" s="3085" t="s">
        <v>2685</v>
      </c>
      <c r="D90" s="3085" t="s">
        <v>2686</v>
      </c>
      <c r="E90" s="3111">
        <v>0.2</v>
      </c>
      <c r="F90" s="3111">
        <v>25</v>
      </c>
    </row>
    <row r="91" spans="1:6" ht="24">
      <c r="A91" s="3111">
        <v>19</v>
      </c>
      <c r="B91" s="3801"/>
      <c r="C91" s="3085" t="s">
        <v>2687</v>
      </c>
      <c r="D91" s="3085" t="s">
        <v>2688</v>
      </c>
      <c r="E91" s="3111">
        <v>0.2</v>
      </c>
      <c r="F91" s="3111">
        <v>25</v>
      </c>
    </row>
    <row r="92" spans="1:6" ht="13.5">
      <c r="A92" s="3111">
        <v>20</v>
      </c>
      <c r="B92" s="3801"/>
      <c r="C92" s="3085" t="s">
        <v>2689</v>
      </c>
      <c r="D92" s="3085" t="s">
        <v>2690</v>
      </c>
      <c r="E92" s="3111">
        <v>0.15</v>
      </c>
      <c r="F92" s="3111">
        <v>20</v>
      </c>
    </row>
    <row r="93" spans="1:6" ht="13.5">
      <c r="A93" s="3111">
        <v>21</v>
      </c>
      <c r="B93" s="3801"/>
      <c r="C93" s="3085" t="s">
        <v>2691</v>
      </c>
      <c r="D93" s="3085" t="s">
        <v>2692</v>
      </c>
      <c r="E93" s="3111">
        <v>0.15</v>
      </c>
      <c r="F93" s="3111">
        <v>20</v>
      </c>
    </row>
    <row r="94" spans="1:6" ht="13.5">
      <c r="A94" s="3111">
        <v>22</v>
      </c>
      <c r="B94" s="3801"/>
      <c r="C94" s="3085" t="s">
        <v>2693</v>
      </c>
      <c r="D94" s="3085" t="s">
        <v>2694</v>
      </c>
      <c r="E94" s="3111">
        <v>0.15</v>
      </c>
      <c r="F94" s="3111">
        <v>20</v>
      </c>
    </row>
    <row r="95" spans="1:6" ht="36">
      <c r="A95" s="3111">
        <v>23</v>
      </c>
      <c r="B95" s="3801"/>
      <c r="C95" s="3085" t="s">
        <v>2695</v>
      </c>
      <c r="D95" s="3085" t="s">
        <v>2696</v>
      </c>
      <c r="E95" s="3111">
        <v>0.15</v>
      </c>
      <c r="F95" s="3111">
        <v>20</v>
      </c>
    </row>
    <row r="96" spans="1:6" ht="13.5">
      <c r="A96" s="3111">
        <v>24</v>
      </c>
      <c r="B96" s="3801"/>
      <c r="C96" s="3085" t="s">
        <v>2697</v>
      </c>
      <c r="D96" s="3085" t="s">
        <v>2698</v>
      </c>
      <c r="E96" s="3111">
        <v>0.1</v>
      </c>
      <c r="F96" s="3111">
        <v>15</v>
      </c>
    </row>
    <row r="97" spans="1:6" ht="13.5">
      <c r="A97" s="3111">
        <v>25</v>
      </c>
      <c r="B97" s="3801"/>
      <c r="C97" s="3085" t="s">
        <v>2699</v>
      </c>
      <c r="D97" s="3085" t="s">
        <v>2700</v>
      </c>
      <c r="E97" s="3111">
        <v>0.1</v>
      </c>
      <c r="F97" s="3111">
        <v>15</v>
      </c>
    </row>
    <row r="98" spans="1:6" ht="24">
      <c r="A98" s="3111">
        <v>26</v>
      </c>
      <c r="B98" s="3801"/>
      <c r="C98" s="3085" t="s">
        <v>2701</v>
      </c>
      <c r="D98" s="3085" t="s">
        <v>2702</v>
      </c>
      <c r="E98" s="3111">
        <v>0.1</v>
      </c>
      <c r="F98" s="3111">
        <v>15</v>
      </c>
    </row>
    <row r="99" spans="1:6" ht="24">
      <c r="A99" s="3111">
        <v>27</v>
      </c>
      <c r="B99" s="3801"/>
      <c r="C99" s="3085" t="s">
        <v>2703</v>
      </c>
      <c r="D99" s="3085" t="s">
        <v>2704</v>
      </c>
      <c r="E99" s="3111">
        <v>0.1</v>
      </c>
      <c r="F99" s="3111">
        <v>15</v>
      </c>
    </row>
    <row r="100" spans="1:6" ht="13.5">
      <c r="A100" s="3111">
        <v>28</v>
      </c>
      <c r="B100" s="3801"/>
      <c r="C100" s="3085" t="s">
        <v>2705</v>
      </c>
      <c r="D100" s="3085" t="s">
        <v>2706</v>
      </c>
      <c r="E100" s="3111">
        <v>0.1</v>
      </c>
      <c r="F100" s="3111">
        <v>15</v>
      </c>
    </row>
    <row r="101" spans="1:6" ht="13.5">
      <c r="A101" s="3111">
        <v>29</v>
      </c>
      <c r="B101" s="3801"/>
      <c r="C101" s="3085" t="s">
        <v>2707</v>
      </c>
      <c r="D101" s="3085" t="s">
        <v>2708</v>
      </c>
      <c r="E101" s="3111">
        <v>0.1</v>
      </c>
      <c r="F101" s="3111">
        <v>15</v>
      </c>
    </row>
    <row r="102" spans="1:6" ht="13.5">
      <c r="A102" s="3111">
        <v>30</v>
      </c>
      <c r="B102" s="3801"/>
      <c r="C102" s="3085" t="s">
        <v>2709</v>
      </c>
      <c r="D102" s="3085" t="s">
        <v>2710</v>
      </c>
      <c r="E102" s="3111">
        <v>0.1</v>
      </c>
      <c r="F102" s="3111">
        <v>15</v>
      </c>
    </row>
    <row r="103" spans="1:6" ht="24">
      <c r="A103" s="3111">
        <v>31</v>
      </c>
      <c r="B103" s="3801"/>
      <c r="C103" s="3085" t="s">
        <v>2711</v>
      </c>
      <c r="D103" s="3085" t="s">
        <v>2712</v>
      </c>
      <c r="E103" s="3111">
        <v>0.1</v>
      </c>
      <c r="F103" s="3111">
        <v>15</v>
      </c>
    </row>
    <row r="104" spans="1:6" ht="24">
      <c r="A104" s="3111">
        <v>32</v>
      </c>
      <c r="B104" s="3801"/>
      <c r="C104" s="3085" t="s">
        <v>2713</v>
      </c>
      <c r="D104" s="3085" t="s">
        <v>2714</v>
      </c>
      <c r="E104" s="3111">
        <v>0.1</v>
      </c>
      <c r="F104" s="3111">
        <v>15</v>
      </c>
    </row>
    <row r="105" spans="1:6" ht="24">
      <c r="A105" s="3111">
        <v>33</v>
      </c>
      <c r="B105" s="3801"/>
      <c r="C105" s="3085" t="s">
        <v>2715</v>
      </c>
      <c r="D105" s="3085" t="s">
        <v>2716</v>
      </c>
      <c r="E105" s="3111">
        <v>0.1</v>
      </c>
      <c r="F105" s="3111">
        <v>15</v>
      </c>
    </row>
    <row r="106" spans="1:6" ht="24">
      <c r="A106" s="3111">
        <v>34</v>
      </c>
      <c r="B106" s="3810"/>
      <c r="C106" s="3085" t="s">
        <v>2717</v>
      </c>
      <c r="D106" s="3085" t="s">
        <v>2718</v>
      </c>
      <c r="E106" s="3111">
        <v>0.1</v>
      </c>
      <c r="F106" s="3111">
        <v>15</v>
      </c>
    </row>
    <row r="107" spans="1:6" ht="24">
      <c r="A107" s="3111">
        <v>35</v>
      </c>
      <c r="B107" s="3806" t="s">
        <v>2719</v>
      </c>
      <c r="C107" s="3111" t="s">
        <v>2720</v>
      </c>
      <c r="D107" s="3085" t="s">
        <v>2721</v>
      </c>
      <c r="E107" s="3111">
        <v>0.15</v>
      </c>
      <c r="F107" s="3111">
        <v>20</v>
      </c>
    </row>
    <row r="108" spans="1:6" ht="13.5">
      <c r="A108" s="3111">
        <v>36</v>
      </c>
      <c r="B108" s="3801"/>
      <c r="C108" s="3111" t="s">
        <v>2722</v>
      </c>
      <c r="D108" s="3085" t="s">
        <v>2723</v>
      </c>
      <c r="E108" s="3111">
        <v>0.15</v>
      </c>
      <c r="F108" s="3111">
        <v>20</v>
      </c>
    </row>
    <row r="109" spans="1:6" ht="13.5">
      <c r="A109" s="3111">
        <v>37</v>
      </c>
      <c r="B109" s="3801"/>
      <c r="C109" s="3111" t="s">
        <v>2724</v>
      </c>
      <c r="D109" s="3085" t="s">
        <v>2725</v>
      </c>
      <c r="E109" s="3111">
        <v>0.15</v>
      </c>
      <c r="F109" s="3111">
        <v>20</v>
      </c>
    </row>
    <row r="110" spans="1:6" ht="13.5">
      <c r="A110" s="3111">
        <v>38</v>
      </c>
      <c r="B110" s="3801"/>
      <c r="C110" s="3111" t="s">
        <v>2726</v>
      </c>
      <c r="D110" s="3085" t="s">
        <v>2727</v>
      </c>
      <c r="E110" s="3111">
        <v>0.1</v>
      </c>
      <c r="F110" s="3111">
        <v>15</v>
      </c>
    </row>
    <row r="111" spans="1:6" ht="24">
      <c r="A111" s="3111">
        <v>39</v>
      </c>
      <c r="B111" s="3801"/>
      <c r="C111" s="3111" t="s">
        <v>2728</v>
      </c>
      <c r="D111" s="3085" t="s">
        <v>2729</v>
      </c>
      <c r="E111" s="3111">
        <v>0.1</v>
      </c>
      <c r="F111" s="3111">
        <v>15</v>
      </c>
    </row>
    <row r="112" spans="1:6" ht="24">
      <c r="A112" s="3111">
        <v>40</v>
      </c>
      <c r="B112" s="3810"/>
      <c r="C112" s="3111" t="s">
        <v>2730</v>
      </c>
      <c r="D112" s="3085" t="s">
        <v>2731</v>
      </c>
      <c r="E112" s="3111">
        <v>0.1</v>
      </c>
      <c r="F112" s="3111">
        <v>15</v>
      </c>
    </row>
    <row r="113" spans="1:6" ht="13.5">
      <c r="A113" s="3111">
        <v>41</v>
      </c>
      <c r="B113" s="3811" t="s">
        <v>2732</v>
      </c>
      <c r="C113" s="3111" t="s">
        <v>2733</v>
      </c>
      <c r="D113" s="3085" t="s">
        <v>2734</v>
      </c>
      <c r="E113" s="3111">
        <v>0.1</v>
      </c>
      <c r="F113" s="3111">
        <v>15</v>
      </c>
    </row>
    <row r="114" spans="1:6" ht="13.5">
      <c r="A114" s="3111">
        <v>42</v>
      </c>
      <c r="B114" s="3811"/>
      <c r="C114" s="3111" t="s">
        <v>2735</v>
      </c>
      <c r="D114" s="3085" t="s">
        <v>2736</v>
      </c>
      <c r="E114" s="3111">
        <v>0.1</v>
      </c>
      <c r="F114" s="3111">
        <v>15</v>
      </c>
    </row>
    <row r="115" spans="1:6" ht="24">
      <c r="A115" s="3111">
        <v>43</v>
      </c>
      <c r="B115" s="3811"/>
      <c r="C115" s="3111" t="s">
        <v>2737</v>
      </c>
      <c r="D115" s="3085" t="s">
        <v>2738</v>
      </c>
      <c r="E115" s="3111">
        <v>0.1</v>
      </c>
      <c r="F115" s="3111">
        <v>15</v>
      </c>
    </row>
    <row r="116" spans="1:6" ht="13.5">
      <c r="A116" s="3111">
        <v>44</v>
      </c>
      <c r="B116" s="3806" t="s">
        <v>2739</v>
      </c>
      <c r="C116" s="3111" t="s">
        <v>2740</v>
      </c>
      <c r="D116" s="3085" t="s">
        <v>2741</v>
      </c>
      <c r="E116" s="3111">
        <v>0.1</v>
      </c>
      <c r="F116" s="3111">
        <v>15</v>
      </c>
    </row>
    <row r="117" spans="1:6" ht="24">
      <c r="A117" s="3111">
        <v>45</v>
      </c>
      <c r="B117" s="3810"/>
      <c r="C117" s="3085" t="s">
        <v>2742</v>
      </c>
      <c r="D117" s="3085" t="s">
        <v>2743</v>
      </c>
      <c r="E117" s="3111">
        <v>0.1</v>
      </c>
      <c r="F117" s="3111">
        <v>15</v>
      </c>
    </row>
    <row r="118" spans="1:6" ht="24">
      <c r="A118" s="3111">
        <v>46</v>
      </c>
      <c r="B118" s="3806" t="s">
        <v>2744</v>
      </c>
      <c r="C118" s="3111" t="s">
        <v>2745</v>
      </c>
      <c r="D118" s="3085" t="s">
        <v>2746</v>
      </c>
      <c r="E118" s="3111">
        <v>0.1</v>
      </c>
      <c r="F118" s="3111">
        <v>15</v>
      </c>
    </row>
    <row r="119" spans="1:6" ht="24">
      <c r="A119" s="3111">
        <v>47</v>
      </c>
      <c r="B119" s="3810"/>
      <c r="C119" s="3111" t="s">
        <v>2747</v>
      </c>
      <c r="D119" s="3085" t="s">
        <v>2748</v>
      </c>
      <c r="E119" s="3111">
        <v>0.1</v>
      </c>
      <c r="F119" s="3111">
        <v>15</v>
      </c>
    </row>
    <row r="120" spans="1:6" ht="13.5">
      <c r="A120" s="3111">
        <v>48</v>
      </c>
      <c r="B120" s="3806" t="s">
        <v>2749</v>
      </c>
      <c r="C120" s="3111" t="s">
        <v>2750</v>
      </c>
      <c r="D120" s="3085" t="s">
        <v>2751</v>
      </c>
      <c r="E120" s="3111">
        <v>0.1</v>
      </c>
      <c r="F120" s="3111">
        <v>15</v>
      </c>
    </row>
    <row r="121" spans="1:6" ht="13.5">
      <c r="A121" s="3111">
        <v>49</v>
      </c>
      <c r="B121" s="3810"/>
      <c r="C121" s="3111" t="s">
        <v>2752</v>
      </c>
      <c r="D121" s="3085" t="s">
        <v>2753</v>
      </c>
      <c r="E121" s="3111">
        <v>0.1</v>
      </c>
      <c r="F121" s="3111">
        <v>15</v>
      </c>
    </row>
    <row r="122" spans="1:6" ht="24">
      <c r="A122" s="3111">
        <v>50</v>
      </c>
      <c r="B122" s="3811" t="s">
        <v>2754</v>
      </c>
      <c r="C122" s="3111" t="s">
        <v>2755</v>
      </c>
      <c r="D122" s="3085" t="s">
        <v>2756</v>
      </c>
      <c r="E122" s="3111">
        <v>0.1</v>
      </c>
      <c r="F122" s="3111">
        <v>15</v>
      </c>
    </row>
    <row r="123" spans="1:6" ht="24">
      <c r="A123" s="3111">
        <v>51</v>
      </c>
      <c r="B123" s="3811"/>
      <c r="C123" s="3111" t="s">
        <v>2757</v>
      </c>
      <c r="D123" s="3085" t="s">
        <v>2758</v>
      </c>
      <c r="E123" s="3111">
        <v>0.1</v>
      </c>
      <c r="F123" s="3111">
        <v>15</v>
      </c>
    </row>
    <row r="124" spans="1:6" ht="24">
      <c r="A124" s="3111">
        <v>52</v>
      </c>
      <c r="B124" s="3811" t="s">
        <v>2759</v>
      </c>
      <c r="C124" s="3111" t="s">
        <v>2760</v>
      </c>
      <c r="D124" s="3085" t="s">
        <v>2761</v>
      </c>
      <c r="E124" s="3111">
        <v>0.1</v>
      </c>
      <c r="F124" s="3111">
        <v>15</v>
      </c>
    </row>
    <row r="125" spans="1:6" ht="24">
      <c r="A125" s="3111">
        <v>53</v>
      </c>
      <c r="B125" s="3811"/>
      <c r="C125" s="3111" t="s">
        <v>2762</v>
      </c>
      <c r="D125" s="3085" t="s">
        <v>2763</v>
      </c>
      <c r="E125" s="3111">
        <v>0.1</v>
      </c>
      <c r="F125" s="3111">
        <v>15</v>
      </c>
    </row>
    <row r="126" spans="1:6" ht="13.5">
      <c r="A126" s="3111">
        <v>54</v>
      </c>
      <c r="B126" s="3111" t="s">
        <v>2764</v>
      </c>
      <c r="C126" s="3111" t="s">
        <v>2765</v>
      </c>
      <c r="D126" s="3085" t="s">
        <v>2766</v>
      </c>
      <c r="E126" s="3111">
        <v>0.1</v>
      </c>
      <c r="F126" s="3111">
        <v>15</v>
      </c>
    </row>
    <row r="127" spans="1:6" ht="13.5">
      <c r="A127" s="3111">
        <v>55</v>
      </c>
      <c r="B127" s="3811" t="s">
        <v>2767</v>
      </c>
      <c r="C127" s="3111" t="s">
        <v>2768</v>
      </c>
      <c r="D127" s="3085" t="s">
        <v>2769</v>
      </c>
      <c r="E127" s="3111">
        <v>0.1</v>
      </c>
      <c r="F127" s="3111">
        <v>15</v>
      </c>
    </row>
    <row r="128" spans="1:6" ht="13.5">
      <c r="A128" s="3111">
        <v>56</v>
      </c>
      <c r="B128" s="3811"/>
      <c r="C128" s="3111" t="s">
        <v>2770</v>
      </c>
      <c r="D128" s="3085" t="s">
        <v>2771</v>
      </c>
      <c r="E128" s="3111">
        <v>0.1</v>
      </c>
      <c r="F128" s="3111">
        <v>15</v>
      </c>
    </row>
    <row r="129" spans="1:6" ht="24">
      <c r="A129" s="3111">
        <v>57</v>
      </c>
      <c r="B129" s="3811"/>
      <c r="C129" s="3111" t="s">
        <v>2772</v>
      </c>
      <c r="D129" s="3085" t="s">
        <v>2773</v>
      </c>
      <c r="E129" s="3111">
        <v>0.1</v>
      </c>
      <c r="F129" s="3111">
        <v>15</v>
      </c>
    </row>
    <row r="130" spans="1:6" ht="24">
      <c r="A130" s="3111">
        <v>58</v>
      </c>
      <c r="B130" s="3811" t="s">
        <v>2774</v>
      </c>
      <c r="C130" s="3111" t="s">
        <v>2775</v>
      </c>
      <c r="D130" s="3085" t="s">
        <v>2776</v>
      </c>
      <c r="E130" s="3111">
        <v>0.1</v>
      </c>
      <c r="F130" s="3111">
        <v>15</v>
      </c>
    </row>
    <row r="131" spans="1:6" ht="13.5">
      <c r="A131" s="3111">
        <v>59</v>
      </c>
      <c r="B131" s="3811"/>
      <c r="C131" s="3111" t="s">
        <v>2777</v>
      </c>
      <c r="D131" s="3085" t="s">
        <v>2778</v>
      </c>
      <c r="E131" s="3111">
        <v>0.1</v>
      </c>
      <c r="F131" s="3111">
        <v>15</v>
      </c>
    </row>
    <row r="132" spans="1:6" ht="13.5">
      <c r="A132" s="3111">
        <v>60</v>
      </c>
      <c r="B132" s="3806" t="s">
        <v>2779</v>
      </c>
      <c r="C132" s="3111" t="s">
        <v>2780</v>
      </c>
      <c r="D132" s="3085" t="s">
        <v>2781</v>
      </c>
      <c r="E132" s="3111">
        <v>0.1</v>
      </c>
      <c r="F132" s="3111">
        <v>15</v>
      </c>
    </row>
    <row r="133" spans="1:6" ht="13.5">
      <c r="A133" s="3111">
        <v>61</v>
      </c>
      <c r="B133" s="3810"/>
      <c r="C133" s="3111" t="s">
        <v>2782</v>
      </c>
      <c r="D133" s="3085" t="s">
        <v>2783</v>
      </c>
      <c r="E133" s="3111">
        <v>0.1</v>
      </c>
      <c r="F133" s="3111">
        <v>15</v>
      </c>
    </row>
    <row r="134" spans="1:6" ht="24">
      <c r="A134" s="3111">
        <v>62</v>
      </c>
      <c r="B134" s="3111" t="s">
        <v>2784</v>
      </c>
      <c r="C134" s="3111" t="s">
        <v>2785</v>
      </c>
      <c r="D134" s="3085" t="s">
        <v>2786</v>
      </c>
      <c r="E134" s="3111">
        <v>0.1</v>
      </c>
      <c r="F134" s="3111">
        <v>15</v>
      </c>
    </row>
    <row r="135" spans="1:6" ht="13.5">
      <c r="A135" s="3111">
        <v>63</v>
      </c>
      <c r="B135" s="3811" t="s">
        <v>2787</v>
      </c>
      <c r="C135" s="3111" t="s">
        <v>2788</v>
      </c>
      <c r="D135" s="3085" t="s">
        <v>2789</v>
      </c>
      <c r="E135" s="3111">
        <v>0.1</v>
      </c>
      <c r="F135" s="3111">
        <v>15</v>
      </c>
    </row>
    <row r="136" spans="1:6" ht="13.5">
      <c r="A136" s="3111">
        <v>64</v>
      </c>
      <c r="B136" s="3811"/>
      <c r="C136" s="3111" t="s">
        <v>2790</v>
      </c>
      <c r="D136" s="3085" t="s">
        <v>2791</v>
      </c>
      <c r="E136" s="3111">
        <v>0.1</v>
      </c>
      <c r="F136" s="3111">
        <v>15</v>
      </c>
    </row>
    <row r="137" spans="1:6" ht="13.5">
      <c r="A137" s="3111">
        <v>65</v>
      </c>
      <c r="B137" s="3111" t="s">
        <v>2792</v>
      </c>
      <c r="C137" s="3111" t="s">
        <v>2793</v>
      </c>
      <c r="D137" s="3085" t="s">
        <v>2794</v>
      </c>
      <c r="E137" s="3111">
        <v>0.1</v>
      </c>
      <c r="F137" s="3111">
        <v>15</v>
      </c>
    </row>
    <row r="138" spans="1:6" ht="13.5">
      <c r="A138" s="3111"/>
      <c r="B138" s="3111"/>
      <c r="C138" s="3111"/>
      <c r="D138" s="3111"/>
      <c r="E138" s="3111" t="s">
        <v>2795</v>
      </c>
      <c r="F138" s="311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2796</v>
      </c>
      <c r="B1" s="3120"/>
      <c r="C1" s="3120"/>
      <c r="D1" s="3120"/>
      <c r="E1" s="3120"/>
      <c r="F1" s="3120"/>
      <c r="G1" s="3120"/>
      <c r="H1" s="3120"/>
      <c r="I1" s="3120"/>
      <c r="J1" s="3120"/>
      <c r="K1" s="3120"/>
      <c r="L1" s="3120"/>
      <c r="M1" s="3120"/>
      <c r="N1" s="745"/>
    </row>
    <row r="2" spans="1:20">
      <c r="A2" s="3121" t="s">
        <v>2797</v>
      </c>
      <c r="B2" s="3122" t="s">
        <v>2593</v>
      </c>
      <c r="C2" s="3122" t="s">
        <v>2594</v>
      </c>
      <c r="D2" s="3122" t="s">
        <v>2595</v>
      </c>
      <c r="E2" s="3122" t="s">
        <v>2596</v>
      </c>
      <c r="F2" s="3122" t="s">
        <v>2597</v>
      </c>
      <c r="G2" s="3122" t="s">
        <v>2598</v>
      </c>
      <c r="H2" s="3123" t="s">
        <v>2599</v>
      </c>
      <c r="I2" s="3123" t="s">
        <v>2600</v>
      </c>
      <c r="J2" s="3124" t="s">
        <v>2601</v>
      </c>
      <c r="K2" s="3124" t="s">
        <v>2602</v>
      </c>
      <c r="L2" s="3124" t="s">
        <v>2603</v>
      </c>
      <c r="M2" s="3125" t="s">
        <v>2604</v>
      </c>
      <c r="Q2" s="3135" t="s">
        <v>2802</v>
      </c>
      <c r="R2" s="3135" t="s">
        <v>2803</v>
      </c>
      <c r="S2" s="3135" t="s">
        <v>2804</v>
      </c>
      <c r="T2" s="3135" t="s">
        <v>2805</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2798</v>
      </c>
      <c r="B93" s="3120"/>
      <c r="C93" s="3120"/>
      <c r="D93" s="3120"/>
      <c r="E93" s="3120"/>
      <c r="F93" s="3120"/>
      <c r="G93" s="3120"/>
      <c r="H93" s="3120"/>
      <c r="I93" s="3120"/>
      <c r="J93" s="3120"/>
      <c r="K93" s="3120"/>
      <c r="L93" s="3120"/>
      <c r="M93" s="3120"/>
    </row>
    <row r="94" spans="1:20">
      <c r="A94" s="3121" t="s">
        <v>2797</v>
      </c>
      <c r="B94" s="3122" t="s">
        <v>2593</v>
      </c>
      <c r="C94" s="3122" t="s">
        <v>2594</v>
      </c>
      <c r="D94" s="3122" t="s">
        <v>2595</v>
      </c>
      <c r="E94" s="3122" t="s">
        <v>2596</v>
      </c>
      <c r="F94" s="3122" t="s">
        <v>2597</v>
      </c>
      <c r="G94" s="3122" t="s">
        <v>2598</v>
      </c>
      <c r="H94" s="3123" t="s">
        <v>2599</v>
      </c>
      <c r="I94" s="3123" t="s">
        <v>2600</v>
      </c>
      <c r="J94" s="3124" t="s">
        <v>2601</v>
      </c>
      <c r="K94" s="3124" t="s">
        <v>2602</v>
      </c>
      <c r="L94" s="3124" t="s">
        <v>2603</v>
      </c>
      <c r="M94" s="3125" t="s">
        <v>2604</v>
      </c>
      <c r="N94" s="746">
        <f>SUMPRODUCT((A95:A184=ROUNDDOWN(基准地价修正!G3,1))*(B94:M94=基准地价修正!G2)*(B95:M184))</f>
        <v>0</v>
      </c>
      <c r="Q94" s="3135" t="s">
        <v>2802</v>
      </c>
      <c r="R94" s="3135" t="s">
        <v>2803</v>
      </c>
      <c r="S94" s="3135" t="s">
        <v>2804</v>
      </c>
      <c r="T94" s="3135" t="s">
        <v>2805</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2799</v>
      </c>
      <c r="B185" s="3120"/>
      <c r="C185" s="3120"/>
      <c r="D185" s="3120"/>
      <c r="E185" s="3120"/>
      <c r="F185" s="3120"/>
      <c r="G185" s="3120"/>
      <c r="H185" s="3120"/>
      <c r="I185" s="3120"/>
      <c r="J185" s="3120"/>
      <c r="K185" s="3120"/>
      <c r="L185" s="3120"/>
      <c r="M185" s="3120"/>
    </row>
    <row r="186" spans="1:20">
      <c r="A186" s="3121" t="s">
        <v>2797</v>
      </c>
      <c r="B186" s="3122" t="s">
        <v>2593</v>
      </c>
      <c r="C186" s="3122" t="s">
        <v>2594</v>
      </c>
      <c r="D186" s="3122" t="s">
        <v>2595</v>
      </c>
      <c r="E186" s="3122" t="s">
        <v>2596</v>
      </c>
      <c r="F186" s="3122" t="s">
        <v>2597</v>
      </c>
      <c r="G186" s="3122" t="s">
        <v>2598</v>
      </c>
      <c r="H186" s="3123" t="s">
        <v>2599</v>
      </c>
      <c r="I186" s="3123" t="s">
        <v>2600</v>
      </c>
      <c r="J186" s="3124" t="s">
        <v>2601</v>
      </c>
      <c r="K186" s="3124" t="s">
        <v>2602</v>
      </c>
      <c r="L186" s="3124" t="s">
        <v>2603</v>
      </c>
      <c r="M186" s="3125" t="s">
        <v>2604</v>
      </c>
      <c r="Q186" s="3135" t="s">
        <v>2802</v>
      </c>
      <c r="R186" s="3135" t="s">
        <v>2803</v>
      </c>
      <c r="S186" s="3135" t="s">
        <v>2804</v>
      </c>
      <c r="T186" s="3135" t="s">
        <v>2805</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2800</v>
      </c>
      <c r="B277" s="3120"/>
      <c r="C277" s="3120"/>
      <c r="D277" s="3120"/>
      <c r="E277" s="3120"/>
      <c r="F277" s="3120"/>
      <c r="G277" s="3120"/>
      <c r="H277" s="3120"/>
      <c r="I277" s="3120"/>
      <c r="J277" s="3120"/>
      <c r="K277" s="3120"/>
      <c r="L277" s="3120"/>
      <c r="M277" s="3120"/>
    </row>
    <row r="278" spans="1:21">
      <c r="A278" s="3121" t="s">
        <v>2797</v>
      </c>
      <c r="B278" s="3122" t="s">
        <v>2593</v>
      </c>
      <c r="C278" s="3122" t="s">
        <v>2594</v>
      </c>
      <c r="D278" s="3122" t="s">
        <v>2595</v>
      </c>
      <c r="E278" s="3122" t="s">
        <v>2596</v>
      </c>
      <c r="F278" s="3122" t="s">
        <v>2597</v>
      </c>
      <c r="G278" s="3122" t="s">
        <v>2598</v>
      </c>
      <c r="H278" s="3123" t="s">
        <v>2599</v>
      </c>
      <c r="I278" s="3123" t="s">
        <v>2600</v>
      </c>
      <c r="J278" s="3124" t="s">
        <v>2601</v>
      </c>
      <c r="K278" s="3124" t="s">
        <v>2602</v>
      </c>
      <c r="L278" s="3124" t="s">
        <v>2603</v>
      </c>
      <c r="M278" s="3125" t="s">
        <v>2604</v>
      </c>
      <c r="Q278" s="3135" t="s">
        <v>2802</v>
      </c>
      <c r="R278" s="3135" t="s">
        <v>2803</v>
      </c>
      <c r="S278" s="3135" t="s">
        <v>2806</v>
      </c>
      <c r="T278" s="3135" t="s">
        <v>2807</v>
      </c>
      <c r="U278" s="3135" t="s">
        <v>2805</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2801</v>
      </c>
      <c r="B369" s="3133"/>
      <c r="C369" s="3133"/>
      <c r="D369" s="3133"/>
      <c r="E369" s="3133"/>
      <c r="F369" s="3133"/>
      <c r="G369" s="3133"/>
      <c r="H369" s="3133"/>
      <c r="I369" s="3133"/>
      <c r="J369" s="3133"/>
      <c r="K369" s="3133"/>
      <c r="L369" s="3133"/>
      <c r="M369" s="3133"/>
    </row>
    <row r="370" spans="1:20">
      <c r="A370" s="3121" t="s">
        <v>2797</v>
      </c>
      <c r="B370" s="3122" t="s">
        <v>2593</v>
      </c>
      <c r="C370" s="3122" t="s">
        <v>2594</v>
      </c>
      <c r="D370" s="3122" t="s">
        <v>2595</v>
      </c>
      <c r="E370" s="3122" t="s">
        <v>2596</v>
      </c>
      <c r="F370" s="3122" t="s">
        <v>2597</v>
      </c>
      <c r="G370" s="3122" t="s">
        <v>2598</v>
      </c>
      <c r="H370" s="3123" t="s">
        <v>2599</v>
      </c>
      <c r="I370" s="3123" t="s">
        <v>2600</v>
      </c>
      <c r="J370" s="3124" t="s">
        <v>2601</v>
      </c>
      <c r="K370" s="3124" t="s">
        <v>2602</v>
      </c>
      <c r="L370" s="3124" t="s">
        <v>2603</v>
      </c>
      <c r="M370" s="3125" t="s">
        <v>2604</v>
      </c>
      <c r="N370" s="746">
        <f>SUMPRODUCT((A371:A460=ROUNDDOWN(基准地价修正!G3,1))*(B370:M370=基准地价修正!G2)*(B371:M460))</f>
        <v>0</v>
      </c>
      <c r="Q370" s="3135" t="s">
        <v>2802</v>
      </c>
      <c r="R370" s="3135" t="s">
        <v>2803</v>
      </c>
      <c r="S370" s="3135" t="s">
        <v>2804</v>
      </c>
      <c r="T370" s="3135" t="s">
        <v>2805</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28400</v>
      </c>
      <c r="C2" s="2" t="s">
        <v>106</v>
      </c>
      <c r="D2" s="199"/>
      <c r="E2" s="199"/>
      <c r="F2" s="199"/>
      <c r="G2" s="199"/>
    </row>
    <row r="3" spans="1:7" s="200" customFormat="1" ht="18" customHeight="1" thickBot="1">
      <c r="A3" s="203" t="s">
        <v>58</v>
      </c>
      <c r="B3" s="204">
        <f ca="1">ROUND(B2*10000/'数据-汇总表'!E3,0)</f>
        <v>417622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450</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14</v>
      </c>
      <c r="D10" s="841">
        <f>'数据-汇总表'!E6</f>
        <v>680.04</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14</v>
      </c>
      <c r="D19" s="845">
        <f>'数据-汇总表'!E3</f>
        <v>680.04</v>
      </c>
      <c r="E19" s="211">
        <f>'数据-取费表'!B31</f>
        <v>200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1764</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3155</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3155</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267</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237</v>
      </c>
      <c r="D34" s="217"/>
      <c r="E34" s="220"/>
      <c r="F34" s="257">
        <f>IF('数据-取费表'!B24=0,1,'数据-取费表'!N16)</f>
        <v>1</v>
      </c>
      <c r="G34" s="219" t="s">
        <v>89</v>
      </c>
    </row>
    <row r="35" spans="1:7" ht="13.5" customHeight="1">
      <c r="A35" s="776" t="s">
        <v>351</v>
      </c>
      <c r="B35" s="215" t="s">
        <v>33</v>
      </c>
      <c r="C35" s="220">
        <f>ROUND(C34*F35,0)</f>
        <v>12</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14</v>
      </c>
      <c r="D37" s="217">
        <f>'数据-汇总表'!E3</f>
        <v>680.04</v>
      </c>
      <c r="E37" s="249">
        <f>'数据-取费表'!B35</f>
        <v>200</v>
      </c>
      <c r="F37" s="259"/>
      <c r="G37" s="261" t="s">
        <v>92</v>
      </c>
    </row>
    <row r="38" spans="1:7" ht="13.5" customHeight="1">
      <c r="A38" s="776" t="s">
        <v>354</v>
      </c>
      <c r="B38" s="215" t="s">
        <v>36</v>
      </c>
      <c r="C38" s="220">
        <f>ROUND(C34*F38,0)</f>
        <v>4</v>
      </c>
      <c r="D38" s="220"/>
      <c r="E38" s="220"/>
      <c r="F38" s="259">
        <f>'数据-取费表'!B36</f>
        <v>1.4999999999999999E-2</v>
      </c>
      <c r="G38" s="219" t="s">
        <v>90</v>
      </c>
    </row>
    <row r="39" spans="1:7" s="214" customFormat="1" ht="13.5" customHeight="1">
      <c r="A39" s="773" t="s">
        <v>338</v>
      </c>
      <c r="B39" s="210" t="s">
        <v>77</v>
      </c>
      <c r="C39" s="232">
        <f>ROUND(C33*F20,0)</f>
        <v>5</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11</v>
      </c>
      <c r="D42" s="238"/>
      <c r="E42" s="238"/>
      <c r="F42" s="239"/>
      <c r="G42" s="3675" t="s">
        <v>94</v>
      </c>
    </row>
    <row r="43" spans="1:7" ht="13.5" customHeight="1">
      <c r="A43" s="776" t="s">
        <v>347</v>
      </c>
      <c r="B43" s="215" t="s">
        <v>426</v>
      </c>
      <c r="C43" s="238">
        <f ca="1">ROUND(IF('数据-取费表'!B22&lt;=1,C39*F22*'数据-取费表'!B21/2,C39*(POWER((1+F22),'数据-取费表'!B21/2)-1)),0)</f>
        <v>0</v>
      </c>
      <c r="D43" s="238"/>
      <c r="E43" s="238"/>
      <c r="F43" s="239"/>
      <c r="G43" s="3676"/>
    </row>
    <row r="44" spans="1:7" ht="13.5" customHeight="1">
      <c r="A44" s="776" t="s">
        <v>348</v>
      </c>
      <c r="B44" s="215" t="s">
        <v>428</v>
      </c>
      <c r="C44" s="238">
        <f ca="1">ROUND(IF('数据-取费表'!B22&lt;=1,C40*F22*'数据-取费表'!B21/2,C40*(POWER((1+F22),'数据-取费表'!B21/2)-1)),4)</f>
        <v>8.0000000000000004E-4</v>
      </c>
      <c r="D44" s="238"/>
      <c r="E44" s="238"/>
      <c r="F44" s="239"/>
      <c r="G44" s="3677"/>
    </row>
    <row r="45" spans="1:7" s="214" customFormat="1" ht="13.5" customHeight="1">
      <c r="A45" s="773" t="s">
        <v>341</v>
      </c>
      <c r="B45" s="244" t="s">
        <v>85</v>
      </c>
      <c r="C45" s="245">
        <f>C46</f>
        <v>41</v>
      </c>
      <c r="D45" s="235">
        <f>C47</f>
        <v>3.0000000000000001E-3</v>
      </c>
      <c r="E45" s="236" t="s">
        <v>102</v>
      </c>
      <c r="F45" s="246"/>
      <c r="G45" s="247" t="s">
        <v>434</v>
      </c>
    </row>
    <row r="46" spans="1:7" s="214" customFormat="1" ht="13.5" customHeight="1">
      <c r="A46" s="776" t="s">
        <v>349</v>
      </c>
      <c r="B46" s="248" t="s">
        <v>427</v>
      </c>
      <c r="C46" s="249">
        <f>ROUND((C33+C39)*F27,0)</f>
        <v>41</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351</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305</v>
      </c>
      <c r="D51" s="232"/>
      <c r="E51" s="232"/>
      <c r="F51" s="264"/>
      <c r="G51" s="234" t="s">
        <v>37</v>
      </c>
    </row>
    <row r="52" spans="1:7" s="208" customFormat="1" ht="16.5" thickBot="1">
      <c r="A52" s="265" t="s">
        <v>38</v>
      </c>
      <c r="B52" s="266"/>
      <c r="C52" s="267">
        <f ca="1">C31+C51</f>
        <v>28400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4" t="s">
        <v>2841</v>
      </c>
      <c r="B1" s="3814"/>
      <c r="C1" s="3814"/>
      <c r="D1" s="3814"/>
      <c r="E1" s="3814"/>
      <c r="F1" s="3814"/>
      <c r="G1" s="3815"/>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12" t="s">
        <v>2868</v>
      </c>
      <c r="B3" s="3223"/>
      <c r="C3" s="3224" t="s">
        <v>2809</v>
      </c>
      <c r="D3" s="3224" t="s">
        <v>2869</v>
      </c>
      <c r="E3" s="3224" t="s">
        <v>2811</v>
      </c>
      <c r="F3" s="3224" t="s">
        <v>2870</v>
      </c>
      <c r="G3" s="3224" t="s">
        <v>2629</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13"/>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6" t="s">
        <v>3183</v>
      </c>
      <c r="B1" s="3816"/>
    </row>
    <row r="2" spans="1:7" ht="14.25" thickBot="1">
      <c r="A2" s="3248"/>
      <c r="B2" s="3248"/>
    </row>
    <row r="3" spans="1:7" ht="14.25" thickBot="1">
      <c r="A3" s="3248"/>
      <c r="B3" s="3248"/>
      <c r="C3" s="3249" t="s">
        <v>2809</v>
      </c>
      <c r="D3" s="3249" t="s">
        <v>2869</v>
      </c>
      <c r="E3" s="3249" t="s">
        <v>2811</v>
      </c>
      <c r="F3" s="3249" t="s">
        <v>2870</v>
      </c>
      <c r="G3" s="3249" t="s">
        <v>2629</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7" t="s">
        <v>3234</v>
      </c>
      <c r="B1" s="3817"/>
      <c r="C1" s="3817"/>
      <c r="D1" s="3817"/>
      <c r="E1" s="3817"/>
      <c r="F1" s="3818"/>
    </row>
    <row r="2" spans="1:6">
      <c r="A2" s="3284" t="s">
        <v>3235</v>
      </c>
      <c r="B2" s="3285"/>
      <c r="C2" s="3285"/>
      <c r="D2" s="3285"/>
      <c r="E2" s="3285"/>
      <c r="F2" s="3285"/>
    </row>
    <row r="3" spans="1:6">
      <c r="A3" s="3284" t="s">
        <v>3236</v>
      </c>
      <c r="B3" s="3285"/>
      <c r="C3" s="3285"/>
      <c r="D3" s="3285"/>
      <c r="E3" s="3285"/>
      <c r="F3" s="3286" t="s">
        <v>3237</v>
      </c>
    </row>
    <row r="4" spans="1:6">
      <c r="A4" s="3287" t="s">
        <v>668</v>
      </c>
      <c r="B4" s="3287" t="s">
        <v>669</v>
      </c>
      <c r="C4" s="3287" t="s">
        <v>21</v>
      </c>
      <c r="D4" s="3287" t="s">
        <v>670</v>
      </c>
      <c r="E4" s="3287" t="s">
        <v>3</v>
      </c>
      <c r="F4" s="3287" t="s">
        <v>3238</v>
      </c>
    </row>
    <row r="5" spans="1:6">
      <c r="A5" s="3288" t="s">
        <v>671</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4">
        <f>基准地价修正!G23</f>
        <v>45034</v>
      </c>
      <c r="B1" s="3203" t="s">
        <v>2840</v>
      </c>
      <c r="C1" s="3204"/>
      <c r="D1" s="3204"/>
      <c r="E1" s="3204"/>
      <c r="F1" s="3204"/>
      <c r="G1" s="3204"/>
      <c r="H1" s="3204"/>
      <c r="I1" s="3204"/>
      <c r="J1" s="3158"/>
      <c r="K1" s="3204" t="s">
        <v>453</v>
      </c>
      <c r="L1" s="3204"/>
      <c r="M1" s="3204"/>
      <c r="N1" s="3204"/>
      <c r="O1" s="3204"/>
      <c r="P1" s="3204"/>
      <c r="Q1" s="3158"/>
      <c r="R1" s="3819" t="s">
        <v>455</v>
      </c>
      <c r="S1" s="3820"/>
      <c r="T1" s="3820"/>
      <c r="U1" s="3820"/>
      <c r="V1" s="3820"/>
      <c r="W1" s="3820"/>
      <c r="X1" s="3158"/>
      <c r="Y1" s="3819" t="s">
        <v>456</v>
      </c>
      <c r="Z1" s="3820"/>
      <c r="AA1" s="3820"/>
      <c r="AB1" s="3820"/>
      <c r="AC1" s="3820"/>
      <c r="AD1" s="3820"/>
    </row>
    <row r="2" spans="1:30" s="3136" customFormat="1" ht="14.25" thickBot="1">
      <c r="B2" s="3137"/>
      <c r="C2" s="3138"/>
      <c r="D2" s="3139" t="s">
        <v>2808</v>
      </c>
      <c r="E2" s="3140" t="s">
        <v>2809</v>
      </c>
      <c r="F2" s="3140" t="s">
        <v>2810</v>
      </c>
      <c r="G2" s="3140" t="s">
        <v>2811</v>
      </c>
      <c r="H2" s="3140" t="s">
        <v>2812</v>
      </c>
      <c r="I2" s="3140" t="s">
        <v>2629</v>
      </c>
      <c r="J2" s="3141"/>
      <c r="K2" s="3139" t="s">
        <v>2808</v>
      </c>
      <c r="L2" s="3140" t="s">
        <v>2809</v>
      </c>
      <c r="M2" s="3140" t="s">
        <v>2810</v>
      </c>
      <c r="N2" s="3140" t="s">
        <v>2811</v>
      </c>
      <c r="O2" s="3140" t="s">
        <v>2813</v>
      </c>
      <c r="P2" s="3140" t="s">
        <v>2629</v>
      </c>
      <c r="Q2" s="3141"/>
      <c r="R2" s="3139" t="s">
        <v>2808</v>
      </c>
      <c r="S2" s="3140" t="s">
        <v>2809</v>
      </c>
      <c r="T2" s="3140" t="s">
        <v>2810</v>
      </c>
      <c r="U2" s="3140" t="s">
        <v>2814</v>
      </c>
      <c r="V2" s="3140" t="s">
        <v>2815</v>
      </c>
      <c r="W2" s="3140" t="s">
        <v>2629</v>
      </c>
      <c r="X2" s="3141"/>
      <c r="Y2" s="3139" t="s">
        <v>2808</v>
      </c>
      <c r="Z2" s="3140" t="s">
        <v>2809</v>
      </c>
      <c r="AA2" s="3140" t="s">
        <v>2810</v>
      </c>
      <c r="AB2" s="3140" t="s">
        <v>2816</v>
      </c>
      <c r="AC2" s="3140" t="s">
        <v>2815</v>
      </c>
      <c r="AD2" s="3140" t="s">
        <v>2629</v>
      </c>
    </row>
    <row r="3" spans="1:30" s="3154" customFormat="1" ht="12.75">
      <c r="A3" s="3142" t="s">
        <v>2817</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3372</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3373</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3371</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2818</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2819</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3366</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3357</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2820</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2821</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2822</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2823</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2824</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3369</v>
      </c>
    </row>
    <row r="19" spans="1:30" s="3002" customFormat="1">
      <c r="I19" s="3201" t="s">
        <v>2825</v>
      </c>
    </row>
    <row r="20" spans="1:30" s="3002" customFormat="1"/>
    <row r="21" spans="1:30" s="3202" customFormat="1" ht="12.75">
      <c r="B21" s="3203" t="s">
        <v>2826</v>
      </c>
      <c r="C21" s="3204"/>
      <c r="D21" s="3204"/>
      <c r="E21" s="3204"/>
      <c r="F21" s="3204"/>
      <c r="G21" s="3204"/>
      <c r="H21" s="3204"/>
      <c r="I21" s="3204"/>
      <c r="J21" s="3158"/>
      <c r="K21" s="3204" t="s">
        <v>2827</v>
      </c>
      <c r="L21" s="3204"/>
      <c r="M21" s="3204"/>
      <c r="N21" s="3204"/>
      <c r="O21" s="3204"/>
      <c r="P21" s="3204"/>
      <c r="Q21" s="3158"/>
      <c r="R21" s="3819" t="s">
        <v>2828</v>
      </c>
      <c r="S21" s="3820"/>
      <c r="T21" s="3820"/>
      <c r="U21" s="3820"/>
      <c r="V21" s="3820"/>
      <c r="W21" s="3820"/>
      <c r="X21" s="3158"/>
      <c r="Y21" s="3819" t="s">
        <v>2829</v>
      </c>
      <c r="Z21" s="3820"/>
      <c r="AA21" s="3820"/>
      <c r="AB21" s="3820"/>
      <c r="AC21" s="3820"/>
      <c r="AD21" s="3820"/>
    </row>
    <row r="22" spans="1:30" s="3136" customFormat="1" ht="14.25" thickBot="1">
      <c r="B22" s="3137"/>
      <c r="C22" s="3138"/>
      <c r="D22" s="3139" t="s">
        <v>2830</v>
      </c>
      <c r="E22" s="3140" t="s">
        <v>2831</v>
      </c>
      <c r="F22" s="3140" t="s">
        <v>2832</v>
      </c>
      <c r="G22" s="3140" t="s">
        <v>2833</v>
      </c>
      <c r="H22" s="3140"/>
      <c r="I22" s="3140" t="s">
        <v>2834</v>
      </c>
      <c r="J22" s="3141"/>
      <c r="K22" s="3139" t="s">
        <v>2830</v>
      </c>
      <c r="L22" s="3140" t="s">
        <v>2831</v>
      </c>
      <c r="M22" s="3140" t="s">
        <v>2832</v>
      </c>
      <c r="N22" s="3140" t="s">
        <v>2833</v>
      </c>
      <c r="O22" s="3140"/>
      <c r="P22" s="3140" t="s">
        <v>2834</v>
      </c>
      <c r="Q22" s="3141"/>
      <c r="R22" s="3139" t="s">
        <v>2830</v>
      </c>
      <c r="S22" s="3140" t="s">
        <v>2831</v>
      </c>
      <c r="T22" s="3140" t="s">
        <v>2832</v>
      </c>
      <c r="U22" s="3140" t="s">
        <v>2833</v>
      </c>
      <c r="V22" s="3140"/>
      <c r="W22" s="3140" t="s">
        <v>2834</v>
      </c>
      <c r="X22" s="3141"/>
      <c r="Y22" s="3139" t="s">
        <v>2830</v>
      </c>
      <c r="Z22" s="3140" t="s">
        <v>2831</v>
      </c>
      <c r="AA22" s="3140" t="s">
        <v>2832</v>
      </c>
      <c r="AB22" s="3140" t="s">
        <v>2833</v>
      </c>
      <c r="AC22" s="3140"/>
      <c r="AD22" s="3140" t="s">
        <v>2834</v>
      </c>
    </row>
    <row r="23" spans="1:30" s="3154" customFormat="1" ht="12.75">
      <c r="A23" s="3142" t="s">
        <v>2835</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3372</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3373</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1"/>
      <c r="AB26" s="3441"/>
      <c r="AC26" s="3206"/>
      <c r="AD26" s="3177"/>
    </row>
    <row r="27" spans="1:30" s="3178" customFormat="1" ht="12.75">
      <c r="A27" s="3169" t="s">
        <v>3371</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1"/>
      <c r="AB27" s="3441"/>
      <c r="AC27" s="3206"/>
      <c r="AD27" s="3177"/>
    </row>
    <row r="28" spans="1:30" s="3178" customFormat="1" ht="12.75">
      <c r="A28" s="3169" t="s">
        <v>2818</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1"/>
      <c r="AB28" s="3441"/>
      <c r="AC28" s="3206"/>
      <c r="AD28" s="3177"/>
    </row>
    <row r="29" spans="1:30" s="3188" customFormat="1" ht="12.75">
      <c r="A29" s="3179" t="s">
        <v>3367</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3368</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3357</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2836</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2837</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2838</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2839</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2824</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924</v>
      </c>
      <c r="B2" s="3504" t="s">
        <v>925</v>
      </c>
      <c r="C2" s="3504" t="s">
        <v>926</v>
      </c>
      <c r="D2" s="3504" t="str">
        <f>结果表501!D116</f>
        <v>出让国有建设用地使用权价值</v>
      </c>
      <c r="E2" s="3504"/>
      <c r="F2" s="3504" t="str">
        <f>结果表501!F116</f>
        <v>在建建筑物价值</v>
      </c>
      <c r="G2" s="3504"/>
      <c r="H2" s="3504" t="str">
        <f>IF(项目基本情况!B9="房地产市场价值","房地产市场价值","房地产价值")</f>
        <v>房地产价值</v>
      </c>
      <c r="I2" s="3504"/>
    </row>
    <row r="3" spans="1:9" ht="15">
      <c r="A3" s="3505"/>
      <c r="B3" s="3505"/>
      <c r="C3" s="3505"/>
      <c r="D3" s="850" t="s">
        <v>921</v>
      </c>
      <c r="E3" s="850" t="s">
        <v>927</v>
      </c>
      <c r="F3" s="850" t="s">
        <v>921</v>
      </c>
      <c r="G3" s="850" t="s">
        <v>922</v>
      </c>
      <c r="H3" s="850" t="s">
        <v>921</v>
      </c>
      <c r="I3" s="850" t="s">
        <v>922</v>
      </c>
    </row>
    <row r="4" spans="1:9" ht="15">
      <c r="A4" s="1501" t="str">
        <f>项目基本情况!S2</f>
        <v>北京市金星西路501房地产</v>
      </c>
      <c r="B4" s="850">
        <f>项目基本情况!C17</f>
        <v>680.04</v>
      </c>
      <c r="C4" s="850">
        <f>项目基本情况!C18</f>
        <v>0</v>
      </c>
      <c r="D4" s="850">
        <f>结果表501!D118</f>
        <v>0</v>
      </c>
      <c r="E4" s="850">
        <f>结果表501!E118</f>
        <v>0</v>
      </c>
      <c r="F4" s="850">
        <f>结果表501!F118</f>
        <v>0</v>
      </c>
      <c r="G4" s="850">
        <f>结果表501!G118</f>
        <v>0</v>
      </c>
      <c r="H4" s="850">
        <f ca="1">结果表501!H118</f>
        <v>548</v>
      </c>
      <c r="I4" s="850">
        <f ca="1">结果表501!I118</f>
        <v>25122</v>
      </c>
    </row>
    <row r="5" spans="1:9" ht="30" customHeight="1">
      <c r="A5" s="3505" t="s">
        <v>923</v>
      </c>
      <c r="B5" s="3505"/>
      <c r="C5" s="3505"/>
      <c r="D5" s="3505" t="str">
        <f>结果表501!D119</f>
        <v>零元整</v>
      </c>
      <c r="E5" s="3505"/>
      <c r="F5" s="3505" t="str">
        <f>结果表501!F119</f>
        <v>零元整</v>
      </c>
      <c r="G5" s="3505"/>
      <c r="H5" s="3505" t="str">
        <f ca="1">结果表501!H119</f>
        <v>伍佰肆拾捌万元整</v>
      </c>
      <c r="I5" s="3505"/>
    </row>
    <row r="6" spans="1:9" ht="15.75">
      <c r="A6" s="3506" t="str">
        <f>结果表501!A120</f>
        <v>估价师知悉的法定优先受偿款</v>
      </c>
      <c r="B6" s="3506"/>
      <c r="C6" s="3506"/>
      <c r="D6" s="3506">
        <f>结果表501!D120</f>
        <v>0</v>
      </c>
      <c r="E6" s="3506"/>
      <c r="F6" s="3506"/>
      <c r="G6" s="3506"/>
      <c r="H6" s="3506"/>
      <c r="I6" s="3506"/>
    </row>
    <row r="7" spans="1:9" ht="15">
      <c r="A7" s="3505" t="s">
        <v>923</v>
      </c>
      <c r="B7" s="3505"/>
      <c r="C7" s="3505"/>
      <c r="D7" s="3507" t="str">
        <f>结果表501!D121</f>
        <v>零元整</v>
      </c>
      <c r="E7" s="3508"/>
      <c r="F7" s="3508"/>
      <c r="G7" s="3508"/>
      <c r="H7" s="3508"/>
      <c r="I7" s="3509"/>
    </row>
    <row r="8" spans="1:9" ht="15.75">
      <c r="A8" s="3506" t="str">
        <f>结果表501!A122</f>
        <v>房地产抵押价值</v>
      </c>
      <c r="B8" s="3506"/>
      <c r="C8" s="3506"/>
      <c r="D8" s="3506">
        <f ca="1">结果表501!D122</f>
        <v>548</v>
      </c>
      <c r="E8" s="3506"/>
      <c r="F8" s="3506"/>
      <c r="G8" s="3506"/>
      <c r="H8" s="3506"/>
      <c r="I8" s="3506"/>
    </row>
    <row r="9" spans="1:9" ht="15">
      <c r="A9" s="3505" t="s">
        <v>923</v>
      </c>
      <c r="B9" s="3505"/>
      <c r="C9" s="3505"/>
      <c r="D9" s="3505" t="str">
        <f ca="1">结果表501!D123</f>
        <v>伍佰肆拾捌万元整</v>
      </c>
      <c r="E9" s="3505"/>
      <c r="F9" s="3505"/>
      <c r="G9" s="3505"/>
      <c r="H9" s="3505"/>
      <c r="I9" s="3505"/>
    </row>
    <row r="10" spans="1:9" ht="15.75">
      <c r="A10" s="3506" t="str">
        <f>结果表501!A124</f>
        <v/>
      </c>
      <c r="B10" s="3506"/>
      <c r="C10" s="3506"/>
      <c r="D10" s="3506" t="str">
        <f>结果表501!D124</f>
        <v>——</v>
      </c>
      <c r="E10" s="3506"/>
      <c r="F10" s="3506"/>
      <c r="G10" s="3506"/>
      <c r="H10" s="3506"/>
      <c r="I10" s="3506"/>
    </row>
    <row r="11" spans="1:9" ht="15">
      <c r="A11" s="3505" t="s">
        <v>923</v>
      </c>
      <c r="B11" s="3505"/>
      <c r="C11" s="3505"/>
      <c r="D11" s="3505" t="e">
        <f>结果表501!D125</f>
        <v>#VALUE!</v>
      </c>
      <c r="E11" s="3505"/>
      <c r="F11" s="3505"/>
      <c r="G11" s="3505"/>
      <c r="H11" s="3505"/>
      <c r="I11" s="3505"/>
    </row>
    <row r="12" spans="1:9" ht="15.75">
      <c r="A12" s="3506" t="str">
        <f>结果表501!A126</f>
        <v/>
      </c>
      <c r="B12" s="3506"/>
      <c r="C12" s="3506"/>
      <c r="D12" s="3506" t="str">
        <f>结果表501!D126</f>
        <v>——</v>
      </c>
      <c r="E12" s="3506"/>
      <c r="F12" s="3506"/>
      <c r="G12" s="3506"/>
      <c r="H12" s="3506"/>
      <c r="I12" s="3506"/>
    </row>
    <row r="13" spans="1:9" ht="15.75" thickBot="1">
      <c r="A13" s="3510" t="s">
        <v>923</v>
      </c>
      <c r="B13" s="3510"/>
      <c r="C13" s="3510"/>
      <c r="D13" s="3510" t="e">
        <f>结果表501!D127</f>
        <v>#VALUE!</v>
      </c>
      <c r="E13" s="3510"/>
      <c r="F13" s="3510"/>
      <c r="G13" s="3510"/>
      <c r="H13" s="3510"/>
      <c r="I13" s="3510"/>
    </row>
    <row r="14" spans="1:9" ht="15" thickTop="1">
      <c r="A14" s="3511" t="s">
        <v>928</v>
      </c>
      <c r="B14" s="3511"/>
      <c r="C14" s="3511"/>
      <c r="D14" s="3511"/>
      <c r="E14" s="3511"/>
      <c r="F14" s="3511"/>
      <c r="G14" s="3511"/>
      <c r="H14" s="3511"/>
      <c r="I14" s="3511"/>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26" t="s">
        <v>451</v>
      </c>
      <c r="C1" s="3826"/>
      <c r="D1" s="3826"/>
      <c r="E1" s="3826"/>
      <c r="F1" s="3826"/>
      <c r="G1" s="3822" t="s">
        <v>452</v>
      </c>
      <c r="H1" s="3822"/>
      <c r="I1" s="3822"/>
      <c r="J1" s="3822"/>
      <c r="K1" s="3822"/>
      <c r="L1" s="3822"/>
      <c r="N1" s="3822" t="s">
        <v>453</v>
      </c>
      <c r="O1" s="3822"/>
      <c r="P1" s="3822"/>
      <c r="Q1" s="3822"/>
      <c r="S1" s="3822" t="s">
        <v>454</v>
      </c>
      <c r="T1" s="3822"/>
      <c r="U1" s="3822"/>
      <c r="V1" s="3822"/>
      <c r="X1" s="3821" t="s">
        <v>455</v>
      </c>
      <c r="Y1" s="3822"/>
      <c r="Z1" s="3822"/>
      <c r="AA1" s="3822"/>
      <c r="AB1" s="3822"/>
      <c r="AD1" s="3821" t="s">
        <v>456</v>
      </c>
      <c r="AE1" s="3822"/>
      <c r="AF1" s="3822"/>
      <c r="AG1" s="3822"/>
      <c r="AH1" s="3822"/>
    </row>
    <row r="2" spans="1:34" s="2167" customFormat="1" ht="14.25" thickBot="1">
      <c r="B2" s="2168" t="s">
        <v>457</v>
      </c>
      <c r="C2" s="2168" t="s">
        <v>458</v>
      </c>
      <c r="D2" s="2169" t="s">
        <v>459</v>
      </c>
      <c r="E2" s="2169" t="s">
        <v>460</v>
      </c>
      <c r="F2" s="2168" t="s">
        <v>461</v>
      </c>
      <c r="G2" s="2170"/>
      <c r="I2" s="2168" t="s">
        <v>457</v>
      </c>
      <c r="J2" s="2169" t="s">
        <v>672</v>
      </c>
      <c r="K2" s="2169" t="s">
        <v>308</v>
      </c>
      <c r="L2" s="2168" t="s">
        <v>461</v>
      </c>
      <c r="N2" s="2168" t="s">
        <v>457</v>
      </c>
      <c r="O2" s="2169" t="s">
        <v>672</v>
      </c>
      <c r="P2" s="2169" t="s">
        <v>308</v>
      </c>
      <c r="Q2" s="2168" t="s">
        <v>461</v>
      </c>
      <c r="S2" s="2168" t="s">
        <v>457</v>
      </c>
      <c r="T2" s="2169" t="s">
        <v>672</v>
      </c>
      <c r="U2" s="2169" t="s">
        <v>308</v>
      </c>
      <c r="V2" s="2168" t="s">
        <v>461</v>
      </c>
      <c r="X2" s="2168" t="s">
        <v>457</v>
      </c>
      <c r="Y2" s="2168" t="s">
        <v>458</v>
      </c>
      <c r="Z2" s="2169" t="s">
        <v>459</v>
      </c>
      <c r="AA2" s="2169" t="s">
        <v>460</v>
      </c>
      <c r="AB2" s="2168" t="s">
        <v>461</v>
      </c>
      <c r="AD2" s="2168" t="s">
        <v>457</v>
      </c>
      <c r="AE2" s="2168" t="s">
        <v>458</v>
      </c>
      <c r="AF2" s="2169" t="s">
        <v>459</v>
      </c>
      <c r="AG2" s="2169" t="s">
        <v>460</v>
      </c>
      <c r="AH2" s="2168" t="s">
        <v>461</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8">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8">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8">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8">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2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2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2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3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2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2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673</v>
      </c>
      <c r="B27" s="2201">
        <f t="shared" si="232"/>
        <v>419.31181600000002</v>
      </c>
      <c r="C27" s="2201">
        <f t="shared" si="233"/>
        <v>313.95436800000004</v>
      </c>
      <c r="D27" s="2201">
        <f t="shared" si="234"/>
        <v>313.95436800000004</v>
      </c>
      <c r="E27" s="2201">
        <f t="shared" si="235"/>
        <v>596.63028431999999</v>
      </c>
      <c r="F27" s="2201">
        <f t="shared" si="236"/>
        <v>274.74220703999998</v>
      </c>
      <c r="G27" s="382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462</v>
      </c>
      <c r="B28" s="2201">
        <f>B29*(1+N28)</f>
        <v>405.524</v>
      </c>
      <c r="C28" s="2201">
        <f>C29*(1+O28)</f>
        <v>307.79840000000002</v>
      </c>
      <c r="D28" s="2201">
        <f>C28</f>
        <v>307.79840000000002</v>
      </c>
      <c r="E28" s="2201">
        <f>E29*(1+P28)</f>
        <v>574.67759999999998</v>
      </c>
      <c r="F28" s="2201">
        <f>F29*(1+Q28)</f>
        <v>270.20280000000002</v>
      </c>
      <c r="G28" s="383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2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2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2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2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2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2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2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2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2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2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2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2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463</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464</v>
      </c>
      <c r="B41" s="2215">
        <v>299</v>
      </c>
      <c r="C41" s="2215">
        <v>252</v>
      </c>
      <c r="D41" s="2215">
        <f t="shared" si="246"/>
        <v>252</v>
      </c>
      <c r="E41" s="2215">
        <v>409</v>
      </c>
      <c r="F41" s="2216">
        <v>227</v>
      </c>
      <c r="G41" s="382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465</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2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466</v>
      </c>
      <c r="B43" s="2201">
        <f t="shared" si="255"/>
        <v>288.2649053828776</v>
      </c>
      <c r="C43" s="2201">
        <f t="shared" si="255"/>
        <v>243.64564425013293</v>
      </c>
      <c r="D43" s="2201">
        <f t="shared" si="246"/>
        <v>243.64564425013293</v>
      </c>
      <c r="E43" s="2201">
        <f t="shared" si="256"/>
        <v>393.31080825986544</v>
      </c>
      <c r="F43" s="2201">
        <f t="shared" si="256"/>
        <v>223.07903790551154</v>
      </c>
      <c r="G43" s="382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467</v>
      </c>
      <c r="B44" s="2201">
        <f t="shared" si="255"/>
        <v>282.50186729015837</v>
      </c>
      <c r="C44" s="2201">
        <f t="shared" si="255"/>
        <v>238.09796174155468</v>
      </c>
      <c r="D44" s="2201">
        <f t="shared" si="246"/>
        <v>238.09796174155468</v>
      </c>
      <c r="E44" s="2201">
        <f t="shared" si="256"/>
        <v>385.33438646014054</v>
      </c>
      <c r="F44" s="2201">
        <f t="shared" si="256"/>
        <v>221.55034055567739</v>
      </c>
      <c r="G44" s="383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468</v>
      </c>
      <c r="B45" s="2250">
        <v>278</v>
      </c>
      <c r="C45" s="2250">
        <v>234</v>
      </c>
      <c r="D45" s="2250">
        <f t="shared" si="246"/>
        <v>234</v>
      </c>
      <c r="E45" s="2250">
        <v>379</v>
      </c>
      <c r="F45" s="2251">
        <v>220</v>
      </c>
      <c r="G45" s="382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469</v>
      </c>
      <c r="B46" s="2201">
        <f>B45/(1+N45)</f>
        <v>275.49301357645425</v>
      </c>
      <c r="C46" s="2201">
        <f>C45/(1+O45)</f>
        <v>232.41954707985698</v>
      </c>
      <c r="D46" s="2201">
        <f t="shared" si="246"/>
        <v>232.41954707985698</v>
      </c>
      <c r="E46" s="2201">
        <f t="shared" ref="E46:F48" si="257">E45/(1+P45)</f>
        <v>375.32184591008121</v>
      </c>
      <c r="F46" s="2201">
        <f t="shared" si="257"/>
        <v>218.03766105054513</v>
      </c>
      <c r="G46" s="382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470</v>
      </c>
      <c r="B47" s="2201">
        <f>B46/(1+N46)</f>
        <v>275.24529281292263</v>
      </c>
      <c r="C47" s="2201">
        <f>C46/(1+O46)</f>
        <v>231.74747938962707</v>
      </c>
      <c r="D47" s="2201">
        <f t="shared" si="246"/>
        <v>231.74747938962707</v>
      </c>
      <c r="E47" s="2201">
        <f t="shared" si="257"/>
        <v>375.35938184826603</v>
      </c>
      <c r="F47" s="2201">
        <f t="shared" si="257"/>
        <v>216.78033510692495</v>
      </c>
      <c r="G47" s="382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471</v>
      </c>
      <c r="B48" s="2201">
        <f>B47/(1+N47)</f>
        <v>275.19025476197027</v>
      </c>
      <c r="C48" s="2252">
        <v>232</v>
      </c>
      <c r="D48" s="2252">
        <f t="shared" si="246"/>
        <v>232</v>
      </c>
      <c r="E48" s="2201">
        <f t="shared" si="257"/>
        <v>375.65990977608692</v>
      </c>
      <c r="F48" s="2201">
        <f t="shared" si="257"/>
        <v>214.12518283971252</v>
      </c>
      <c r="G48" s="382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472</v>
      </c>
      <c r="B49" s="2215">
        <v>275</v>
      </c>
      <c r="C49" s="2215">
        <v>232</v>
      </c>
      <c r="D49" s="2215">
        <f t="shared" si="246"/>
        <v>232</v>
      </c>
      <c r="E49" s="2215">
        <v>376</v>
      </c>
      <c r="F49" s="2216">
        <v>213</v>
      </c>
      <c r="G49" s="382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473</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2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474</v>
      </c>
      <c r="B51" s="2201">
        <f t="shared" si="258"/>
        <v>275.19335084830601</v>
      </c>
      <c r="C51" s="2201">
        <f t="shared" si="258"/>
        <v>230.18088050139744</v>
      </c>
      <c r="D51" s="2201">
        <f t="shared" si="246"/>
        <v>230.18088050139744</v>
      </c>
      <c r="E51" s="2201">
        <f t="shared" si="259"/>
        <v>377.58482925212331</v>
      </c>
      <c r="F51" s="2201">
        <f t="shared" si="259"/>
        <v>210.90687997847917</v>
      </c>
      <c r="G51" s="382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475</v>
      </c>
      <c r="B52" s="2201">
        <f t="shared" si="258"/>
        <v>276.29854502841971</v>
      </c>
      <c r="C52" s="2201">
        <f t="shared" si="258"/>
        <v>229.79023709833027</v>
      </c>
      <c r="D52" s="2201">
        <f t="shared" si="246"/>
        <v>229.79023709833027</v>
      </c>
      <c r="E52" s="2201">
        <f t="shared" si="259"/>
        <v>379.78759731655936</v>
      </c>
      <c r="F52" s="2201">
        <f t="shared" si="259"/>
        <v>211.32953905659235</v>
      </c>
      <c r="G52" s="382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476</v>
      </c>
      <c r="B53" s="2215">
        <v>269</v>
      </c>
      <c r="C53" s="2215">
        <v>221</v>
      </c>
      <c r="D53" s="2215">
        <f t="shared" si="246"/>
        <v>221</v>
      </c>
      <c r="E53" s="2215">
        <v>373</v>
      </c>
      <c r="F53" s="2216">
        <v>196</v>
      </c>
      <c r="G53" s="382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477</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2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478</v>
      </c>
      <c r="B55" s="2201">
        <f t="shared" si="260"/>
        <v>242.95398227588385</v>
      </c>
      <c r="C55" s="2201">
        <f t="shared" si="260"/>
        <v>199.59137053614126</v>
      </c>
      <c r="D55" s="2201">
        <f t="shared" si="246"/>
        <v>199.59137053614126</v>
      </c>
      <c r="E55" s="2201">
        <f t="shared" si="261"/>
        <v>335.92189522342125</v>
      </c>
      <c r="F55" s="2201">
        <f t="shared" si="261"/>
        <v>183.10139991109489</v>
      </c>
      <c r="G55" s="382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479</v>
      </c>
      <c r="B56" s="2201">
        <f t="shared" si="260"/>
        <v>232.06990378821649</v>
      </c>
      <c r="C56" s="2201">
        <f t="shared" si="260"/>
        <v>192.74878854286936</v>
      </c>
      <c r="D56" s="2201">
        <f t="shared" si="246"/>
        <v>192.74878854286936</v>
      </c>
      <c r="E56" s="2201">
        <f t="shared" si="261"/>
        <v>319.71247284992984</v>
      </c>
      <c r="F56" s="2201">
        <f t="shared" si="261"/>
        <v>175.67053622862409</v>
      </c>
      <c r="G56" s="382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480</v>
      </c>
      <c r="B57" s="2215">
        <v>220</v>
      </c>
      <c r="C57" s="2215">
        <v>187</v>
      </c>
      <c r="D57" s="2215">
        <f t="shared" si="246"/>
        <v>187</v>
      </c>
      <c r="E57" s="2215">
        <v>301</v>
      </c>
      <c r="F57" s="2216">
        <v>168</v>
      </c>
      <c r="G57" s="382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481</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2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482</v>
      </c>
      <c r="B59" s="2201">
        <f t="shared" si="262"/>
        <v>210.630522469011</v>
      </c>
      <c r="C59" s="2201">
        <f t="shared" si="262"/>
        <v>181.69567812247232</v>
      </c>
      <c r="D59" s="2201">
        <f t="shared" si="246"/>
        <v>181.69567812247232</v>
      </c>
      <c r="E59" s="2201">
        <f t="shared" si="263"/>
        <v>286.13517466736738</v>
      </c>
      <c r="F59" s="2201">
        <f t="shared" si="263"/>
        <v>165.47535084591149</v>
      </c>
      <c r="G59" s="382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483</v>
      </c>
      <c r="B60" s="2201">
        <f t="shared" si="262"/>
        <v>208.83454537875372</v>
      </c>
      <c r="C60" s="2201">
        <f t="shared" si="262"/>
        <v>183.77230517090351</v>
      </c>
      <c r="D60" s="2201">
        <f t="shared" si="246"/>
        <v>183.77230517090351</v>
      </c>
      <c r="E60" s="2201">
        <f t="shared" si="263"/>
        <v>281.10342338870947</v>
      </c>
      <c r="F60" s="2201">
        <f t="shared" si="263"/>
        <v>168.97309388942256</v>
      </c>
      <c r="G60" s="382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484</v>
      </c>
      <c r="B61" s="2250">
        <v>214</v>
      </c>
      <c r="C61" s="2250">
        <v>188</v>
      </c>
      <c r="D61" s="2250">
        <f t="shared" si="246"/>
        <v>188</v>
      </c>
      <c r="E61" s="2250">
        <v>289</v>
      </c>
      <c r="F61" s="2251">
        <v>166</v>
      </c>
      <c r="G61" s="382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485</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2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486</v>
      </c>
      <c r="B63" s="2201">
        <f t="shared" si="264"/>
        <v>206.31694671589116</v>
      </c>
      <c r="C63" s="2201">
        <f t="shared" si="264"/>
        <v>183.61041121036101</v>
      </c>
      <c r="D63" s="2201">
        <f t="shared" si="246"/>
        <v>183.61041121036101</v>
      </c>
      <c r="E63" s="2201">
        <f t="shared" si="265"/>
        <v>276.66850301795557</v>
      </c>
      <c r="F63" s="2201">
        <f t="shared" si="265"/>
        <v>165.1360938278614</v>
      </c>
      <c r="G63" s="382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487</v>
      </c>
      <c r="B64" s="2253">
        <f t="shared" si="264"/>
        <v>196.62341248059772</v>
      </c>
      <c r="C64" s="2253">
        <f t="shared" si="264"/>
        <v>170.99125648199012</v>
      </c>
      <c r="D64" s="2253">
        <f t="shared" si="246"/>
        <v>170.99125648199012</v>
      </c>
      <c r="E64" s="2253">
        <f t="shared" si="265"/>
        <v>266.07857570490052</v>
      </c>
      <c r="F64" s="2253">
        <f t="shared" si="265"/>
        <v>154.53499328828505</v>
      </c>
      <c r="G64" s="382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488</v>
      </c>
      <c r="B65" s="2215">
        <v>188</v>
      </c>
      <c r="C65" s="2215">
        <v>165</v>
      </c>
      <c r="D65" s="2215">
        <f t="shared" si="246"/>
        <v>165</v>
      </c>
      <c r="E65" s="2215">
        <v>254</v>
      </c>
      <c r="F65" s="2216">
        <v>148</v>
      </c>
      <c r="G65" s="382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489</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2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490</v>
      </c>
      <c r="B67" s="2201">
        <f t="shared" si="268"/>
        <v>168.82017748715555</v>
      </c>
      <c r="C67" s="2201">
        <f t="shared" si="268"/>
        <v>148.06267029972753</v>
      </c>
      <c r="D67" s="2201">
        <f t="shared" si="246"/>
        <v>148.06267029972753</v>
      </c>
      <c r="E67" s="2201">
        <f t="shared" si="269"/>
        <v>216.46288379323747</v>
      </c>
      <c r="F67" s="2201">
        <f t="shared" si="269"/>
        <v>134.23529411764704</v>
      </c>
      <c r="G67" s="382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491</v>
      </c>
      <c r="B68" s="2201">
        <f t="shared" si="268"/>
        <v>163.84913591779542</v>
      </c>
      <c r="C68" s="2201">
        <f t="shared" si="268"/>
        <v>145.0283378746594</v>
      </c>
      <c r="D68" s="2201">
        <f t="shared" si="246"/>
        <v>145.0283378746594</v>
      </c>
      <c r="E68" s="2201">
        <f t="shared" si="269"/>
        <v>204.95180722891567</v>
      </c>
      <c r="F68" s="2201">
        <f t="shared" si="269"/>
        <v>125.95920303605313</v>
      </c>
      <c r="G68" s="382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492</v>
      </c>
      <c r="B69" s="2229">
        <v>159</v>
      </c>
      <c r="C69" s="2229">
        <v>141</v>
      </c>
      <c r="D69" s="2229">
        <f t="shared" si="246"/>
        <v>141</v>
      </c>
      <c r="E69" s="2229">
        <v>195</v>
      </c>
      <c r="F69" s="2230">
        <v>122</v>
      </c>
      <c r="G69" s="382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493</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2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494</v>
      </c>
      <c r="B71" s="2201">
        <f t="shared" si="272"/>
        <v>146.57412060301507</v>
      </c>
      <c r="C71" s="2201">
        <f t="shared" si="272"/>
        <v>136.46831955922866</v>
      </c>
      <c r="D71" s="2201">
        <f t="shared" si="246"/>
        <v>136.46831955922866</v>
      </c>
      <c r="E71" s="2201">
        <f t="shared" si="273"/>
        <v>166.73864894795128</v>
      </c>
      <c r="F71" s="2201">
        <f t="shared" si="273"/>
        <v>115.05882352941177</v>
      </c>
      <c r="G71" s="382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495</v>
      </c>
      <c r="B72" s="2201">
        <f t="shared" si="272"/>
        <v>144.04145728643215</v>
      </c>
      <c r="C72" s="2201">
        <f t="shared" si="272"/>
        <v>136.12396694214877</v>
      </c>
      <c r="D72" s="2201">
        <f t="shared" si="246"/>
        <v>136.12396694214877</v>
      </c>
      <c r="E72" s="2201">
        <f t="shared" si="273"/>
        <v>158.32225913621264</v>
      </c>
      <c r="F72" s="2201">
        <f t="shared" si="273"/>
        <v>114.04278074866311</v>
      </c>
      <c r="G72" s="382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496</v>
      </c>
      <c r="B73" s="2229">
        <v>138</v>
      </c>
      <c r="C73" s="2229">
        <v>131</v>
      </c>
      <c r="D73" s="2229">
        <f t="shared" si="246"/>
        <v>131</v>
      </c>
      <c r="E73" s="2229">
        <v>155</v>
      </c>
      <c r="F73" s="2230">
        <v>114</v>
      </c>
      <c r="G73" s="382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497</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2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498</v>
      </c>
      <c r="B75" s="2201">
        <f t="shared" si="276"/>
        <v>124.29032258064517</v>
      </c>
      <c r="C75" s="2201">
        <f t="shared" si="276"/>
        <v>123.8968609865471</v>
      </c>
      <c r="D75" s="2201">
        <f t="shared" si="246"/>
        <v>123.8968609865471</v>
      </c>
      <c r="E75" s="2201">
        <f t="shared" si="277"/>
        <v>138.00507614213197</v>
      </c>
      <c r="F75" s="2201">
        <f t="shared" si="277"/>
        <v>107.96106557377048</v>
      </c>
      <c r="G75" s="382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499</v>
      </c>
      <c r="B76" s="2201">
        <f t="shared" si="276"/>
        <v>122.57204301075269</v>
      </c>
      <c r="C76" s="2201">
        <f t="shared" si="276"/>
        <v>123.4932735426009</v>
      </c>
      <c r="D76" s="2201">
        <f t="shared" si="246"/>
        <v>123.4932735426009</v>
      </c>
      <c r="E76" s="2201">
        <f t="shared" si="277"/>
        <v>129.82233502538071</v>
      </c>
      <c r="F76" s="2201">
        <f t="shared" si="277"/>
        <v>107.39446721311475</v>
      </c>
      <c r="G76" s="382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500</v>
      </c>
      <c r="B77" s="2250">
        <v>121</v>
      </c>
      <c r="C77" s="2250">
        <v>122</v>
      </c>
      <c r="D77" s="2250">
        <f t="shared" si="246"/>
        <v>122</v>
      </c>
      <c r="E77" s="2250">
        <v>124</v>
      </c>
      <c r="F77" s="2251">
        <v>107</v>
      </c>
      <c r="G77" s="382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501</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2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502</v>
      </c>
      <c r="B79" s="2201">
        <f t="shared" si="280"/>
        <v>116.99099099099099</v>
      </c>
      <c r="C79" s="2201">
        <f t="shared" si="280"/>
        <v>118.84848484848486</v>
      </c>
      <c r="D79" s="2201">
        <f t="shared" si="246"/>
        <v>118.84848484848486</v>
      </c>
      <c r="E79" s="2201">
        <f t="shared" si="281"/>
        <v>117.60960960960961</v>
      </c>
      <c r="F79" s="2201">
        <f t="shared" si="281"/>
        <v>104</v>
      </c>
      <c r="G79" s="382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503</v>
      </c>
      <c r="B80" s="2253">
        <f t="shared" si="280"/>
        <v>112.48648648648648</v>
      </c>
      <c r="C80" s="2253">
        <f t="shared" si="280"/>
        <v>115.21212121212122</v>
      </c>
      <c r="D80" s="2253">
        <f t="shared" si="246"/>
        <v>115.21212121212122</v>
      </c>
      <c r="E80" s="2253">
        <f t="shared" si="281"/>
        <v>110.4024024024024</v>
      </c>
      <c r="F80" s="2253">
        <f t="shared" si="281"/>
        <v>104</v>
      </c>
      <c r="G80" s="382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504</v>
      </c>
      <c r="B81" s="2270">
        <v>111</v>
      </c>
      <c r="C81" s="2270">
        <v>114</v>
      </c>
      <c r="D81" s="2270">
        <f t="shared" si="246"/>
        <v>114</v>
      </c>
      <c r="E81" s="2270">
        <v>108</v>
      </c>
      <c r="F81" s="2271">
        <v>104</v>
      </c>
      <c r="G81" s="3823">
        <v>2003</v>
      </c>
      <c r="H81" s="2260">
        <v>4</v>
      </c>
      <c r="I81" s="2272"/>
      <c r="J81" s="2272"/>
      <c r="K81" s="2272"/>
      <c r="L81" s="2272"/>
      <c r="N81" s="2273"/>
      <c r="O81" s="2272"/>
      <c r="P81" s="2272"/>
      <c r="Q81" s="2272"/>
      <c r="S81" s="2273"/>
      <c r="T81" s="2272"/>
      <c r="U81" s="2272"/>
      <c r="V81" s="2272"/>
      <c r="X81" s="2264"/>
      <c r="Y81" s="2264"/>
      <c r="Z81" s="2264"/>
    </row>
    <row r="82" spans="1:26">
      <c r="A82" s="2200" t="s">
        <v>505</v>
      </c>
      <c r="B82" s="2274">
        <f t="shared" ref="B82:C84" si="282">B83+(B$81-B$85)/4</f>
        <v>109.75</v>
      </c>
      <c r="C82" s="2274">
        <f t="shared" si="282"/>
        <v>112.25</v>
      </c>
      <c r="D82" s="2274">
        <f t="shared" si="246"/>
        <v>112.25</v>
      </c>
      <c r="E82" s="2274">
        <f t="shared" ref="E82:F84" si="283">E83+(E$81-E$85)/4</f>
        <v>107.25</v>
      </c>
      <c r="F82" s="2274">
        <f t="shared" si="283"/>
        <v>103.5</v>
      </c>
      <c r="G82" s="3824">
        <v>2003</v>
      </c>
      <c r="H82" s="2226">
        <v>3</v>
      </c>
      <c r="I82" s="2272"/>
      <c r="J82" s="2272"/>
      <c r="K82" s="2272"/>
      <c r="L82" s="2272"/>
      <c r="X82" s="2264"/>
      <c r="Y82" s="2264"/>
      <c r="Z82" s="2264"/>
    </row>
    <row r="83" spans="1:26">
      <c r="A83" s="2200" t="s">
        <v>506</v>
      </c>
      <c r="B83" s="2274">
        <f t="shared" si="282"/>
        <v>108.5</v>
      </c>
      <c r="C83" s="2274">
        <f t="shared" si="282"/>
        <v>110.5</v>
      </c>
      <c r="D83" s="2274">
        <f t="shared" si="246"/>
        <v>110.5</v>
      </c>
      <c r="E83" s="2274">
        <f t="shared" si="283"/>
        <v>106.5</v>
      </c>
      <c r="F83" s="2274">
        <f t="shared" si="283"/>
        <v>103</v>
      </c>
      <c r="G83" s="3824">
        <v>2003</v>
      </c>
      <c r="H83" s="2213">
        <v>2</v>
      </c>
      <c r="I83" s="2272"/>
      <c r="J83" s="2272"/>
      <c r="K83" s="2272"/>
      <c r="L83" s="2272"/>
      <c r="X83" s="2264"/>
      <c r="Y83" s="2264"/>
      <c r="Z83" s="2264"/>
    </row>
    <row r="84" spans="1:26" ht="13.5" thickBot="1">
      <c r="A84" s="2200" t="s">
        <v>507</v>
      </c>
      <c r="B84" s="2274">
        <f t="shared" si="282"/>
        <v>107.25</v>
      </c>
      <c r="C84" s="2274">
        <f t="shared" si="282"/>
        <v>108.75</v>
      </c>
      <c r="D84" s="2274">
        <f t="shared" si="246"/>
        <v>108.75</v>
      </c>
      <c r="E84" s="2274">
        <f t="shared" si="283"/>
        <v>105.75</v>
      </c>
      <c r="F84" s="2274">
        <f t="shared" si="283"/>
        <v>102.5</v>
      </c>
      <c r="G84" s="3825">
        <v>2003</v>
      </c>
      <c r="H84" s="2275">
        <v>1</v>
      </c>
      <c r="I84" s="2272"/>
      <c r="J84" s="2272"/>
      <c r="K84" s="2272"/>
      <c r="L84" s="2272"/>
      <c r="S84" s="2203"/>
      <c r="T84" s="2188"/>
      <c r="U84" s="2188"/>
      <c r="X84" s="2264"/>
      <c r="Y84" s="2264"/>
      <c r="Z84" s="2264"/>
    </row>
    <row r="85" spans="1:26" ht="13.5" thickBot="1">
      <c r="A85" s="2200" t="s">
        <v>508</v>
      </c>
      <c r="B85" s="2276">
        <v>106</v>
      </c>
      <c r="C85" s="2276">
        <v>107</v>
      </c>
      <c r="D85" s="2276">
        <f t="shared" si="246"/>
        <v>107</v>
      </c>
      <c r="E85" s="2276">
        <v>105</v>
      </c>
      <c r="F85" s="2277">
        <v>102</v>
      </c>
      <c r="G85" s="3823">
        <v>2002</v>
      </c>
      <c r="H85" s="2221">
        <v>4</v>
      </c>
      <c r="I85" s="2272"/>
      <c r="J85" s="2272"/>
      <c r="K85" s="2272"/>
      <c r="L85" s="2272"/>
      <c r="N85" s="2273"/>
      <c r="O85" s="2272"/>
      <c r="P85" s="2272"/>
      <c r="Q85" s="2272"/>
      <c r="S85" s="2273"/>
      <c r="T85" s="2272"/>
      <c r="U85" s="2272"/>
      <c r="V85" s="2272"/>
      <c r="X85" s="2264"/>
      <c r="Y85" s="2264"/>
      <c r="Z85" s="2264"/>
    </row>
    <row r="86" spans="1:26">
      <c r="A86" s="2200" t="s">
        <v>509</v>
      </c>
      <c r="B86" s="2274">
        <f t="shared" ref="B86:C88" si="284">B87+(B$85-B$89)/4</f>
        <v>105</v>
      </c>
      <c r="C86" s="2274">
        <f t="shared" si="284"/>
        <v>106</v>
      </c>
      <c r="D86" s="2274">
        <f t="shared" si="246"/>
        <v>106</v>
      </c>
      <c r="E86" s="2274">
        <f t="shared" ref="E86:F88" si="285">E87+(E$85-E$89)/4</f>
        <v>104.5</v>
      </c>
      <c r="F86" s="2274">
        <f t="shared" si="285"/>
        <v>101.5</v>
      </c>
      <c r="G86" s="3824">
        <v>2002</v>
      </c>
      <c r="H86" s="2226">
        <v>3</v>
      </c>
      <c r="I86" s="2272"/>
      <c r="J86" s="2272"/>
      <c r="K86" s="2272"/>
      <c r="L86" s="2272"/>
      <c r="X86" s="2264"/>
      <c r="Y86" s="2264"/>
      <c r="Z86" s="2264"/>
    </row>
    <row r="87" spans="1:26">
      <c r="A87" s="2200" t="s">
        <v>510</v>
      </c>
      <c r="B87" s="2274">
        <f t="shared" si="284"/>
        <v>104</v>
      </c>
      <c r="C87" s="2274">
        <f t="shared" si="284"/>
        <v>105</v>
      </c>
      <c r="D87" s="2274">
        <f t="shared" si="246"/>
        <v>105</v>
      </c>
      <c r="E87" s="2274">
        <f t="shared" si="285"/>
        <v>104</v>
      </c>
      <c r="F87" s="2274">
        <f t="shared" si="285"/>
        <v>101</v>
      </c>
      <c r="G87" s="3824">
        <v>2002</v>
      </c>
      <c r="H87" s="2213">
        <v>2</v>
      </c>
      <c r="I87" s="2272"/>
      <c r="J87" s="2272"/>
      <c r="K87" s="2272"/>
      <c r="L87" s="2272"/>
      <c r="X87" s="2264"/>
      <c r="Y87" s="2264"/>
      <c r="Z87" s="2264"/>
    </row>
    <row r="88" spans="1:26" s="2237" customFormat="1" ht="13.5" thickBot="1">
      <c r="A88" s="2233" t="s">
        <v>511</v>
      </c>
      <c r="B88" s="2240">
        <f t="shared" si="284"/>
        <v>103</v>
      </c>
      <c r="C88" s="2240">
        <f t="shared" si="284"/>
        <v>104</v>
      </c>
      <c r="D88" s="2240">
        <f t="shared" si="246"/>
        <v>104</v>
      </c>
      <c r="E88" s="2240">
        <f t="shared" si="285"/>
        <v>103.5</v>
      </c>
      <c r="F88" s="2240">
        <f t="shared" si="285"/>
        <v>100.5</v>
      </c>
      <c r="G88" s="382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512</v>
      </c>
      <c r="G91" s="2287"/>
      <c r="N91" s="2287"/>
      <c r="S91" s="2287"/>
    </row>
    <row r="92" spans="1:26" s="2286" customFormat="1">
      <c r="A92" s="2286" t="s">
        <v>513</v>
      </c>
      <c r="G92" s="2287"/>
      <c r="N92" s="2287"/>
      <c r="S92" s="2287"/>
    </row>
    <row r="93" spans="1:26" s="2286" customFormat="1">
      <c r="A93" s="2286" t="s">
        <v>514</v>
      </c>
      <c r="G93" s="2287"/>
      <c r="I93" s="2288"/>
      <c r="J93" s="2288"/>
      <c r="K93" s="2288"/>
      <c r="L93" s="2288"/>
      <c r="N93" s="2289"/>
      <c r="O93" s="2288"/>
      <c r="P93" s="2288"/>
      <c r="Q93" s="2288"/>
      <c r="S93" s="2289"/>
      <c r="T93" s="2288"/>
      <c r="U93" s="2288"/>
      <c r="V93" s="2288"/>
    </row>
    <row r="94" spans="1:26" s="2286" customFormat="1">
      <c r="A94" s="2286" t="s">
        <v>515</v>
      </c>
      <c r="G94" s="2287"/>
      <c r="N94" s="2287"/>
      <c r="S94" s="2287"/>
    </row>
    <row r="101" spans="7:22" ht="13.5" thickBot="1"/>
    <row r="102" spans="7:22">
      <c r="G102" s="2187"/>
      <c r="S102" s="2290" t="s">
        <v>516</v>
      </c>
      <c r="T102" s="2291" t="s">
        <v>517</v>
      </c>
      <c r="U102" s="2291" t="s">
        <v>518</v>
      </c>
      <c r="V102" s="2291" t="s">
        <v>519</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45034</v>
      </c>
      <c r="D1" s="1298" t="s">
        <v>602</v>
      </c>
      <c r="E1" s="1293">
        <f>'数据-取费表'!B22</f>
        <v>2</v>
      </c>
      <c r="F1" s="1298" t="s">
        <v>603</v>
      </c>
      <c r="G1" s="1294">
        <f ca="1">INDIRECT("d"&amp;$K$1)/100</f>
        <v>3.6499999999999998E-2</v>
      </c>
      <c r="H1" s="1298" t="s">
        <v>633</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4">
        <v>44795</v>
      </c>
      <c r="D13" s="2815">
        <v>3.65</v>
      </c>
      <c r="E13" s="2815">
        <f>D13</f>
        <v>3.65</v>
      </c>
      <c r="F13" s="2815">
        <f>D13</f>
        <v>3.65</v>
      </c>
      <c r="G13" s="2815">
        <f>D13</f>
        <v>3.65</v>
      </c>
      <c r="H13" s="2815">
        <v>4.3</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44701</v>
      </c>
      <c r="D14" s="2810">
        <v>3.7</v>
      </c>
      <c r="E14" s="2810">
        <f>D14</f>
        <v>3.7</v>
      </c>
      <c r="F14" s="2810">
        <f>D14</f>
        <v>3.7</v>
      </c>
      <c r="G14" s="2810">
        <f>D14</f>
        <v>3.7</v>
      </c>
      <c r="H14" s="2810">
        <v>4.45</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44581</v>
      </c>
      <c r="D15" s="2810">
        <v>3.7</v>
      </c>
      <c r="E15" s="2810">
        <f>D15</f>
        <v>3.7</v>
      </c>
      <c r="F15" s="2810">
        <f>D15</f>
        <v>3.7</v>
      </c>
      <c r="G15" s="2810">
        <f>D15</f>
        <v>3.7</v>
      </c>
      <c r="H15" s="2810">
        <v>4.5999999999999996</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1">
        <v>44550</v>
      </c>
      <c r="D16" s="2810">
        <v>3.8</v>
      </c>
      <c r="E16" s="2810">
        <f>D16</f>
        <v>3.8</v>
      </c>
      <c r="F16" s="2810">
        <f>D16</f>
        <v>3.8</v>
      </c>
      <c r="G16" s="2810">
        <f>D16</f>
        <v>3.8</v>
      </c>
      <c r="H16" s="2810">
        <v>4.6500000000000004</v>
      </c>
      <c r="I16" s="2810"/>
      <c r="J16" s="2815"/>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1">
        <v>43941</v>
      </c>
      <c r="D17" s="2810">
        <v>3.85</v>
      </c>
      <c r="E17" s="2810">
        <v>3.85</v>
      </c>
      <c r="F17" s="2810">
        <v>3.85</v>
      </c>
      <c r="G17" s="2810">
        <v>3.85</v>
      </c>
      <c r="H17" s="2810">
        <v>4.6500000000000004</v>
      </c>
      <c r="I17" s="2810"/>
      <c r="J17" s="2810"/>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43789</v>
      </c>
      <c r="D19" s="2810">
        <v>4.1500000000000004</v>
      </c>
      <c r="E19" s="2810">
        <v>4.1500000000000004</v>
      </c>
      <c r="F19" s="2810">
        <v>4.1500000000000004</v>
      </c>
      <c r="G19" s="2810">
        <v>4.1500000000000004</v>
      </c>
      <c r="H19" s="2810">
        <v>4.8</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43728</v>
      </c>
      <c r="D20" s="2810">
        <v>4.2</v>
      </c>
      <c r="E20" s="2810">
        <v>4.2</v>
      </c>
      <c r="F20" s="2810">
        <v>4.2</v>
      </c>
      <c r="G20" s="2810">
        <v>4.2</v>
      </c>
      <c r="H20" s="2810">
        <v>4.8499999999999996</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9" t="s">
        <v>2308</v>
      </c>
      <c r="C21" s="2812">
        <v>43697</v>
      </c>
      <c r="D21" s="2813">
        <v>4.25</v>
      </c>
      <c r="E21" s="2813">
        <v>4.25</v>
      </c>
      <c r="F21" s="2813">
        <v>4.25</v>
      </c>
      <c r="G21" s="2813">
        <v>4.25</v>
      </c>
      <c r="H21" s="2813">
        <v>4.8499999999999996</v>
      </c>
      <c r="I21" s="2813"/>
      <c r="J21" s="2813"/>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6"/>
      <c r="B22" s="2817"/>
      <c r="C22" s="2818">
        <v>42301</v>
      </c>
      <c r="D22" s="2819">
        <v>4.3499999999999996</v>
      </c>
      <c r="E22" s="2819">
        <v>4.3499999999999996</v>
      </c>
      <c r="F22" s="2819">
        <v>4.75</v>
      </c>
      <c r="G22" s="2819">
        <v>4.75</v>
      </c>
      <c r="H22" s="2819">
        <v>4.9000000000000004</v>
      </c>
      <c r="I22" s="2819"/>
      <c r="J22" s="2819"/>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632</v>
      </c>
      <c r="J64" s="1286" t="s">
        <v>632</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2" t="s">
        <v>945</v>
      </c>
      <c r="B1" s="3512"/>
      <c r="C1" s="3512"/>
      <c r="D1" s="3512"/>
    </row>
    <row r="2" spans="1:4" ht="18">
      <c r="A2" s="3513" t="s">
        <v>929</v>
      </c>
      <c r="B2" s="3513"/>
      <c r="C2" s="3513"/>
      <c r="D2" s="3513"/>
    </row>
    <row r="3" spans="1:4" ht="18.75">
      <c r="A3" s="1505" t="s">
        <v>930</v>
      </c>
      <c r="B3" s="1505" t="s">
        <v>931</v>
      </c>
      <c r="C3" s="1505" t="s">
        <v>932</v>
      </c>
      <c r="D3" s="1505" t="s">
        <v>933</v>
      </c>
    </row>
    <row r="4" spans="1:4" ht="56.25" customHeight="1">
      <c r="A4" s="1506" t="str">
        <f>项目基本情况!B4</f>
        <v>吴薇</v>
      </c>
      <c r="B4" s="1507">
        <f ca="1">项目基本情况!C4</f>
        <v>1419970001</v>
      </c>
      <c r="C4" s="1508"/>
      <c r="D4" s="1509" t="s">
        <v>934</v>
      </c>
    </row>
    <row r="5" spans="1:4" ht="56.25" customHeight="1">
      <c r="A5" s="1506" t="str">
        <f>项目基本情况!D4</f>
        <v>郑燚</v>
      </c>
      <c r="B5" s="1507">
        <f ca="1">项目基本情况!E4</f>
        <v>1120070131</v>
      </c>
      <c r="C5" s="1510"/>
      <c r="D5" s="1509" t="s">
        <v>934</v>
      </c>
    </row>
    <row r="6" spans="1:4" ht="18">
      <c r="A6" s="3513" t="s">
        <v>935</v>
      </c>
      <c r="B6" s="3513"/>
      <c r="C6" s="3513"/>
      <c r="D6" s="3513"/>
    </row>
    <row r="7" spans="1:4" ht="18.75">
      <c r="A7" s="1505" t="s">
        <v>930</v>
      </c>
      <c r="B7" s="1507" t="s">
        <v>936</v>
      </c>
      <c r="C7" s="1505" t="s">
        <v>932</v>
      </c>
      <c r="D7" s="1505" t="s">
        <v>933</v>
      </c>
    </row>
    <row r="8" spans="1:4" ht="56.25" customHeight="1">
      <c r="A8" s="1511" t="s">
        <v>390</v>
      </c>
      <c r="B8" s="1511" t="s">
        <v>0</v>
      </c>
      <c r="C8" s="1508"/>
      <c r="D8" s="1509" t="s">
        <v>934</v>
      </c>
    </row>
    <row r="9" spans="1:4">
      <c r="A9" s="675"/>
      <c r="B9" s="675"/>
      <c r="C9" s="675"/>
      <c r="D9" s="675"/>
    </row>
    <row r="10" spans="1:4" ht="18.75">
      <c r="A10" s="1512" t="s">
        <v>937</v>
      </c>
      <c r="B10" s="675"/>
      <c r="C10" s="675"/>
      <c r="D10" s="675"/>
    </row>
    <row r="11" spans="1:4" ht="30" customHeight="1">
      <c r="A11" s="3514" t="s">
        <v>938</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939</v>
      </c>
      <c r="B16" s="3518"/>
      <c r="C16" s="3518"/>
      <c r="D16" s="3518"/>
    </row>
    <row r="17" spans="1:4" ht="144" customHeight="1">
      <c r="A17" s="3518" t="s">
        <v>940</v>
      </c>
      <c r="B17" s="3518"/>
      <c r="C17" s="3518"/>
      <c r="D17" s="3518"/>
    </row>
    <row r="18" spans="1:4" ht="15.75" customHeight="1">
      <c r="A18" s="3515" t="str">
        <f>IF(项目基本情况!B8="抵押",结果表501!K120,"——")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501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5"/>
      <c r="C20" s="3515"/>
      <c r="D20" s="3515"/>
    </row>
    <row r="21" spans="1:4" ht="57.75" customHeight="1">
      <c r="A21" s="3519" t="str">
        <f>IF(结果表501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941</v>
      </c>
      <c r="B22" s="3520"/>
      <c r="C22" s="3520"/>
      <c r="D22" s="3520"/>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526" t="s">
        <v>952</v>
      </c>
      <c r="B15" s="3521" t="s">
        <v>109</v>
      </c>
      <c r="C15" s="3522"/>
    </row>
    <row r="16" spans="1:7" ht="13.5">
      <c r="A16" s="3527"/>
      <c r="B16" s="3521" t="s">
        <v>42</v>
      </c>
      <c r="C16" s="3522"/>
    </row>
    <row r="17" spans="1:3" ht="13.5">
      <c r="A17" s="3527"/>
      <c r="B17" s="3524" t="s">
        <v>953</v>
      </c>
      <c r="C17" s="1528" t="s">
        <v>952</v>
      </c>
    </row>
    <row r="18" spans="1:3" ht="13.5">
      <c r="A18" s="3527"/>
      <c r="B18" s="3524"/>
      <c r="C18" s="1528" t="s">
        <v>954</v>
      </c>
    </row>
    <row r="19" spans="1:3" ht="13.5">
      <c r="A19" s="3527"/>
      <c r="B19" s="3524"/>
      <c r="C19" s="1528" t="s">
        <v>955</v>
      </c>
    </row>
    <row r="20" spans="1:3" ht="13.5">
      <c r="A20" s="3528"/>
      <c r="B20" s="3523" t="s">
        <v>956</v>
      </c>
      <c r="C20" s="3522"/>
    </row>
    <row r="21" spans="1:3" ht="13.5">
      <c r="A21" s="1529" t="s">
        <v>957</v>
      </c>
      <c r="B21" s="1530"/>
      <c r="C21" s="1531"/>
    </row>
    <row r="22" spans="1:3" ht="13.5">
      <c r="A22" s="3525" t="s">
        <v>958</v>
      </c>
      <c r="B22" s="3523" t="s">
        <v>959</v>
      </c>
      <c r="C22" s="3522"/>
    </row>
    <row r="23" spans="1:3" ht="13.5">
      <c r="A23" s="3525"/>
      <c r="B23" s="3523" t="s">
        <v>960</v>
      </c>
      <c r="C23" s="3522"/>
    </row>
    <row r="24" spans="1:3" ht="13.5">
      <c r="A24" s="3525"/>
      <c r="B24" s="3523" t="s">
        <v>961</v>
      </c>
      <c r="C24" s="3522"/>
    </row>
    <row r="25" spans="1:3" ht="13.5">
      <c r="A25" s="3525"/>
      <c r="B25" s="3524" t="s">
        <v>962</v>
      </c>
      <c r="C25" s="1528" t="s">
        <v>963</v>
      </c>
    </row>
    <row r="26" spans="1:3" ht="13.5">
      <c r="A26" s="3525"/>
      <c r="B26" s="3524"/>
      <c r="C26" s="1528" t="s">
        <v>964</v>
      </c>
    </row>
    <row r="27" spans="1:3" ht="13.5">
      <c r="A27" s="3525"/>
      <c r="B27" s="3524"/>
      <c r="C27" s="1528" t="s">
        <v>965</v>
      </c>
    </row>
    <row r="28" spans="1:3" ht="13.5">
      <c r="A28" s="3525"/>
      <c r="B28" s="3524"/>
      <c r="C28" s="1528" t="s">
        <v>966</v>
      </c>
    </row>
    <row r="29" spans="1:3" ht="13.5">
      <c r="A29" s="3525"/>
      <c r="B29" s="3524"/>
      <c r="C29" s="1528" t="s">
        <v>967</v>
      </c>
    </row>
    <row r="30" spans="1:3" ht="13.5">
      <c r="A30" s="3525"/>
      <c r="B30" s="3524"/>
      <c r="C30" s="1528" t="s">
        <v>968</v>
      </c>
    </row>
    <row r="31" spans="1:3" ht="13.5">
      <c r="A31" s="3525"/>
      <c r="B31" s="3524"/>
      <c r="C31" s="1528" t="s">
        <v>969</v>
      </c>
    </row>
    <row r="32" spans="1:3" ht="13.5">
      <c r="A32" s="3525"/>
      <c r="B32" s="3524"/>
      <c r="C32" s="1528" t="s">
        <v>970</v>
      </c>
    </row>
    <row r="33" spans="1:3" ht="13.5">
      <c r="A33" s="3525"/>
      <c r="B33" s="3524"/>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45034</v>
      </c>
      <c r="C2" s="2335" t="s">
        <v>2135</v>
      </c>
      <c r="D2" s="2335"/>
      <c r="E2" s="2335"/>
      <c r="F2" s="2331"/>
      <c r="G2" s="2331"/>
      <c r="H2" s="2331"/>
    </row>
    <row r="3" spans="1:8" ht="24" customHeight="1">
      <c r="A3" s="2336" t="s">
        <v>2136</v>
      </c>
      <c r="B3" s="2337" t="s">
        <v>2137</v>
      </c>
      <c r="C3" s="2337" t="s">
        <v>2138</v>
      </c>
      <c r="D3" s="2338" t="s">
        <v>2139</v>
      </c>
      <c r="E3" s="2339" t="s">
        <v>2140</v>
      </c>
      <c r="F3" s="1300" t="s">
        <v>2141</v>
      </c>
      <c r="G3" s="2337" t="s">
        <v>2138</v>
      </c>
      <c r="H3" s="2338" t="s">
        <v>2142</v>
      </c>
    </row>
    <row r="4" spans="1:8" ht="24" customHeight="1">
      <c r="A4" s="1300" t="s">
        <v>2143</v>
      </c>
      <c r="B4" s="1300">
        <f ca="1">IF(C4&lt;B2,"已过期",1119970066)</f>
        <v>1119970066</v>
      </c>
      <c r="C4" s="2340">
        <v>45937</v>
      </c>
      <c r="D4" s="2341" t="str">
        <f ca="1">A4&amp;"（注册号："&amp;B4&amp;"）"</f>
        <v>梁津（注册号：1119970066）</v>
      </c>
      <c r="E4" s="2342" t="s">
        <v>2143</v>
      </c>
      <c r="F4" s="1300">
        <f ca="1">IF(G4&lt;B2,"已过期",96010014)</f>
        <v>96010014</v>
      </c>
      <c r="G4" s="2343">
        <v>47118</v>
      </c>
      <c r="H4" s="2344" t="str">
        <f ca="1">E4&amp;"（注册号："&amp;F4&amp;"）"</f>
        <v>梁津（注册号：96010014）</v>
      </c>
    </row>
    <row r="5" spans="1:8" ht="24" customHeight="1">
      <c r="A5" s="1300" t="s">
        <v>2144</v>
      </c>
      <c r="B5" s="1300">
        <f ca="1">IF(C5&lt;B2,"已过期",1119970111)</f>
        <v>1119970111</v>
      </c>
      <c r="C5" s="2340">
        <v>45937</v>
      </c>
      <c r="D5" s="2341" t="str">
        <f t="shared" ref="D5:D15" ca="1" si="0">A5&amp;"（注册号："&amp;B5&amp;"）"</f>
        <v>叶凌（注册号：1119970111）</v>
      </c>
      <c r="E5" s="2342" t="s">
        <v>2144</v>
      </c>
      <c r="F5" s="1300">
        <f ca="1">IF(G5&lt;B2,"已过期",94010078)</f>
        <v>94010078</v>
      </c>
      <c r="G5" s="2343">
        <v>46387</v>
      </c>
      <c r="H5" s="2344" t="str">
        <f t="shared" ref="H5:H16" ca="1" si="1">E5&amp;"（注册号："&amp;F5&amp;"）"</f>
        <v>叶凌（注册号：94010078）</v>
      </c>
    </row>
    <row r="6" spans="1:8" ht="24" customHeight="1">
      <c r="A6" s="1300" t="s">
        <v>2145</v>
      </c>
      <c r="B6" s="1300">
        <f ca="1">IF(C6&lt;B2,"已过期",1120050019)</f>
        <v>1120050019</v>
      </c>
      <c r="C6" s="2340">
        <v>45410</v>
      </c>
      <c r="D6" s="2341" t="str">
        <f t="shared" ca="1" si="0"/>
        <v>王鹏（注册号：1120050019）</v>
      </c>
      <c r="E6" s="2342" t="s">
        <v>2145</v>
      </c>
      <c r="F6" s="1300">
        <f ca="1">IF(G6&lt;B2,"已过期",2002110030)</f>
        <v>2002110030</v>
      </c>
      <c r="G6" s="2343">
        <v>46387</v>
      </c>
      <c r="H6" s="2344" t="str">
        <f t="shared" ca="1" si="1"/>
        <v>王鹏（注册号：2002110030）</v>
      </c>
    </row>
    <row r="7" spans="1:8" ht="24" customHeight="1">
      <c r="A7" s="1300" t="s">
        <v>2146</v>
      </c>
      <c r="B7" s="1300">
        <f ca="1">IF(C7&lt;B2,"已过期",1120000080)</f>
        <v>1120000080</v>
      </c>
      <c r="C7" s="2340">
        <v>45937</v>
      </c>
      <c r="D7" s="2341" t="str">
        <f t="shared" ca="1" si="0"/>
        <v>欧红伟（注册号：1120000080）</v>
      </c>
      <c r="E7" s="2342" t="s">
        <v>2146</v>
      </c>
      <c r="F7" s="1300">
        <f ca="1">IF(G7&lt;B2,"已过期",2000110082)</f>
        <v>2000110082</v>
      </c>
      <c r="G7" s="2343">
        <v>46387</v>
      </c>
      <c r="H7" s="2344" t="str">
        <f t="shared" ca="1" si="1"/>
        <v>欧红伟（注册号：2000110082）</v>
      </c>
    </row>
    <row r="8" spans="1:8" ht="24" customHeight="1">
      <c r="A8" s="1300" t="s">
        <v>2147</v>
      </c>
      <c r="B8" s="1300">
        <f ca="1">IF(C8&lt;B2,"已过期",1419970001)</f>
        <v>1419970001</v>
      </c>
      <c r="C8" s="2340">
        <v>45937</v>
      </c>
      <c r="D8" s="2341" t="str">
        <f t="shared" ca="1" si="0"/>
        <v>吴薇（注册号：1419970001）</v>
      </c>
      <c r="E8" s="2342" t="s">
        <v>2147</v>
      </c>
      <c r="F8" s="1300">
        <f ca="1">IF(G8&lt;B2,"已过期",2002110125)</f>
        <v>2002110125</v>
      </c>
      <c r="G8" s="2343">
        <v>47118</v>
      </c>
      <c r="H8" s="2344" t="str">
        <f t="shared" ca="1" si="1"/>
        <v>吴薇（注册号：2002110125）</v>
      </c>
    </row>
    <row r="9" spans="1:8" ht="24" customHeight="1">
      <c r="A9" s="1300" t="s">
        <v>2148</v>
      </c>
      <c r="B9" s="1300">
        <f ca="1">IF(C9&lt;B2,"已过期",1120060040)</f>
        <v>1120060040</v>
      </c>
      <c r="C9" s="2345">
        <v>45592</v>
      </c>
      <c r="D9" s="2341" t="str">
        <f t="shared" ca="1" si="0"/>
        <v>陈颖（注册号：1120060040）</v>
      </c>
      <c r="E9" s="2342" t="s">
        <v>2148</v>
      </c>
      <c r="F9" s="1300">
        <f ca="1">IF(G9&lt;B2,"已过期",2004110096)</f>
        <v>2004110096</v>
      </c>
      <c r="G9" s="2343">
        <v>47118</v>
      </c>
      <c r="H9" s="2344" t="str">
        <f t="shared" ca="1" si="1"/>
        <v>陈颖（注册号：2004110096）</v>
      </c>
    </row>
    <row r="10" spans="1:8" ht="24" customHeight="1">
      <c r="A10" s="1300" t="s">
        <v>2149</v>
      </c>
      <c r="B10" s="1300">
        <f ca="1">IF(C10&lt;B2,"已过期",1120100036)</f>
        <v>1120100036</v>
      </c>
      <c r="C10" s="2345">
        <v>45752</v>
      </c>
      <c r="D10" s="2341" t="str">
        <f t="shared" ca="1" si="0"/>
        <v>崔锴（注册号：1120100036）</v>
      </c>
      <c r="E10" s="2342" t="s">
        <v>2149</v>
      </c>
      <c r="F10" s="1300">
        <f ca="1">IF(G10&lt;B2,"已过期",2010110070)</f>
        <v>2010110070</v>
      </c>
      <c r="G10" s="2343">
        <v>47907</v>
      </c>
      <c r="H10" s="2344" t="str">
        <f t="shared" ca="1" si="1"/>
        <v>崔锴（注册号：2010110070）</v>
      </c>
    </row>
    <row r="11" spans="1:8" ht="24" customHeight="1">
      <c r="A11" s="1300" t="s">
        <v>2150</v>
      </c>
      <c r="B11" s="1300">
        <f ca="1">IF(C11&lt;B2,"已过期",1120070131)</f>
        <v>1120070131</v>
      </c>
      <c r="C11" s="2340">
        <v>45937</v>
      </c>
      <c r="D11" s="2341" t="str">
        <f t="shared" ca="1" si="0"/>
        <v>郑燚（注册号：1120070131）</v>
      </c>
      <c r="E11" s="2342" t="s">
        <v>2150</v>
      </c>
      <c r="F11" s="1300">
        <f ca="1">IF(G11&lt;B2,"已过期",2014110011)</f>
        <v>2014110011</v>
      </c>
      <c r="G11" s="2343">
        <v>49302</v>
      </c>
      <c r="H11" s="2344" t="str">
        <f t="shared" ca="1" si="1"/>
        <v>郑燚（注册号：2014110011）</v>
      </c>
    </row>
    <row r="12" spans="1:8" ht="24" customHeight="1">
      <c r="A12" s="1300" t="s">
        <v>2151</v>
      </c>
      <c r="B12" s="1300">
        <f ca="1">IF(C12&lt;B2,"已过期",1120040230)</f>
        <v>1120040230</v>
      </c>
      <c r="C12" s="2345">
        <v>45937</v>
      </c>
      <c r="D12" s="2341" t="str">
        <f t="shared" ca="1" si="0"/>
        <v>苏海（注册号：1120040230）</v>
      </c>
      <c r="E12" s="2342" t="s">
        <v>2151</v>
      </c>
      <c r="F12" s="1300">
        <f ca="1">IF(G12&lt;B2,"已过期",98030020)</f>
        <v>98030020</v>
      </c>
      <c r="G12" s="2343">
        <v>47118</v>
      </c>
      <c r="H12" s="2344" t="str">
        <f t="shared" ca="1" si="1"/>
        <v>苏海（注册号：98030020）</v>
      </c>
    </row>
    <row r="13" spans="1:8" ht="24" customHeight="1">
      <c r="A13" s="1300" t="s">
        <v>2152</v>
      </c>
      <c r="B13" s="1300">
        <f ca="1">IF(C13&lt;B2,"已过期",1120020033)</f>
        <v>1120020033</v>
      </c>
      <c r="C13" s="2340">
        <v>45375</v>
      </c>
      <c r="D13" s="2341" t="str">
        <f t="shared" ca="1" si="0"/>
        <v>刘敬东（注册号：1120020033）</v>
      </c>
      <c r="E13" s="2342" t="s">
        <v>2152</v>
      </c>
      <c r="F13" s="1300">
        <f ca="1">IF(G13&lt;B2,"已过期",2000110137)</f>
        <v>2000110137</v>
      </c>
      <c r="G13" s="2343">
        <v>46387</v>
      </c>
      <c r="H13" s="2344" t="str">
        <f t="shared" ca="1" si="1"/>
        <v>刘敬东（注册号：2000110137）</v>
      </c>
    </row>
    <row r="14" spans="1:8" ht="24" customHeight="1">
      <c r="A14" s="1300" t="s">
        <v>2153</v>
      </c>
      <c r="B14" s="1300" t="str">
        <f ca="1">IF(C14&lt;B2,"已过期",1119980106)</f>
        <v>已过期</v>
      </c>
      <c r="C14" s="2345">
        <v>44969</v>
      </c>
      <c r="D14" s="2341" t="str">
        <f t="shared" ca="1" si="0"/>
        <v>刘俊财（注册号：已过期）</v>
      </c>
      <c r="E14" s="2342" t="s">
        <v>2153</v>
      </c>
      <c r="F14" s="1300">
        <f ca="1">IF(G14&lt;B2,"已过期",96010063)</f>
        <v>96010063</v>
      </c>
      <c r="G14" s="2343">
        <v>47483</v>
      </c>
      <c r="H14" s="2344" t="str">
        <f t="shared" ca="1" si="1"/>
        <v>刘俊财（注册号：96010063）</v>
      </c>
    </row>
    <row r="15" spans="1:8" ht="24" customHeight="1">
      <c r="A15" s="1300" t="s">
        <v>2435</v>
      </c>
      <c r="B15" s="1300">
        <v>1120210056</v>
      </c>
      <c r="C15" s="2345">
        <v>45410</v>
      </c>
      <c r="D15" s="2341" t="str">
        <f t="shared" si="0"/>
        <v>宁小鳗（注册号：1120210056）</v>
      </c>
      <c r="E15" s="2342" t="s">
        <v>2154</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29" t="s">
        <v>2155</v>
      </c>
      <c r="B17" s="3529"/>
      <c r="C17" s="3529"/>
      <c r="D17" s="3529"/>
      <c r="E17" s="3529"/>
      <c r="F17" s="3529"/>
      <c r="G17" s="3529"/>
      <c r="H17" s="3529"/>
    </row>
    <row r="18" spans="1:8" ht="24" customHeight="1">
      <c r="A18" s="3530" t="s">
        <v>2156</v>
      </c>
      <c r="B18" s="3530"/>
      <c r="C18" s="3530"/>
      <c r="D18" s="2338"/>
      <c r="E18" s="3531" t="s">
        <v>2157</v>
      </c>
      <c r="F18" s="3530"/>
      <c r="G18" s="3530"/>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2436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1" priority="53">
      <formula>AND($C4-TODAY()&lt;30,TODAY()&lt;$C4)</formula>
    </cfRule>
  </conditionalFormatting>
  <conditionalFormatting sqref="C20:D20">
    <cfRule type="expression" dxfId="300" priority="52">
      <formula>AND($C20-TODAY()&lt;30,TODAY()&lt;$C20)</formula>
    </cfRule>
  </conditionalFormatting>
  <conditionalFormatting sqref="C20:D20 G4 C4:D5 C13:D13">
    <cfRule type="cellIs" dxfId="299" priority="54" stopIfTrue="1" operator="lessThan">
      <formula>$B$2</formula>
    </cfRule>
  </conditionalFormatting>
  <conditionalFormatting sqref="G5 G7 G9">
    <cfRule type="cellIs" dxfId="298" priority="51" stopIfTrue="1" operator="lessThan">
      <formula>$B$2</formula>
    </cfRule>
  </conditionalFormatting>
  <conditionalFormatting sqref="C6:D6 D14 D16">
    <cfRule type="expression" dxfId="297" priority="49">
      <formula>AND($C6-TODAY()&lt;30,TODAY()&lt;$C6)</formula>
    </cfRule>
  </conditionalFormatting>
  <conditionalFormatting sqref="G6 G8 G10 C6:D6 D7:D12 D14 D16">
    <cfRule type="cellIs" dxfId="296" priority="50" stopIfTrue="1" operator="lessThan">
      <formula>$B$2</formula>
    </cfRule>
  </conditionalFormatting>
  <conditionalFormatting sqref="D12">
    <cfRule type="expression" dxfId="295" priority="47">
      <formula>AND($C12-TODAY()&lt;30,TODAY()&lt;$C12)</formula>
    </cfRule>
  </conditionalFormatting>
  <conditionalFormatting sqref="D12">
    <cfRule type="cellIs" dxfId="294" priority="48" stopIfTrue="1" operator="lessThan">
      <formula>$B$2</formula>
    </cfRule>
  </conditionalFormatting>
  <conditionalFormatting sqref="C13:D13">
    <cfRule type="expression" dxfId="293" priority="45">
      <formula>AND($C13-TODAY()&lt;30,TODAY()&lt;$C13)</formula>
    </cfRule>
  </conditionalFormatting>
  <conditionalFormatting sqref="C13:D13">
    <cfRule type="cellIs" dxfId="292" priority="46" stopIfTrue="1" operator="lessThan">
      <formula>$B$2</formula>
    </cfRule>
  </conditionalFormatting>
  <conditionalFormatting sqref="D14">
    <cfRule type="expression" dxfId="291" priority="43">
      <formula>AND($C14-TODAY()&lt;30,TODAY()&lt;$C14)</formula>
    </cfRule>
  </conditionalFormatting>
  <conditionalFormatting sqref="D14">
    <cfRule type="cellIs" dxfId="290" priority="44" stopIfTrue="1" operator="lessThan">
      <formula>$B$2</formula>
    </cfRule>
  </conditionalFormatting>
  <conditionalFormatting sqref="G13">
    <cfRule type="cellIs" dxfId="289" priority="42" stopIfTrue="1" operator="lessThan">
      <formula>$B$2</formula>
    </cfRule>
  </conditionalFormatting>
  <conditionalFormatting sqref="B4:B11 F4:F11 B13 F13:F14">
    <cfRule type="cellIs" dxfId="288" priority="41" stopIfTrue="1" operator="equal">
      <formula>"已过期"</formula>
    </cfRule>
  </conditionalFormatting>
  <conditionalFormatting sqref="C7">
    <cfRule type="cellIs" dxfId="287" priority="38" stopIfTrue="1" operator="lessThan">
      <formula>$B$2</formula>
    </cfRule>
  </conditionalFormatting>
  <conditionalFormatting sqref="C7">
    <cfRule type="expression" dxfId="286" priority="37">
      <formula>AND($C7-TODAY()&lt;30,TODAY()&lt;$C7)</formula>
    </cfRule>
  </conditionalFormatting>
  <conditionalFormatting sqref="C8">
    <cfRule type="expression" dxfId="285" priority="35">
      <formula>AND($C8-TODAY()&lt;30,TODAY()&lt;$C8)</formula>
    </cfRule>
  </conditionalFormatting>
  <conditionalFormatting sqref="C8">
    <cfRule type="cellIs" dxfId="284" priority="36" stopIfTrue="1" operator="lessThan">
      <formula>$B$2</formula>
    </cfRule>
  </conditionalFormatting>
  <conditionalFormatting sqref="C11">
    <cfRule type="expression" dxfId="283" priority="33">
      <formula>AND($C11-TODAY()&lt;30,TODAY()&lt;$C11)</formula>
    </cfRule>
  </conditionalFormatting>
  <conditionalFormatting sqref="C11">
    <cfRule type="cellIs" dxfId="282" priority="34" stopIfTrue="1" operator="lessThan">
      <formula>$B$2</formula>
    </cfRule>
  </conditionalFormatting>
  <conditionalFormatting sqref="A16:C16">
    <cfRule type="cellIs" dxfId="281" priority="32" stopIfTrue="1" operator="equal">
      <formula>"已过期"</formula>
    </cfRule>
  </conditionalFormatting>
  <conditionalFormatting sqref="E16:G16">
    <cfRule type="cellIs" dxfId="280" priority="31" stopIfTrue="1" operator="equal">
      <formula>"已过期"</formula>
    </cfRule>
  </conditionalFormatting>
  <conditionalFormatting sqref="G11">
    <cfRule type="cellIs" dxfId="279" priority="30" stopIfTrue="1" operator="lessThan">
      <formula>$B$2</formula>
    </cfRule>
  </conditionalFormatting>
  <conditionalFormatting sqref="F12">
    <cfRule type="cellIs" dxfId="278" priority="29" stopIfTrue="1" operator="equal">
      <formula>"已过期"</formula>
    </cfRule>
  </conditionalFormatting>
  <conditionalFormatting sqref="G12">
    <cfRule type="cellIs" dxfId="277" priority="28" stopIfTrue="1" operator="lessThan">
      <formula>$B$2</formula>
    </cfRule>
  </conditionalFormatting>
  <conditionalFormatting sqref="C12">
    <cfRule type="cellIs" dxfId="276" priority="27" stopIfTrue="1" operator="lessThan">
      <formula>$B$2</formula>
    </cfRule>
  </conditionalFormatting>
  <conditionalFormatting sqref="C12">
    <cfRule type="expression" dxfId="275" priority="25">
      <formula>AND($C12-TODAY()&lt;30,TODAY()&lt;$C12)</formula>
    </cfRule>
  </conditionalFormatting>
  <conditionalFormatting sqref="C12">
    <cfRule type="cellIs" dxfId="274" priority="26" stopIfTrue="1" operator="lessThan">
      <formula>$B$2</formula>
    </cfRule>
  </conditionalFormatting>
  <conditionalFormatting sqref="B12">
    <cfRule type="cellIs" dxfId="273" priority="24" stopIfTrue="1" operator="equal">
      <formula>"已过期"</formula>
    </cfRule>
  </conditionalFormatting>
  <conditionalFormatting sqref="C9:C10">
    <cfRule type="expression" dxfId="272" priority="22">
      <formula>AND($C9-TODAY()&lt;30,TODAY()&lt;$C9)</formula>
    </cfRule>
  </conditionalFormatting>
  <conditionalFormatting sqref="C9:C10">
    <cfRule type="cellIs" dxfId="271" priority="23" stopIfTrue="1" operator="lessThan">
      <formula>$B$2</formula>
    </cfRule>
  </conditionalFormatting>
  <conditionalFormatting sqref="G21">
    <cfRule type="expression" dxfId="270" priority="20" stopIfTrue="1">
      <formula>AND(#REF!-TODAY()&lt;30,TODAY()&lt;#REF!)</formula>
    </cfRule>
  </conditionalFormatting>
  <conditionalFormatting sqref="G21">
    <cfRule type="cellIs" dxfId="269" priority="21" stopIfTrue="1" operator="lessThan">
      <formula>$B$2</formula>
    </cfRule>
  </conditionalFormatting>
  <conditionalFormatting sqref="C14">
    <cfRule type="expression" dxfId="268" priority="18">
      <formula>AND($C14-TODAY()&lt;30,TODAY()&lt;$C14)</formula>
    </cfRule>
  </conditionalFormatting>
  <conditionalFormatting sqref="C14">
    <cfRule type="cellIs" dxfId="267" priority="19" stopIfTrue="1" operator="lessThan">
      <formula>$B$2</formula>
    </cfRule>
  </conditionalFormatting>
  <conditionalFormatting sqref="C14">
    <cfRule type="expression" dxfId="266" priority="16">
      <formula>AND($C14-TODAY()&lt;30,TODAY()&lt;$C14)</formula>
    </cfRule>
  </conditionalFormatting>
  <conditionalFormatting sqref="C14">
    <cfRule type="cellIs" dxfId="265" priority="17" stopIfTrue="1" operator="lessThan">
      <formula>$B$2</formula>
    </cfRule>
  </conditionalFormatting>
  <conditionalFormatting sqref="B14">
    <cfRule type="cellIs" dxfId="264" priority="15" stopIfTrue="1" operator="equal">
      <formula>"已过期"</formula>
    </cfRule>
  </conditionalFormatting>
  <conditionalFormatting sqref="G14">
    <cfRule type="cellIs" dxfId="263" priority="14" stopIfTrue="1" operator="lessThan">
      <formula>$B$2</formula>
    </cfRule>
  </conditionalFormatting>
  <conditionalFormatting sqref="D15">
    <cfRule type="expression" dxfId="262" priority="12">
      <formula>AND($C15-TODAY()&lt;30,TODAY()&lt;$C15)</formula>
    </cfRule>
  </conditionalFormatting>
  <conditionalFormatting sqref="D15">
    <cfRule type="cellIs" dxfId="261" priority="13" stopIfTrue="1" operator="lessThan">
      <formula>$B$2</formula>
    </cfRule>
  </conditionalFormatting>
  <conditionalFormatting sqref="D15">
    <cfRule type="expression" dxfId="260" priority="10">
      <formula>AND($C15-TODAY()&lt;30,TODAY()&lt;$C15)</formula>
    </cfRule>
  </conditionalFormatting>
  <conditionalFormatting sqref="D15">
    <cfRule type="cellIs" dxfId="259" priority="11" stopIfTrue="1" operator="lessThan">
      <formula>$B$2</formula>
    </cfRule>
  </conditionalFormatting>
  <conditionalFormatting sqref="F15">
    <cfRule type="cellIs" dxfId="258" priority="9" stopIfTrue="1" operator="equal">
      <formula>"已过期"</formula>
    </cfRule>
  </conditionalFormatting>
  <conditionalFormatting sqref="C15">
    <cfRule type="expression" dxfId="257" priority="7">
      <formula>AND($C15-TODAY()&lt;30,TODAY()&lt;$C15)</formula>
    </cfRule>
  </conditionalFormatting>
  <conditionalFormatting sqref="C15">
    <cfRule type="cellIs" dxfId="256" priority="8" stopIfTrue="1" operator="lessThan">
      <formula>$B$2</formula>
    </cfRule>
  </conditionalFormatting>
  <conditionalFormatting sqref="C15">
    <cfRule type="expression" dxfId="255" priority="5">
      <formula>AND($C15-TODAY()&lt;30,TODAY()&lt;$C15)</formula>
    </cfRule>
  </conditionalFormatting>
  <conditionalFormatting sqref="C15">
    <cfRule type="cellIs" dxfId="254" priority="6" stopIfTrue="1" operator="lessThan">
      <formula>$B$2</formula>
    </cfRule>
  </conditionalFormatting>
  <conditionalFormatting sqref="B15">
    <cfRule type="cellIs" dxfId="253" priority="4" stopIfTrue="1" operator="equal">
      <formula>"已过期"</formula>
    </cfRule>
  </conditionalFormatting>
  <conditionalFormatting sqref="G15">
    <cfRule type="cellIs" dxfId="252" priority="3" stopIfTrue="1" operator="lessThan">
      <formula>$B$2</formula>
    </cfRule>
  </conditionalFormatting>
  <conditionalFormatting sqref="G20">
    <cfRule type="expression" dxfId="251" priority="1" stopIfTrue="1">
      <formula>AND(#REF!-TODAY()&lt;30,TODAY()&lt;#REF!)</formula>
    </cfRule>
  </conditionalFormatting>
  <conditionalFormatting sqref="G20">
    <cfRule type="cellIs" dxfId="25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184</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结果表501</vt:lpstr>
      <vt:lpstr>成本法</vt:lpstr>
      <vt:lpstr>成本法 (元)</vt:lpstr>
      <vt:lpstr>假设开发法</vt:lpstr>
      <vt:lpstr>收益法</vt:lpstr>
      <vt:lpstr>比较法-办公501</vt:lpstr>
      <vt:lpstr>收益法501</vt:lpstr>
      <vt:lpstr>收益法-酒店模型</vt:lpstr>
      <vt:lpstr>收益法（汇总）</vt:lpstr>
      <vt:lpstr>比较法-住宅</vt:lpstr>
      <vt:lpstr>比较法-商业</vt:lpstr>
      <vt:lpstr>结果表502</vt:lpstr>
      <vt:lpstr>比较法-办公502</vt:lpstr>
      <vt:lpstr>收益法502</vt:lpstr>
      <vt:lpstr>结果表503</vt:lpstr>
      <vt:lpstr>比较法-办公503</vt:lpstr>
      <vt:lpstr>收益法503</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'比较法-办公501'!Print_Area</vt:lpstr>
      <vt:lpstr>'比较法-办公502'!Print_Area</vt:lpstr>
      <vt:lpstr>'比较法-办公503'!Print_Area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结果表501!Print_Area</vt:lpstr>
      <vt:lpstr>结果表502!Print_Area</vt:lpstr>
      <vt:lpstr>结果表503!Print_Area</vt:lpstr>
      <vt:lpstr>收益法!Print_Area</vt:lpstr>
      <vt:lpstr>'收益法（汇总）'!Print_Area</vt:lpstr>
      <vt:lpstr>收益法501!Print_Area</vt:lpstr>
      <vt:lpstr>收益法502!Print_Area</vt:lpstr>
      <vt:lpstr>收益法503!Print_Area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'比较法-办公501'!办公层高</vt:lpstr>
      <vt:lpstr>'比较法-办公502'!办公层高</vt:lpstr>
      <vt:lpstr>'比较法-办公503'!办公层高</vt:lpstr>
      <vt:lpstr>'比较法-办公501'!办公朝向</vt:lpstr>
      <vt:lpstr>'比较法-办公502'!办公朝向</vt:lpstr>
      <vt:lpstr>'比较法-办公503'!办公朝向</vt:lpstr>
      <vt:lpstr>'比较法-办公501'!办公道路级别</vt:lpstr>
      <vt:lpstr>'比较法-办公502'!办公道路级别</vt:lpstr>
      <vt:lpstr>'比较法-办公503'!办公道路级别</vt:lpstr>
      <vt:lpstr>'比较法-办公501'!办公公共部分装修</vt:lpstr>
      <vt:lpstr>'比较法-办公502'!办公公共部分装修</vt:lpstr>
      <vt:lpstr>'比较法-办公503'!办公公共部分装修</vt:lpstr>
      <vt:lpstr>'比较法-办公501'!办公基础设施水平</vt:lpstr>
      <vt:lpstr>'比较法-办公502'!办公基础设施水平</vt:lpstr>
      <vt:lpstr>'比较法-办公503'!办公基础设施水平</vt:lpstr>
      <vt:lpstr>办公集聚程度</vt:lpstr>
      <vt:lpstr>'比较法-办公501'!办公建筑结构</vt:lpstr>
      <vt:lpstr>'比较法-办公502'!办公建筑结构</vt:lpstr>
      <vt:lpstr>'比较法-办公503'!办公建筑结构</vt:lpstr>
      <vt:lpstr>'比较法-办公501'!办公建筑类型</vt:lpstr>
      <vt:lpstr>'比较法-办公502'!办公建筑类型</vt:lpstr>
      <vt:lpstr>'比较法-办公503'!办公建筑类型</vt:lpstr>
      <vt:lpstr>'比较法-办公501'!办公交易情况</vt:lpstr>
      <vt:lpstr>'比较法-办公502'!办公交易情况</vt:lpstr>
      <vt:lpstr>'比较法-办公503'!办公交易情况</vt:lpstr>
      <vt:lpstr>'比较法-办公501'!办公楼层</vt:lpstr>
      <vt:lpstr>'比较法-办公502'!办公楼层</vt:lpstr>
      <vt:lpstr>'比较法-办公503'!办公楼层</vt:lpstr>
      <vt:lpstr>'比较法-办公501'!办公内部装修</vt:lpstr>
      <vt:lpstr>'比较法-办公502'!办公内部装修</vt:lpstr>
      <vt:lpstr>'比较法-办公503'!办公内部装修</vt:lpstr>
      <vt:lpstr>'比较法-办公501'!办公物业管理</vt:lpstr>
      <vt:lpstr>'比较法-办公502'!办公物业管理</vt:lpstr>
      <vt:lpstr>'比较法-办公503'!办公物业管理</vt:lpstr>
      <vt:lpstr>'比较法-办公501'!办公用途</vt:lpstr>
      <vt:lpstr>'比较法-办公502'!办公用途</vt:lpstr>
      <vt:lpstr>'比较法-办公503'!办公用途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'比较法-办公501'!写字楼等级</vt:lpstr>
      <vt:lpstr>'比较法-办公502'!写字楼等级</vt:lpstr>
      <vt:lpstr>'比较法-办公503'!写字楼等级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2023-04-18T07:22:44Z</dcterms:modified>
</cp:coreProperties>
</file>