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办公)" sheetId="71"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3" l="1"/>
  <c r="U7" i="1"/>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9" i="71"/>
  <c r="F9" i="70"/>
  <c r="F8" i="71"/>
  <c r="F8" i="70"/>
  <c r="F50" i="71" l="1"/>
  <c r="P62" i="71"/>
  <c r="F50" i="70"/>
  <c r="P62" i="70"/>
  <c r="F38" i="71"/>
  <c r="M26" i="71"/>
  <c r="F37" i="71"/>
  <c r="M28" i="70"/>
  <c r="F16" i="71"/>
  <c r="F37" i="70"/>
  <c r="M22" i="70"/>
  <c r="M9" i="71"/>
  <c r="M24" i="71"/>
  <c r="F26" i="71"/>
  <c r="M23" i="71"/>
  <c r="F36" i="71"/>
  <c r="M6" i="71"/>
  <c r="M26" i="70"/>
  <c r="L48" i="71"/>
  <c r="M24" i="70"/>
  <c r="F16" i="70"/>
  <c r="J36" i="71"/>
  <c r="M28" i="71"/>
  <c r="F38" i="70"/>
  <c r="F40" i="71"/>
  <c r="M27" i="71"/>
  <c r="L48" i="70"/>
  <c r="M8" i="71"/>
  <c r="J36" i="70"/>
  <c r="F42" i="70"/>
  <c r="F40" i="70"/>
  <c r="J15" i="70"/>
  <c r="L47" i="70"/>
  <c r="M23" i="70"/>
  <c r="F42" i="71"/>
  <c r="M6" i="70"/>
  <c r="F26" i="70"/>
  <c r="M9" i="70"/>
  <c r="J15" i="71"/>
  <c r="M27" i="70"/>
  <c r="F13" i="71"/>
  <c r="L47" i="71"/>
  <c r="M8" i="70"/>
  <c r="M22" i="71"/>
  <c r="F36" i="70"/>
  <c r="F13" i="70"/>
  <c r="F67" i="71" l="1"/>
  <c r="F64" i="71"/>
  <c r="L59" i="71"/>
  <c r="L58" i="71"/>
  <c r="F63" i="71"/>
  <c r="L56" i="71"/>
  <c r="L57" i="71"/>
  <c r="L60" i="71"/>
  <c r="J53" i="71"/>
  <c r="I54" i="71"/>
  <c r="J57" i="71"/>
  <c r="J55" i="71" s="1"/>
  <c r="J58" i="71" s="1"/>
  <c r="Q51" i="71" s="1"/>
  <c r="F65" i="71"/>
  <c r="Q72" i="71"/>
  <c r="C27" i="71"/>
  <c r="L59" i="70"/>
  <c r="L58" i="70"/>
  <c r="F67" i="70"/>
  <c r="F64" i="70"/>
  <c r="F63" i="70"/>
  <c r="L56" i="70"/>
  <c r="L57" i="70"/>
  <c r="L60" i="70"/>
  <c r="J53" i="70"/>
  <c r="I54" i="70"/>
  <c r="J57" i="70"/>
  <c r="J55" i="70" s="1"/>
  <c r="J58" i="70" s="1"/>
  <c r="Q51" i="70" s="1"/>
  <c r="F65" i="70"/>
  <c r="Q72" i="70"/>
  <c r="C27" i="70"/>
  <c r="Q53" i="71" l="1"/>
  <c r="F1" i="71"/>
  <c r="Q75" i="71"/>
  <c r="Q62" i="71"/>
  <c r="Q67" i="71"/>
  <c r="Q58" i="71"/>
  <c r="Q61" i="71"/>
  <c r="Q74" i="71"/>
  <c r="Q53" i="70"/>
  <c r="F1" i="70"/>
  <c r="Q61" i="70"/>
  <c r="Q74" i="70"/>
  <c r="Q67" i="70"/>
  <c r="Q58" i="70"/>
  <c r="Q75" i="70"/>
  <c r="Q62" i="70"/>
  <c r="W23" i="1" l="1"/>
  <c r="U19" i="1" s="1"/>
  <c r="G21" i="6"/>
  <c r="F20" i="6"/>
  <c r="I8" i="39" l="1"/>
  <c r="U22" i="1"/>
  <c r="U21" i="1"/>
  <c r="U20" i="1"/>
  <c r="U24" i="1" l="1"/>
  <c r="C40" i="39"/>
  <c r="F19" i="6"/>
  <c r="D3" i="4"/>
  <c r="F6" i="71"/>
  <c r="F6" i="70"/>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G483" i="3"/>
  <c r="G515" i="3"/>
  <c r="G507" i="3"/>
  <c r="G501" i="3"/>
  <c r="BA15" i="3"/>
  <c r="BL17" i="3"/>
  <c r="BL15" i="3"/>
  <c r="BA14" i="3"/>
  <c r="AZ14" i="3" s="1"/>
  <c r="BT5" i="3"/>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58" i="3"/>
  <c r="AZ170"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9" i="3"/>
  <c r="AZ233" i="3"/>
  <c r="AZ245" i="3"/>
  <c r="AZ321" i="3"/>
  <c r="AZ341" i="3"/>
  <c r="AZ363" i="3"/>
  <c r="G368" i="3"/>
  <c r="BA370" i="3"/>
  <c r="AZ370" i="3" s="1"/>
  <c r="BL371" i="3"/>
  <c r="G372" i="3"/>
  <c r="BA374" i="3"/>
  <c r="AZ374" i="3"/>
  <c r="BL375" i="3"/>
  <c r="G376" i="3"/>
  <c r="BA378" i="3"/>
  <c r="AZ378" i="3"/>
  <c r="BL379" i="3"/>
  <c r="AZ379" i="3"/>
  <c r="G380" i="3"/>
  <c r="BA382" i="3"/>
  <c r="AZ382" i="3" s="1"/>
  <c r="BL383" i="3"/>
  <c r="G384" i="3"/>
  <c r="AZ249" i="3"/>
  <c r="AZ261" i="3"/>
  <c r="AZ265" i="3"/>
  <c r="AZ383" i="3"/>
  <c r="AZ274" i="3"/>
  <c r="AZ278" i="3"/>
  <c r="AZ290" i="3"/>
  <c r="AZ303" i="3"/>
  <c r="AZ313" i="3"/>
  <c r="AZ319" i="3"/>
  <c r="AZ335" i="3"/>
  <c r="AZ347" i="3"/>
  <c r="AZ351" i="3"/>
  <c r="AZ361" i="3"/>
  <c r="AZ36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s="1"/>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s="1"/>
  <c r="J42" i="40"/>
  <c r="AC42" i="40"/>
  <c r="J40" i="40"/>
  <c r="AC40" i="40"/>
  <c r="J34" i="40"/>
  <c r="AC34" i="40"/>
  <c r="H16" i="40"/>
  <c r="AB16" i="40"/>
  <c r="H14" i="40"/>
  <c r="U14" i="40"/>
  <c r="F32" i="40"/>
  <c r="AA32" i="40"/>
  <c r="M1" i="46"/>
  <c r="M6" i="46"/>
  <c r="M10" i="46"/>
  <c r="N2" i="46"/>
  <c r="N5" i="46"/>
  <c r="F58" i="46"/>
  <c r="F47" i="46"/>
  <c r="H49" i="46"/>
  <c r="N7" i="46"/>
  <c r="AZ207" i="3"/>
  <c r="AZ212" i="3"/>
  <c r="AZ231" i="3"/>
  <c r="AZ236" i="3"/>
  <c r="AZ247" i="3"/>
  <c r="AZ252" i="3"/>
  <c r="AZ263" i="3"/>
  <c r="AZ276" i="3"/>
  <c r="AZ281" i="3"/>
  <c r="AZ292" i="3"/>
  <c r="AZ121" i="3"/>
  <c r="AZ137" i="3"/>
  <c r="AZ152" i="3"/>
  <c r="M7" i="46"/>
  <c r="M11" i="46"/>
  <c r="N3" i="46"/>
  <c r="N6" i="46"/>
  <c r="N10" i="46"/>
  <c r="AZ164" i="3"/>
  <c r="AZ180" i="3"/>
  <c r="AZ32" i="3"/>
  <c r="AZ48" i="3"/>
  <c r="AZ56" i="3"/>
  <c r="AZ71" i="3"/>
  <c r="AZ91"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29" i="3"/>
  <c r="AZ537" i="3"/>
  <c r="AZ548"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M20" i="15"/>
  <c r="F28" i="15"/>
  <c r="M18" i="15"/>
  <c r="A18" i="64"/>
  <c r="B74" i="63"/>
  <c r="C53" i="10"/>
  <c r="A25" i="64" s="1"/>
  <c r="A18" i="51"/>
  <c r="B14" i="63"/>
  <c r="BA16" i="3"/>
  <c r="BA17" i="3"/>
  <c r="AZ17" i="3" s="1"/>
  <c r="F3" i="35"/>
  <c r="K1" i="43"/>
  <c r="K1" i="12"/>
  <c r="G1" i="44"/>
  <c r="AZ15" i="3"/>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43" i="70"/>
  <c r="F43" i="71"/>
  <c r="J4" i="65"/>
  <c r="L47" i="15"/>
  <c r="I5" i="65"/>
  <c r="I6" i="65"/>
  <c r="F9" i="67"/>
  <c r="E12" i="67"/>
  <c r="M31" i="44"/>
  <c r="F43" i="44"/>
  <c r="N7" i="65"/>
  <c r="B14" i="67"/>
  <c r="I3" i="65"/>
  <c r="B11" i="67"/>
  <c r="M28" i="44"/>
  <c r="M26" i="44"/>
  <c r="L48" i="44"/>
  <c r="F39" i="44"/>
  <c r="J17" i="44"/>
  <c r="M9" i="15"/>
  <c r="M24" i="15"/>
  <c r="F10" i="67"/>
  <c r="F12" i="67"/>
  <c r="M22" i="15"/>
  <c r="M29" i="70"/>
  <c r="F7" i="71"/>
  <c r="J7" i="65"/>
  <c r="F37" i="15"/>
  <c r="N4" i="65"/>
  <c r="N5" i="65"/>
  <c r="F7" i="15"/>
  <c r="L49" i="44"/>
  <c r="F11" i="44"/>
  <c r="J36" i="15"/>
  <c r="F38" i="15"/>
  <c r="B9" i="67"/>
  <c r="J15" i="15"/>
  <c r="E13" i="67"/>
  <c r="F40" i="15"/>
  <c r="F14" i="67"/>
  <c r="F8" i="15"/>
  <c r="F8" i="44"/>
  <c r="L48" i="15"/>
  <c r="B10" i="67"/>
  <c r="B13" i="67"/>
  <c r="F13" i="67"/>
  <c r="M28" i="15"/>
  <c r="I4" i="65"/>
  <c r="F7" i="70"/>
  <c r="M26" i="15"/>
  <c r="M6" i="15"/>
  <c r="F26" i="15"/>
  <c r="E10" i="67"/>
  <c r="I7" i="65"/>
  <c r="F11" i="67"/>
  <c r="E11" i="67"/>
  <c r="J6" i="65"/>
  <c r="B12" i="67"/>
  <c r="M29" i="15"/>
  <c r="F38" i="44"/>
  <c r="F15" i="44"/>
  <c r="E14" i="67"/>
  <c r="F9" i="15"/>
  <c r="M11" i="44"/>
  <c r="B8" i="67"/>
  <c r="F8" i="67"/>
  <c r="F40" i="44"/>
  <c r="J5" i="65"/>
  <c r="N6" i="65"/>
  <c r="F43" i="15"/>
  <c r="F36" i="15"/>
  <c r="F16" i="15"/>
  <c r="M29" i="71"/>
  <c r="J3" i="65"/>
  <c r="M30" i="44"/>
  <c r="F28" i="44"/>
  <c r="M24" i="44"/>
  <c r="M27" i="15"/>
  <c r="F13" i="15"/>
  <c r="F18" i="44"/>
  <c r="M23" i="15"/>
  <c r="M10" i="44"/>
  <c r="M29" i="44"/>
  <c r="N3" i="65"/>
  <c r="F45" i="44"/>
  <c r="M25" i="44"/>
  <c r="E9" i="67"/>
  <c r="F6" i="15"/>
  <c r="M8" i="44"/>
  <c r="F46" i="44"/>
  <c r="F42" i="15"/>
  <c r="F10" i="44"/>
  <c r="M8" i="15"/>
  <c r="E8" i="67"/>
  <c r="F9" i="44"/>
  <c r="F31" i="70"/>
  <c r="D18" i="9" l="1"/>
  <c r="M44" i="9" s="1"/>
  <c r="M43" i="9"/>
  <c r="F107" i="39"/>
  <c r="G107" i="39" s="1"/>
  <c r="H107" i="39" s="1"/>
  <c r="I107" i="39" s="1"/>
  <c r="J107" i="39" s="1"/>
  <c r="K107" i="39" s="1"/>
  <c r="L107" i="39" s="1"/>
  <c r="M107" i="39" s="1"/>
  <c r="H33" i="39"/>
  <c r="U33" i="39" s="1"/>
  <c r="AZ490" i="3"/>
  <c r="AZ507" i="3"/>
  <c r="AZ517" i="3"/>
  <c r="AZ539" i="3"/>
  <c r="AZ568" i="3"/>
  <c r="AZ571" i="3"/>
  <c r="AZ352" i="3"/>
  <c r="AZ344" i="3"/>
  <c r="AZ304" i="3"/>
  <c r="AZ339" i="3"/>
  <c r="AZ331" i="3"/>
  <c r="AZ323" i="3"/>
  <c r="AZ343" i="3"/>
  <c r="AZ327" i="3"/>
  <c r="AZ482" i="3"/>
  <c r="AZ492" i="3"/>
  <c r="AZ544" i="3"/>
  <c r="AZ542" i="3"/>
  <c r="AZ557" i="3"/>
  <c r="BF5" i="3"/>
  <c r="G567" i="3"/>
  <c r="G563" i="3"/>
  <c r="G552" i="3"/>
  <c r="G540" i="3"/>
  <c r="G531" i="3"/>
  <c r="G525" i="3"/>
  <c r="G516" i="3"/>
  <c r="G504" i="3"/>
  <c r="G496" i="3"/>
  <c r="G487" i="3"/>
  <c r="G19" i="3"/>
  <c r="AZ391" i="3"/>
  <c r="AZ394" i="3"/>
  <c r="AZ415" i="3"/>
  <c r="AZ418" i="3"/>
  <c r="AZ538" i="3"/>
  <c r="AZ564" i="3"/>
  <c r="AZ502" i="3"/>
  <c r="AZ550" i="3"/>
  <c r="BA570" i="3"/>
  <c r="AZ570" i="3" s="1"/>
  <c r="BI5" i="3"/>
  <c r="BG5" i="3"/>
  <c r="G490" i="3"/>
  <c r="BL390" i="3"/>
  <c r="AZ390" i="3" s="1"/>
  <c r="G393" i="3"/>
  <c r="BL393" i="3"/>
  <c r="G396" i="3"/>
  <c r="BL396" i="3"/>
  <c r="BA397" i="3"/>
  <c r="AZ397" i="3" s="1"/>
  <c r="BA398" i="3"/>
  <c r="AZ398" i="3" s="1"/>
  <c r="BA399" i="3"/>
  <c r="AZ399" i="3" s="1"/>
  <c r="BL401" i="3"/>
  <c r="AZ401" i="3" s="1"/>
  <c r="BA402" i="3"/>
  <c r="AZ402" i="3" s="1"/>
  <c r="BA403" i="3"/>
  <c r="AZ403" i="3" s="1"/>
  <c r="G405" i="3"/>
  <c r="BL405" i="3"/>
  <c r="BA406" i="3"/>
  <c r="AZ406" i="3" s="1"/>
  <c r="BA407" i="3"/>
  <c r="AZ407" i="3" s="1"/>
  <c r="G410" i="3"/>
  <c r="G411" i="3"/>
  <c r="BL411" i="3"/>
  <c r="BA412" i="3"/>
  <c r="AZ412" i="3" s="1"/>
  <c r="BL414" i="3"/>
  <c r="AZ414" i="3" s="1"/>
  <c r="G417" i="3"/>
  <c r="BL417" i="3"/>
  <c r="G420" i="3"/>
  <c r="AZ434" i="3"/>
  <c r="AZ438" i="3"/>
  <c r="AZ452" i="3"/>
  <c r="AZ458" i="3"/>
  <c r="AZ467" i="3"/>
  <c r="AZ471" i="3"/>
  <c r="AZ474" i="3"/>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AZ235" i="3"/>
  <c r="AZ248" i="3"/>
  <c r="AZ251" i="3"/>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AZ186" i="3"/>
  <c r="AZ194" i="3"/>
  <c r="AZ22" i="3"/>
  <c r="AZ38" i="3"/>
  <c r="AZ93" i="3"/>
  <c r="AZ103" i="3"/>
  <c r="BL55" i="3"/>
  <c r="AZ55" i="3" s="1"/>
  <c r="G58" i="3"/>
  <c r="BL58" i="3"/>
  <c r="G61" i="3"/>
  <c r="BL61" i="3"/>
  <c r="AZ61" i="3" s="1"/>
  <c r="BA62" i="3"/>
  <c r="AZ62" i="3" s="1"/>
  <c r="BA63" i="3"/>
  <c r="AZ63" i="3" s="1"/>
  <c r="BA65" i="3"/>
  <c r="AZ65" i="3" s="1"/>
  <c r="BA66" i="3"/>
  <c r="AZ66" i="3" s="1"/>
  <c r="BA68" i="3"/>
  <c r="AZ68" i="3" s="1"/>
  <c r="BL70" i="3"/>
  <c r="AZ70" i="3" s="1"/>
  <c r="G73" i="3"/>
  <c r="BL73" i="3"/>
  <c r="AZ73" i="3" s="1"/>
  <c r="G76" i="3"/>
  <c r="BL76" i="3"/>
  <c r="AZ76" i="3" s="1"/>
  <c r="BA77" i="3"/>
  <c r="AZ77" i="3" s="1"/>
  <c r="BA78" i="3"/>
  <c r="AZ78" i="3" s="1"/>
  <c r="BA79" i="3"/>
  <c r="AZ79" i="3" s="1"/>
  <c r="G82" i="3"/>
  <c r="G5" i="3" s="1"/>
  <c r="B3" i="3" s="1"/>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AZ393" i="3"/>
  <c r="AZ396" i="3"/>
  <c r="AZ405" i="3"/>
  <c r="AZ411" i="3"/>
  <c r="AZ417" i="3"/>
  <c r="AZ432" i="3"/>
  <c r="AZ443" i="3"/>
  <c r="AZ447" i="3"/>
  <c r="AZ462" i="3"/>
  <c r="AZ465" i="3"/>
  <c r="AZ484" i="3"/>
  <c r="AZ424" i="3"/>
  <c r="AZ457" i="3"/>
  <c r="AZ473" i="3"/>
  <c r="F30" i="6"/>
  <c r="H5" i="3"/>
  <c r="AZ478" i="3"/>
  <c r="AZ267" i="3"/>
  <c r="AZ318" i="3"/>
  <c r="AZ334" i="3"/>
  <c r="AZ350" i="3"/>
  <c r="AZ208" i="3"/>
  <c r="AZ211" i="3"/>
  <c r="AZ224" i="3"/>
  <c r="AZ227" i="3"/>
  <c r="AZ240" i="3"/>
  <c r="AZ243" i="3"/>
  <c r="AZ256" i="3"/>
  <c r="AZ259" i="3"/>
  <c r="AZ277" i="3"/>
  <c r="AZ280" i="3"/>
  <c r="AZ293" i="3"/>
  <c r="AZ117" i="3"/>
  <c r="AZ120" i="3"/>
  <c r="AZ133" i="3"/>
  <c r="AZ136" i="3"/>
  <c r="AZ149" i="3"/>
  <c r="AZ160" i="3"/>
  <c r="AZ163" i="3"/>
  <c r="AZ176" i="3"/>
  <c r="AZ182" i="3"/>
  <c r="AZ190" i="3"/>
  <c r="AZ198" i="3"/>
  <c r="AZ26" i="3"/>
  <c r="AZ29" i="3"/>
  <c r="AZ36" i="3"/>
  <c r="AZ42" i="3"/>
  <c r="AZ45" i="3"/>
  <c r="AZ52" i="3"/>
  <c r="AZ58" i="3"/>
  <c r="AZ204" i="3"/>
  <c r="AZ67" i="3"/>
  <c r="AZ69" i="3"/>
  <c r="AZ80" i="3"/>
  <c r="AZ89" i="3"/>
  <c r="AZ100" i="3"/>
  <c r="AZ105" i="3"/>
  <c r="F49" i="71"/>
  <c r="M7" i="71"/>
  <c r="C6" i="71"/>
  <c r="F70" i="71"/>
  <c r="F49" i="70"/>
  <c r="M7" i="70"/>
  <c r="C6" i="70"/>
  <c r="F70" i="70"/>
  <c r="M6" i="1"/>
  <c r="M7" i="1"/>
  <c r="C16" i="46"/>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I4" i="6"/>
  <c r="G3" i="46" s="1"/>
  <c r="AC11" i="46" s="1"/>
  <c r="AC13" i="46" s="1"/>
  <c r="BB5" i="3"/>
  <c r="E8" i="6" s="1"/>
  <c r="BA13" i="3"/>
  <c r="BA5" i="3" s="1"/>
  <c r="BL5" i="3"/>
  <c r="AZ13" i="3"/>
  <c r="E28" i="6"/>
  <c r="G30" i="6"/>
  <c r="G31" i="6" s="1"/>
  <c r="E12" i="6"/>
  <c r="E14" i="6"/>
  <c r="E15" i="6"/>
  <c r="E11" i="6"/>
  <c r="E10" i="6"/>
  <c r="E13" i="6"/>
  <c r="E60" i="40" s="1"/>
  <c r="O10" i="1"/>
  <c r="P10" i="1" s="1"/>
  <c r="O7" i="1"/>
  <c r="P7" i="1" s="1"/>
  <c r="O11" i="1"/>
  <c r="P11" i="1" s="1"/>
  <c r="O12" i="1"/>
  <c r="P12" i="1" s="1"/>
  <c r="O6" i="1"/>
  <c r="P6" i="1" s="1"/>
  <c r="Y11" i="46"/>
  <c r="Y13" i="46" s="1"/>
  <c r="E22" i="46"/>
  <c r="O9" i="1"/>
  <c r="P9" i="1" s="1"/>
  <c r="O13" i="1"/>
  <c r="P13" i="1" s="1"/>
  <c r="Q16" i="1"/>
  <c r="H16" i="1"/>
  <c r="AB11" i="46"/>
  <c r="AB13" i="46" s="1"/>
  <c r="AA11" i="46"/>
  <c r="AA13" i="46" s="1"/>
  <c r="AH11" i="46"/>
  <c r="AH13" i="46" s="1"/>
  <c r="Z11" i="46"/>
  <c r="Z13" i="46" s="1"/>
  <c r="N101" i="46"/>
  <c r="Z7" i="46"/>
  <c r="F22" i="46"/>
  <c r="N104" i="45"/>
  <c r="J101" i="46"/>
  <c r="C101" i="46"/>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31" i="71"/>
  <c r="E2" i="65"/>
  <c r="M17" i="15"/>
  <c r="M17" i="71"/>
  <c r="M19" i="44"/>
  <c r="C18" i="44"/>
  <c r="C16" i="70"/>
  <c r="C16" i="15"/>
  <c r="F58" i="71"/>
  <c r="F58" i="15"/>
  <c r="F58" i="70"/>
  <c r="C16" i="71"/>
  <c r="F31" i="15"/>
  <c r="M17" i="70"/>
  <c r="E3" i="65"/>
  <c r="F33" i="44"/>
  <c r="AF11" i="46" l="1"/>
  <c r="AF13" i="46" s="1"/>
  <c r="G101" i="46"/>
  <c r="B113" i="46"/>
  <c r="L101" i="46"/>
  <c r="E101" i="46"/>
  <c r="K101" i="46"/>
  <c r="F101" i="46"/>
  <c r="AD11" i="46"/>
  <c r="AD13" i="46" s="1"/>
  <c r="C23" i="46"/>
  <c r="C21" i="46" s="1"/>
  <c r="AI11" i="46"/>
  <c r="AI13" i="46" s="1"/>
  <c r="H22" i="46"/>
  <c r="D22" i="46" s="1"/>
  <c r="G22" i="46"/>
  <c r="I101" i="46"/>
  <c r="I102" i="46" s="1"/>
  <c r="AE11" i="46"/>
  <c r="AE13" i="46" s="1"/>
  <c r="H101" i="46"/>
  <c r="H105" i="46" s="1"/>
  <c r="M101" i="46"/>
  <c r="M102" i="46" s="1"/>
  <c r="AG11" i="46"/>
  <c r="AG13" i="46" s="1"/>
  <c r="J22" i="46"/>
  <c r="D101" i="46"/>
  <c r="E413" i="3"/>
  <c r="E68" i="3"/>
  <c r="E147" i="3"/>
  <c r="E439" i="3"/>
  <c r="E117" i="3"/>
  <c r="E528" i="3"/>
  <c r="X6" i="3"/>
  <c r="E387" i="3"/>
  <c r="R6" i="3"/>
  <c r="E125" i="3"/>
  <c r="AH6" i="3"/>
  <c r="E57" i="3"/>
  <c r="E463" i="3"/>
  <c r="E292" i="3"/>
  <c r="E426" i="3"/>
  <c r="E60" i="3"/>
  <c r="E75" i="3"/>
  <c r="E178" i="3"/>
  <c r="J6" i="3"/>
  <c r="E500" i="3"/>
  <c r="E48" i="3"/>
  <c r="E97" i="3"/>
  <c r="E438" i="3"/>
  <c r="AE6" i="3"/>
  <c r="I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430" i="3"/>
  <c r="E82" i="3"/>
  <c r="E146" i="3"/>
  <c r="E164" i="3"/>
  <c r="E77" i="3"/>
  <c r="E99" i="3"/>
  <c r="E434" i="3"/>
  <c r="E262" i="3"/>
  <c r="E552" i="3"/>
  <c r="E101" i="3"/>
  <c r="E86" i="3"/>
  <c r="E135" i="3"/>
  <c r="E22" i="3"/>
  <c r="E459" i="3"/>
  <c r="E231" i="3"/>
  <c r="E470" i="3"/>
  <c r="E376" i="3"/>
  <c r="E294" i="3"/>
  <c r="E21" i="3"/>
  <c r="E64" i="3"/>
  <c r="E140" i="3"/>
  <c r="E274" i="3"/>
  <c r="E32" i="3"/>
  <c r="E547" i="3"/>
  <c r="E447" i="3"/>
  <c r="E33" i="3"/>
  <c r="Q6" i="3"/>
  <c r="E119" i="3"/>
  <c r="E168" i="3"/>
  <c r="AS6" i="3"/>
  <c r="E34" i="3"/>
  <c r="E444" i="3"/>
  <c r="E407" i="3"/>
  <c r="E383"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Z5" i="3"/>
  <c r="E179" i="3"/>
  <c r="E141" i="3"/>
  <c r="E357" i="3"/>
  <c r="E28" i="3"/>
  <c r="E317" i="3"/>
  <c r="E80" i="3"/>
  <c r="E478" i="3"/>
  <c r="E415" i="3"/>
  <c r="E399" i="3"/>
  <c r="E367" i="3"/>
  <c r="E205" i="3"/>
  <c r="E441" i="3"/>
  <c r="E223" i="3"/>
  <c r="E143" i="3"/>
  <c r="AK6" i="3"/>
  <c r="E452" i="3"/>
  <c r="E423" i="3"/>
  <c r="E54" i="3"/>
  <c r="E199" i="3"/>
  <c r="E537" i="3"/>
  <c r="E225" i="3"/>
  <c r="E253" i="3"/>
  <c r="E187" i="3"/>
  <c r="E321" i="3"/>
  <c r="E409" i="3"/>
  <c r="E375" i="3"/>
  <c r="E570" i="3"/>
  <c r="E282" i="3"/>
  <c r="E55" i="3"/>
  <c r="E394" i="3"/>
  <c r="E93" i="3"/>
  <c r="E348" i="3"/>
  <c r="E114" i="3"/>
  <c r="E192" i="3"/>
  <c r="E476" i="3"/>
  <c r="AO6" i="3"/>
  <c r="E475" i="3"/>
  <c r="E421" i="3"/>
  <c r="E206" i="3"/>
  <c r="E132" i="3"/>
  <c r="E333" i="3"/>
  <c r="E91" i="3"/>
  <c r="E115" i="3"/>
  <c r="E359" i="3"/>
  <c r="E195" i="3"/>
  <c r="E391" i="3"/>
  <c r="E349" i="3"/>
  <c r="E149" i="3"/>
  <c r="E295" i="3"/>
  <c r="E249" i="3"/>
  <c r="E89" i="3"/>
  <c r="E549" i="3"/>
  <c r="E201" i="3"/>
  <c r="E460" i="3"/>
  <c r="E170" i="3"/>
  <c r="I3" i="6"/>
  <c r="E30" i="3"/>
  <c r="E213" i="3"/>
  <c r="E490" i="3"/>
  <c r="E536" i="3"/>
  <c r="E218" i="3"/>
  <c r="E397" i="3"/>
  <c r="E442" i="3"/>
  <c r="E462" i="3"/>
  <c r="E110" i="3"/>
  <c r="E47" i="3"/>
  <c r="E63" i="3"/>
  <c r="E545" i="3"/>
  <c r="E174" i="3"/>
  <c r="E184" i="3"/>
  <c r="E129" i="3"/>
  <c r="E482" i="3"/>
  <c r="E98" i="3"/>
  <c r="E473" i="3"/>
  <c r="E422" i="3"/>
  <c r="N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M6" i="3"/>
  <c r="E69" i="3"/>
  <c r="E152" i="3"/>
  <c r="E46" i="3"/>
  <c r="E457" i="3"/>
  <c r="E131" i="3"/>
  <c r="E304" i="3"/>
  <c r="E165" i="3"/>
  <c r="E404" i="3"/>
  <c r="E435" i="3"/>
  <c r="E343" i="3"/>
  <c r="E142" i="3"/>
  <c r="E410" i="3"/>
  <c r="E468" i="3"/>
  <c r="E109" i="3"/>
  <c r="E185" i="3"/>
  <c r="E148" i="3"/>
  <c r="E27" i="3"/>
  <c r="E412" i="3"/>
  <c r="E469" i="3"/>
  <c r="W6" i="3"/>
  <c r="E293" i="3"/>
  <c r="E190" i="3"/>
  <c r="E560" i="3"/>
  <c r="E420" i="3"/>
  <c r="E111" i="3"/>
  <c r="E233" i="3"/>
  <c r="E261" i="3"/>
  <c r="E203" i="3"/>
  <c r="E39" i="3"/>
  <c r="E402" i="3"/>
  <c r="E107" i="3"/>
  <c r="E172" i="3"/>
  <c r="E288" i="3"/>
  <c r="E255" i="3"/>
  <c r="E393" i="3"/>
  <c r="E417" i="3"/>
  <c r="E88" i="3"/>
  <c r="E145" i="3"/>
  <c r="E480" i="3"/>
  <c r="E27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446" i="3"/>
  <c r="E221" i="3"/>
  <c r="E237" i="3"/>
  <c r="E100" i="3"/>
  <c r="P6" i="3"/>
  <c r="AP6" i="3"/>
  <c r="E70" i="3"/>
  <c r="E151" i="3"/>
  <c r="E53" i="3"/>
  <c r="E398" i="3"/>
  <c r="E533" i="3"/>
  <c r="E37" i="3"/>
  <c r="E303" i="3"/>
  <c r="AT6" i="3"/>
  <c r="E467" i="3"/>
  <c r="E67" i="3"/>
  <c r="E214" i="3"/>
  <c r="E486" i="3"/>
  <c r="E543" i="3"/>
  <c r="E264"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437" i="3"/>
  <c r="E428" i="3"/>
  <c r="E84" i="3"/>
  <c r="E38" i="3"/>
  <c r="E405" i="3"/>
  <c r="E189" i="3"/>
  <c r="E275" i="3"/>
  <c r="E429" i="3"/>
  <c r="E372" i="3"/>
  <c r="E15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523" i="3"/>
  <c r="E380" i="3"/>
  <c r="E557" i="3"/>
  <c r="E503" i="3"/>
  <c r="E13" i="3"/>
  <c r="E241" i="3"/>
  <c r="E31" i="3"/>
  <c r="E36" i="3"/>
  <c r="E374" i="3"/>
  <c r="E431" i="3"/>
  <c r="E313" i="3"/>
  <c r="E232" i="3"/>
  <c r="E507" i="3"/>
  <c r="L6" i="3"/>
  <c r="E116" i="3"/>
  <c r="E465"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20" i="3"/>
  <c r="E356" i="3"/>
  <c r="E564" i="3"/>
  <c r="E481" i="3"/>
  <c r="J6" i="70"/>
  <c r="J6" i="71"/>
  <c r="C48" i="70"/>
  <c r="C48" i="71"/>
  <c r="F11" i="7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7" i="46"/>
  <c r="M107" i="46"/>
  <c r="U23" i="39"/>
  <c r="H13" i="39"/>
  <c r="AB13" i="39" s="1"/>
  <c r="AC19" i="39"/>
  <c r="AA19" i="39"/>
  <c r="AC17" i="39"/>
  <c r="AB17" i="39"/>
  <c r="AC23" i="39"/>
  <c r="U19" i="39"/>
  <c r="AB19" i="39"/>
  <c r="AA17" i="39"/>
  <c r="S17" i="39"/>
  <c r="AA13" i="39"/>
  <c r="S13" i="39"/>
  <c r="W13" i="39"/>
  <c r="E53" i="40"/>
  <c r="E58" i="39"/>
  <c r="F27" i="6"/>
  <c r="F31" i="6" s="1"/>
  <c r="E67" i="39"/>
  <c r="E62" i="40"/>
  <c r="E64" i="39"/>
  <c r="E59" i="40"/>
  <c r="E30" i="6"/>
  <c r="K14" i="1"/>
  <c r="E3" i="6"/>
  <c r="AY6" i="3"/>
  <c r="E16" i="6"/>
  <c r="E65" i="39"/>
  <c r="E63" i="39"/>
  <c r="E58" i="40"/>
  <c r="E61" i="40"/>
  <c r="E66" i="39"/>
  <c r="M104" i="46"/>
  <c r="D106" i="46"/>
  <c r="D107" i="46"/>
  <c r="D105" i="46"/>
  <c r="F33" i="12"/>
  <c r="C34" i="12" s="1"/>
  <c r="D33" i="12" s="1"/>
  <c r="F18" i="11"/>
  <c r="C18" i="11" s="1"/>
  <c r="F24" i="43"/>
  <c r="C26" i="43" s="1"/>
  <c r="D24" i="43" s="1"/>
  <c r="I105" i="46"/>
  <c r="H104" i="46"/>
  <c r="H106" i="46"/>
  <c r="H102"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AE7" i="1"/>
  <c r="U13" i="39" l="1"/>
  <c r="H107" i="46"/>
  <c r="H109" i="46"/>
  <c r="I103" i="46"/>
  <c r="M105" i="46"/>
  <c r="M103" i="46"/>
  <c r="M106" i="46"/>
  <c r="M109" i="46"/>
  <c r="I106" i="46"/>
  <c r="I109" i="46"/>
  <c r="D104" i="46"/>
  <c r="D103" i="46"/>
  <c r="D102" i="46"/>
  <c r="D109" i="46"/>
  <c r="AC6" i="3"/>
  <c r="H6" i="3"/>
  <c r="F24" i="70"/>
  <c r="C24" i="70" s="1"/>
  <c r="F24" i="71"/>
  <c r="J26" i="71"/>
  <c r="J24" i="71"/>
  <c r="J18" i="71"/>
  <c r="C52" i="71"/>
  <c r="C47" i="71" s="1"/>
  <c r="C10" i="71"/>
  <c r="C5" i="71" s="1"/>
  <c r="C52" i="70"/>
  <c r="C47" i="70" s="1"/>
  <c r="C10" i="70"/>
  <c r="C5" i="70" s="1"/>
  <c r="J26" i="70"/>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F41" i="71"/>
  <c r="F41" i="70"/>
  <c r="F41" i="15"/>
  <c r="F7" i="67"/>
  <c r="L52" i="44"/>
  <c r="F68" i="71" l="1"/>
  <c r="J29" i="71"/>
  <c r="F68" i="70"/>
  <c r="J29" i="70"/>
  <c r="E6" i="3"/>
  <c r="C59" i="71"/>
  <c r="C65" i="71"/>
  <c r="C60" i="71"/>
  <c r="C38" i="71"/>
  <c r="C33" i="71"/>
  <c r="C32" i="71"/>
  <c r="C24" i="71"/>
  <c r="C59" i="70"/>
  <c r="C65" i="70"/>
  <c r="C60" i="70"/>
  <c r="C38" i="70"/>
  <c r="C33" i="70"/>
  <c r="C32"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C17" i="71"/>
  <c r="E7" i="67"/>
  <c r="B7" i="67"/>
  <c r="R23" i="6" l="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D8" i="12" s="1"/>
  <c r="C50" i="34"/>
  <c r="B3" i="34" s="1"/>
  <c r="B2" i="34" s="1"/>
  <c r="C49" i="34"/>
  <c r="I52" i="37"/>
  <c r="B2" i="67"/>
  <c r="D4" i="46"/>
  <c r="B4" i="46"/>
  <c r="B3" i="46"/>
  <c r="Q68" i="44"/>
  <c r="Q77" i="44" s="1"/>
  <c r="Q59" i="44"/>
  <c r="Q64" i="44" s="1"/>
  <c r="C19" i="44"/>
  <c r="C17" i="70"/>
  <c r="C17" i="15"/>
  <c r="B3" i="33" l="1"/>
  <c r="B2" i="33" s="1"/>
  <c r="Y19" i="1"/>
  <c r="I65" i="40"/>
  <c r="H67" i="40"/>
  <c r="L70" i="39"/>
  <c r="K72" i="39"/>
  <c r="S16" i="1"/>
  <c r="T11" i="1" s="1"/>
  <c r="S20" i="6"/>
  <c r="H20" i="6"/>
  <c r="R20" i="6" s="1"/>
  <c r="R7" i="1" s="1"/>
  <c r="S21" i="6"/>
  <c r="H21" i="6"/>
  <c r="R21" i="6" s="1"/>
  <c r="R8" i="1" s="1"/>
  <c r="T10" i="1"/>
  <c r="T12" i="1"/>
  <c r="T13" i="1"/>
  <c r="I19" i="6"/>
  <c r="M27" i="6"/>
  <c r="C17" i="12"/>
  <c r="C14" i="12"/>
  <c r="C14" i="43"/>
  <c r="C17" i="43"/>
  <c r="I6" i="6"/>
  <c r="I5" i="6"/>
  <c r="J52" i="37"/>
  <c r="E36" i="36"/>
  <c r="R37" i="36"/>
  <c r="I40" i="36"/>
  <c r="J40" i="36" s="1"/>
  <c r="G40" i="36"/>
  <c r="H40" i="36" s="1"/>
  <c r="G41" i="36"/>
  <c r="H41" i="36" s="1"/>
  <c r="B3" i="67"/>
  <c r="B4" i="67"/>
  <c r="M21" i="70"/>
  <c r="F35" i="70"/>
  <c r="F37" i="44"/>
  <c r="M23" i="44"/>
  <c r="T7" i="1" l="1"/>
  <c r="T9" i="1"/>
  <c r="T8" i="1"/>
  <c r="T6" i="1"/>
  <c r="C34" i="70"/>
  <c r="C31" i="70" s="1"/>
  <c r="F62" i="70"/>
  <c r="C61" i="70" s="1"/>
  <c r="C58" i="70" s="1"/>
  <c r="J20" i="70"/>
  <c r="Y22" i="1"/>
  <c r="Y21" i="1"/>
  <c r="Y20" i="1"/>
  <c r="M70" i="39"/>
  <c r="L72" i="39"/>
  <c r="J65" i="40"/>
  <c r="I67" i="40"/>
  <c r="C36" i="44"/>
  <c r="J22" i="44"/>
  <c r="T16" i="1"/>
  <c r="C18" i="43"/>
  <c r="C19" i="43" s="1"/>
  <c r="C25" i="43" s="1"/>
  <c r="C24" i="43" s="1"/>
  <c r="H19" i="6"/>
  <c r="I27" i="6"/>
  <c r="S19" i="6"/>
  <c r="S27" i="6" s="1"/>
  <c r="C18" i="12"/>
  <c r="E40" i="36"/>
  <c r="F40" i="36" s="1"/>
  <c r="E41" i="36"/>
  <c r="F41" i="36" s="1"/>
  <c r="K52" i="37"/>
  <c r="I41" i="36"/>
  <c r="J41" i="36" s="1"/>
  <c r="C37" i="36"/>
  <c r="B3" i="36" s="1"/>
  <c r="B2" i="36" s="1"/>
  <c r="C36" i="36"/>
  <c r="C14" i="70"/>
  <c r="C14" i="15"/>
  <c r="C14" i="71"/>
  <c r="C16" i="44"/>
  <c r="C18" i="15" l="1"/>
  <c r="C15" i="15"/>
  <c r="C18" i="70"/>
  <c r="C15" i="70"/>
  <c r="C15" i="71"/>
  <c r="C18" i="71"/>
  <c r="C17" i="44"/>
  <c r="C20" i="44"/>
  <c r="Y24" i="1"/>
  <c r="D10" i="12" s="1"/>
  <c r="K65" i="40"/>
  <c r="J67" i="40"/>
  <c r="M72" i="39"/>
  <c r="N70" i="39"/>
  <c r="N72" i="39" s="1"/>
  <c r="C33" i="15"/>
  <c r="R19" i="6"/>
  <c r="H27" i="6"/>
  <c r="C22" i="43"/>
  <c r="C21" i="43" s="1"/>
  <c r="C28" i="43" s="1"/>
  <c r="C30" i="43" s="1"/>
  <c r="C32" i="43" s="1"/>
  <c r="B2" i="43" s="1"/>
  <c r="C23" i="12"/>
  <c r="L52" i="37"/>
  <c r="C19" i="15" l="1"/>
  <c r="C20" i="15" s="1"/>
  <c r="C26" i="15" s="1"/>
  <c r="C21" i="44"/>
  <c r="C22" i="44" s="1"/>
  <c r="C25" i="44" s="1"/>
  <c r="C19" i="71"/>
  <c r="C20" i="71" s="1"/>
  <c r="C26" i="71" s="1"/>
  <c r="C19" i="70"/>
  <c r="C20" i="70" s="1"/>
  <c r="C26" i="70" s="1"/>
  <c r="C23" i="15"/>
  <c r="C29" i="15" s="1"/>
  <c r="C13" i="15" s="1"/>
  <c r="J35" i="15" s="1"/>
  <c r="H9" i="39"/>
  <c r="J9" i="39"/>
  <c r="L65" i="40"/>
  <c r="K67" i="40"/>
  <c r="F9" i="39"/>
  <c r="R27" i="6"/>
  <c r="R6" i="1"/>
  <c r="B5" i="43"/>
  <c r="B3" i="43"/>
  <c r="B4" i="43"/>
  <c r="M52" i="37"/>
  <c r="N52" i="37" s="1"/>
  <c r="O52" i="37" s="1"/>
  <c r="J7" i="37" s="1"/>
  <c r="H7" i="37"/>
  <c r="F7" i="37"/>
  <c r="F35" i="15"/>
  <c r="M21" i="15"/>
  <c r="M21" i="71"/>
  <c r="F35" i="71"/>
  <c r="C28" i="44" l="1"/>
  <c r="C31" i="44" s="1"/>
  <c r="C15" i="44" s="1"/>
  <c r="C23" i="71"/>
  <c r="C29" i="71" s="1"/>
  <c r="J19" i="71" s="1"/>
  <c r="C23" i="70"/>
  <c r="C29" i="70" s="1"/>
  <c r="C36" i="70" s="1"/>
  <c r="J59" i="15"/>
  <c r="J60" i="15" s="1"/>
  <c r="Q49" i="15" s="1"/>
  <c r="C56" i="15"/>
  <c r="C60" i="15" s="1"/>
  <c r="C37" i="15"/>
  <c r="Q50" i="15"/>
  <c r="C36" i="15"/>
  <c r="J19" i="15"/>
  <c r="C55" i="15"/>
  <c r="C64" i="15" s="1"/>
  <c r="J14" i="15"/>
  <c r="J13" i="15" s="1"/>
  <c r="J23" i="15" s="1"/>
  <c r="Q71" i="15"/>
  <c r="J20" i="71"/>
  <c r="F62" i="71"/>
  <c r="C61" i="71" s="1"/>
  <c r="C58" i="71" s="1"/>
  <c r="C34" i="71"/>
  <c r="C31" i="71" s="1"/>
  <c r="AC9" i="39"/>
  <c r="V49" i="39" s="1"/>
  <c r="I49" i="39" s="1"/>
  <c r="W9" i="39"/>
  <c r="S9" i="39"/>
  <c r="AA9" i="39"/>
  <c r="R49" i="39" s="1"/>
  <c r="L67" i="40"/>
  <c r="M65" i="40"/>
  <c r="AB9" i="39"/>
  <c r="T49" i="39" s="1"/>
  <c r="G49" i="39" s="1"/>
  <c r="U9" i="39"/>
  <c r="F62" i="15"/>
  <c r="C61" i="15" s="1"/>
  <c r="C34" i="15"/>
  <c r="C31" i="15" s="1"/>
  <c r="J20" i="15"/>
  <c r="R16" i="1"/>
  <c r="L57" i="15"/>
  <c r="L60" i="15" s="1"/>
  <c r="U7" i="37"/>
  <c r="AB7" i="37"/>
  <c r="T42" i="37" s="1"/>
  <c r="G42" i="37" s="1"/>
  <c r="AA7" i="37"/>
  <c r="R42" i="37" s="1"/>
  <c r="S7" i="37"/>
  <c r="AC7" i="37"/>
  <c r="V42" i="37" s="1"/>
  <c r="I42" i="37" s="1"/>
  <c r="W7" i="37"/>
  <c r="J16" i="44" l="1"/>
  <c r="J24" i="44" s="1"/>
  <c r="J17" i="71"/>
  <c r="C36" i="71"/>
  <c r="Q50" i="71"/>
  <c r="C56" i="71"/>
  <c r="C63" i="71" s="1"/>
  <c r="C35" i="44"/>
  <c r="C33" i="44" s="1"/>
  <c r="J21" i="44"/>
  <c r="J19" i="44" s="1"/>
  <c r="C56" i="70"/>
  <c r="C63" i="70" s="1"/>
  <c r="Q51" i="44"/>
  <c r="C38" i="44"/>
  <c r="J59" i="70"/>
  <c r="J60" i="70" s="1"/>
  <c r="Q49" i="70" s="1"/>
  <c r="Q50" i="70"/>
  <c r="J14" i="71"/>
  <c r="J22" i="71" s="1"/>
  <c r="C13" i="71"/>
  <c r="J35" i="71" s="1"/>
  <c r="J59" i="71"/>
  <c r="J60" i="71" s="1"/>
  <c r="Q49" i="71" s="1"/>
  <c r="C13" i="70"/>
  <c r="Q71" i="70" s="1"/>
  <c r="J19" i="70"/>
  <c r="J17" i="70" s="1"/>
  <c r="J14" i="70"/>
  <c r="J22" i="70" s="1"/>
  <c r="C63" i="15"/>
  <c r="C37" i="71"/>
  <c r="J13" i="71"/>
  <c r="J23" i="71" s="1"/>
  <c r="C58" i="15"/>
  <c r="C30" i="15"/>
  <c r="C39" i="15" s="1"/>
  <c r="Q70" i="15" s="1"/>
  <c r="Q69" i="15" s="1"/>
  <c r="J22" i="15"/>
  <c r="J17" i="15"/>
  <c r="N65" i="40"/>
  <c r="N67" i="40" s="1"/>
  <c r="M67" i="40"/>
  <c r="J9" i="40" s="1"/>
  <c r="E49" i="39"/>
  <c r="I54" i="39" s="1"/>
  <c r="J54" i="39" s="1"/>
  <c r="R50" i="39"/>
  <c r="G53" i="39"/>
  <c r="H53" i="39" s="1"/>
  <c r="G54" i="39"/>
  <c r="H54" i="39" s="1"/>
  <c r="I53" i="39"/>
  <c r="J53" i="39" s="1"/>
  <c r="J15" i="44"/>
  <c r="J25" i="44" s="1"/>
  <c r="Q72" i="44"/>
  <c r="C43" i="44"/>
  <c r="C39" i="44"/>
  <c r="Q58" i="15"/>
  <c r="L46" i="15"/>
  <c r="Q67" i="15"/>
  <c r="G46" i="37"/>
  <c r="H46" i="37" s="1"/>
  <c r="G47" i="37"/>
  <c r="H47" i="37" s="1"/>
  <c r="I46" i="37"/>
  <c r="J46" i="37" s="1"/>
  <c r="E42" i="37"/>
  <c r="I47" i="37" s="1"/>
  <c r="J47" i="37" s="1"/>
  <c r="R43" i="37"/>
  <c r="L51" i="15"/>
  <c r="C30" i="71" l="1"/>
  <c r="C39" i="71" s="1"/>
  <c r="Q70" i="71" s="1"/>
  <c r="J16" i="71"/>
  <c r="J25" i="71" s="1"/>
  <c r="C32" i="44"/>
  <c r="C42" i="44" s="1"/>
  <c r="Q71" i="44" s="1"/>
  <c r="Q70" i="44" s="1"/>
  <c r="J35" i="70"/>
  <c r="C55" i="71"/>
  <c r="C64" i="71" s="1"/>
  <c r="C57" i="71" s="1"/>
  <c r="C66" i="71" s="1"/>
  <c r="C67" i="71" s="1"/>
  <c r="C70" i="71" s="1"/>
  <c r="Q71" i="71"/>
  <c r="C57" i="15"/>
  <c r="C66" i="15" s="1"/>
  <c r="C67" i="15" s="1"/>
  <c r="C70" i="15" s="1"/>
  <c r="J39" i="15"/>
  <c r="J40" i="15" s="1"/>
  <c r="J13" i="70"/>
  <c r="J23" i="70" s="1"/>
  <c r="J16" i="70" s="1"/>
  <c r="J25" i="70" s="1"/>
  <c r="C55" i="70"/>
  <c r="C64" i="70" s="1"/>
  <c r="C57" i="70" s="1"/>
  <c r="C66" i="70" s="1"/>
  <c r="C67" i="70" s="1"/>
  <c r="C70" i="70" s="1"/>
  <c r="C37" i="70"/>
  <c r="C30" i="70" s="1"/>
  <c r="C39" i="70" s="1"/>
  <c r="J16" i="15"/>
  <c r="J25" i="15" s="1"/>
  <c r="J39" i="71"/>
  <c r="J40" i="71" s="1"/>
  <c r="Q68" i="15"/>
  <c r="C40" i="15"/>
  <c r="B2" i="15" s="1"/>
  <c r="B3" i="15" s="1"/>
  <c r="AC9" i="40"/>
  <c r="V44" i="40" s="1"/>
  <c r="I44" i="40" s="1"/>
  <c r="W9" i="40"/>
  <c r="C50" i="39"/>
  <c r="C49" i="39"/>
  <c r="E53" i="39"/>
  <c r="F53" i="39" s="1"/>
  <c r="E54" i="39"/>
  <c r="F54" i="39" s="1"/>
  <c r="F9" i="40"/>
  <c r="H9" i="40"/>
  <c r="J18" i="44"/>
  <c r="J27" i="44" s="1"/>
  <c r="C43" i="37"/>
  <c r="B3" i="37" s="1"/>
  <c r="B2" i="37" s="1"/>
  <c r="C42" i="37"/>
  <c r="E46" i="37"/>
  <c r="F46" i="37" s="1"/>
  <c r="E47" i="37"/>
  <c r="F47" i="37" s="1"/>
  <c r="L51" i="71"/>
  <c r="L51" i="70"/>
  <c r="C40" i="71" l="1"/>
  <c r="Q57" i="71" s="1"/>
  <c r="Q63" i="71" s="1"/>
  <c r="Q69" i="71"/>
  <c r="C44" i="44"/>
  <c r="C45" i="44" s="1"/>
  <c r="B2" i="44" s="1"/>
  <c r="B5" i="44" s="1"/>
  <c r="Q68" i="71"/>
  <c r="C46" i="71"/>
  <c r="Q68" i="70"/>
  <c r="Q70" i="70"/>
  <c r="Q69" i="70" s="1"/>
  <c r="C40" i="70"/>
  <c r="J39" i="70"/>
  <c r="J40" i="70" s="1"/>
  <c r="C46" i="15"/>
  <c r="C43" i="15"/>
  <c r="Q48" i="15"/>
  <c r="Q54" i="15" s="1"/>
  <c r="Q57" i="15"/>
  <c r="Q63" i="15" s="1"/>
  <c r="Q66" i="15"/>
  <c r="Q76" i="15" s="1"/>
  <c r="J42" i="15"/>
  <c r="J43" i="15" s="1"/>
  <c r="U9" i="40"/>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2" i="71" l="1"/>
  <c r="B3" i="71" s="1"/>
  <c r="C8" i="12" s="1"/>
  <c r="C10" i="12" s="1"/>
  <c r="C6" i="12" s="1"/>
  <c r="C24" i="12" s="1"/>
  <c r="C35" i="12" s="1"/>
  <c r="C33" i="12" s="1"/>
  <c r="B3" i="44"/>
  <c r="Q66" i="71"/>
  <c r="Q76" i="71" s="1"/>
  <c r="C43" i="71"/>
  <c r="Q48" i="71"/>
  <c r="Q54" i="71" s="1"/>
  <c r="B4" i="44"/>
  <c r="J42" i="71"/>
  <c r="J43" i="71" s="1"/>
  <c r="Q57" i="70"/>
  <c r="Q63" i="70" s="1"/>
  <c r="Q66" i="70"/>
  <c r="Q76" i="70" s="1"/>
  <c r="B2" i="70"/>
  <c r="B3" i="70" s="1"/>
  <c r="C43" i="70"/>
  <c r="Q48" i="70"/>
  <c r="Q54" i="70" s="1"/>
  <c r="J42" i="70"/>
  <c r="J43" i="70" s="1"/>
  <c r="C46" i="70"/>
  <c r="C29" i="12"/>
  <c r="E44" i="40"/>
  <c r="R45" i="40"/>
  <c r="G49" i="40"/>
  <c r="H49" i="40" s="1"/>
  <c r="G48" i="40"/>
  <c r="H48" i="40" s="1"/>
  <c r="F68" i="39"/>
  <c r="B2" i="39" s="1"/>
  <c r="C28" i="12"/>
  <c r="C26" i="12" s="1"/>
  <c r="C31" i="12" s="1"/>
  <c r="C30" i="12" s="1"/>
  <c r="C36" i="12" s="1"/>
  <c r="B2" i="12" s="1"/>
  <c r="B3" i="12" s="1"/>
  <c r="D19" i="9"/>
  <c r="D20" i="9"/>
  <c r="C19" i="9"/>
  <c r="L43" i="9" l="1"/>
  <c r="C45" i="40"/>
  <c r="C44" i="40"/>
  <c r="B4" i="39"/>
  <c r="B5" i="39"/>
  <c r="B3" i="39"/>
  <c r="E48" i="40"/>
  <c r="F48" i="40" s="1"/>
  <c r="E49" i="40"/>
  <c r="F49" i="40" s="1"/>
  <c r="I49" i="40"/>
  <c r="J49" i="40" s="1"/>
  <c r="G19" i="9"/>
  <c r="D22" i="9"/>
  <c r="L44" i="9"/>
  <c r="B5" i="12"/>
  <c r="B4" i="12"/>
  <c r="C21" i="9"/>
  <c r="D21" i="9"/>
  <c r="C20"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<sst xmlns="http://schemas.openxmlformats.org/spreadsheetml/2006/main" count="8292" uniqueCount="3212">
  <si>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</si>
  <si>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</si>
  <si>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</si>
  <si>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</si>
  <si>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</si>
  <si>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</si>
  <si>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</si>
  <si>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</si>
  <si>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</si>
  <si>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</si>
  <si>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</si>
  <si>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</si>
  <si>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</si>
  <si>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</si>
  <si>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</si>
  <si>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</si>
  <si>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</si>
  <si>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</si>
  <si>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</si>
  <si>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</si>
  <si>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</si>
  <si>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</si>
  <si>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</si>
  <si>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</si>
  <si>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</si>
  <si>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</si>
  <si>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</si>
  <si>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</si>
  <si>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</si>
  <si>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</si>
  <si>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</si>
  <si>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</si>
  <si>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</si>
  <si>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</si>
  <si>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</si>
  <si>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</si>
  <si>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</si>
  <si>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</si>
  <si>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</si>
  <si>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</si>
  <si>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</si>
  <si>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</si>
  <si>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</si>
  <si>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</si>
  <si>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</si>
  <si>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</si>
  <si>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</si>
  <si>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</si>
  <si>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</si>
  <si>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</si>
  <si>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</si>
  <si>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</si>
  <si>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</si>
  <si>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</si>
  <si>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</si>
  <si>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</si>
  <si>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</si>
  <si>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</si>
  <si>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</si>
  <si>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</si>
  <si>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</si>
  <si>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</si>
  <si>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</si>
  <si>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</si>
  <si>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</si>
  <si>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</si>
  <si>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</si>
  <si>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</si>
  <si>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</si>
  <si>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</si>
  <si>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</si>
  <si>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</si>
  <si>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</si>
  <si>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</si>
  <si>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</si>
  <si>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</si>
  <si>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</si>
  <si>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</si>
  <si>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</si>
  <si>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</si>
  <si>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</si>
  <si>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</si>
  <si>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</si>
  <si>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</si>
  <si>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</si>
  <si>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</si>
  <si>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</si>
  <si>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</si>
  <si>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</si>
  <si>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</si>
  <si>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</si>
  <si>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</si>
  <si>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</si>
  <si>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</si>
  <si>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</si>
  <si>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</si>
  <si>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</si>
  <si>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</si>
  <si>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</si>
  <si>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</si>
  <si>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</si>
  <si>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</si>
  <si>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</si>
  <si>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</si>
  <si>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</si>
  <si>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</si>
  <si>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</si>
  <si>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</si>
  <si>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</si>
  <si>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</si>
  <si>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</si>
  <si>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</si>
  <si>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</si>
  <si>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</si>
  <si>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</si>
  <si>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</si>
  <si>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</si>
  <si>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</si>
  <si>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</si>
  <si>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</si>
  <si>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</si>
  <si>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</si>
  <si>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</si>
  <si>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</si>
  <si>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</si>
  <si>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</si>
  <si>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</si>
  <si>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</si>
  <si>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</si>
  <si>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</si>
  <si>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</si>
  <si>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</si>
  <si>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</si>
  <si>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</si>
  <si>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</si>
  <si>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</si>
  <si>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</si>
  <si>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</si>
  <si>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</si>
  <si>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</si>
  <si>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</si>
  <si>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</si>
  <si>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</si>
  <si>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</si>
  <si>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</si>
  <si>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</si>
  <si>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</si>
  <si>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</si>
  <si>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</si>
  <si>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</si>
  <si>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</si>
  <si>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</si>
  <si>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</si>
  <si>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</si>
  <si>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</si>
  <si>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</si>
  <si>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</si>
  <si>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</si>
  <si>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</si>
  <si>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</si>
  <si>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</si>
  <si>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</si>
  <si>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</si>
  <si>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</si>
  <si>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</si>
  <si>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</si>
  <si>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</si>
  <si>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</si>
  <si>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</si>
  <si>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</si>
  <si>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</si>
  <si>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</si>
  <si>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</si>
  <si>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</si>
  <si>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</si>
  <si>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</si>
  <si>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</si>
  <si>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</si>
  <si>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</si>
  <si>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</si>
  <si>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</si>
  <si>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</si>
  <si>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</si>
  <si>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</si>
  <si>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</si>
  <si>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</si>
  <si>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</si>
  <si>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</si>
  <si>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</si>
  <si>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</si>
  <si>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</si>
  <si>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</si>
  <si>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</si>
  <si>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</si>
  <si>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</si>
  <si>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</si>
  <si>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</si>
  <si>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</si>
  <si>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</si>
  <si>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</si>
  <si>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</si>
  <si>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</si>
  <si>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</si>
  <si>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</si>
  <si>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</si>
  <si>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</si>
  <si>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</si>
  <si>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</si>
  <si>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</si>
  <si>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</si>
  <si>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</si>
  <si>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</si>
  <si>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</si>
  <si>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</si>
  <si>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</si>
  <si>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</si>
  <si>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</si>
  <si>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</si>
  <si>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</si>
  <si>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</si>
  <si>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</si>
  <si>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</si>
  <si>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</si>
  <si>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</si>
  <si>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</si>
  <si>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</si>
  <si>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</si>
  <si>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</si>
  <si>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</si>
  <si>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</si>
  <si>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</si>
  <si>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</si>
  <si>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</si>
  <si>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</si>
  <si>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</si>
  <si>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</si>
  <si>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</si>
  <si>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</si>
  <si>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</si>
  <si>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</si>
  <si>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</si>
  <si>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</si>
  <si>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</si>
  <si>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</si>
  <si>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</si>
  <si>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</si>
  <si>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</si>
  <si>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</si>
  <si>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</si>
  <si>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</si>
  <si>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</si>
  <si>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</si>
  <si>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</si>
  <si>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</si>
  <si>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</si>
  <si>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</si>
  <si>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</si>
  <si>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</si>
  <si>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</si>
  <si>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</si>
  <si>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</si>
  <si>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</si>
  <si>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</si>
  <si>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</si>
  <si>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</si>
  <si>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</si>
  <si>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</si>
  <si>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</si>
  <si>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</si>
  <si>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</si>
  <si>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</si>
  <si>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</si>
  <si>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</si>
  <si>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</si>
  <si>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</si>
  <si>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</si>
  <si>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</si>
  <si>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</si>
  <si>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</si>
  <si>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</si>
  <si>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</si>
  <si>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</si>
  <si>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</si>
  <si>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</si>
  <si>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</si>
  <si>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</si>
  <si>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</si>
  <si>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</si>
  <si>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</si>
  <si>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</si>
  <si>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</si>
  <si>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</si>
  <si>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</si>
  <si>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</si>
  <si>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</si>
  <si>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</si>
  <si>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</si>
  <si>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</si>
  <si>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</si>
  <si>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</si>
  <si>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</si>
  <si>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</si>
  <si>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</si>
  <si>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</si>
  <si>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</si>
  <si>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</si>
  <si>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</si>
  <si>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</si>
  <si>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</si>
  <si>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</si>
  <si>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</si>
  <si>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</si>
  <si>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</si>
  <si>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</si>
  <si>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</si>
  <si>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</si>
  <si>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</si>
  <si>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</si>
  <si>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</si>
  <si>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</si>
  <si>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</si>
  <si>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</si>
  <si>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</si>
  <si>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</si>
  <si>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</si>
  <si>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</si>
  <si>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</si>
  <si>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</si>
  <si>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</si>
  <si>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</si>
  <si>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</si>
  <si>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</si>
  <si>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</si>
  <si>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</si>
  <si>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</si>
  <si>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</si>
  <si>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</si>
  <si>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</si>
  <si>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</si>
  <si>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</si>
  <si>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</si>
  <si>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</si>
  <si>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</si>
  <si>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</si>
  <si>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</si>
  <si>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</si>
  <si>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</si>
  <si>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</si>
  <si>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</si>
  <si>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</si>
  <si>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</si>
  <si>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</si>
  <si>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</si>
  <si>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</si>
  <si>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</si>
  <si>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</si>
  <si>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</si>
  <si>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</si>
  <si>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</si>
  <si>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</si>
  <si>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</si>
  <si>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</si>
  <si>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</si>
  <si>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</si>
  <si>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</si>
  <si>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</si>
  <si>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</si>
  <si>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</si>
  <si>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</si>
  <si>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</si>
  <si>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</si>
  <si>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</si>
  <si>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</si>
  <si>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</si>
  <si>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</si>
  <si>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</si>
  <si>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</si>
  <si>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</si>
  <si>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</si>
  <si>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</si>
  <si>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</si>
  <si>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</si>
  <si>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</si>
  <si>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</si>
  <si>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</si>
  <si>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</si>
  <si>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</si>
  <si>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</si>
  <si>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</si>
  <si>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</si>
  <si>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</si>
  <si>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</si>
  <si>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</si>
  <si>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</si>
  <si>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</si>
  <si>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</si>
  <si>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</si>
  <si>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</si>
  <si>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</si>
  <si>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</si>
  <si>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</si>
  <si>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</si>
  <si>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</si>
  <si>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</si>
  <si>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</si>
  <si>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</si>
  <si>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</si>
  <si>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</si>
  <si>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</si>
  <si>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</si>
  <si>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</si>
  <si>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</si>
  <si>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</si>
  <si>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</si>
  <si>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</si>
  <si>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</si>
  <si>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</si>
  <si>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</si>
  <si>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</si>
  <si>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</si>
  <si>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</si>
  <si>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</si>
  <si>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</si>
  <si>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</si>
  <si>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</si>
  <si>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</si>
  <si>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</si>
  <si>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</si>
  <si>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</si>
  <si>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</si>
  <si>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</si>
  <si>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</si>
  <si>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</si>
  <si>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</si>
  <si>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</si>
  <si>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</si>
  <si>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</si>
  <si>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</si>
  <si>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</si>
  <si>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</si>
  <si>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</si>
  <si>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</si>
  <si>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</si>
  <si>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</si>
  <si>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</si>
  <si>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</si>
  <si>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</si>
  <si>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</si>
  <si>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</si>
  <si>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</si>
  <si>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</si>
  <si>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</si>
  <si>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</si>
  <si>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</si>
  <si>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</si>
  <si>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</si>
  <si>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</si>
  <si>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</si>
  <si>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</si>
  <si>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</si>
  <si>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</si>
  <si>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</si>
  <si>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</si>
  <si>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</si>
  <si>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</si>
  <si>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</si>
  <si>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</si>
  <si>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</si>
  <si>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</si>
  <si>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</si>
  <si>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</si>
  <si>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</si>
  <si>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</si>
  <si>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</si>
  <si>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</si>
  <si>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</si>
  <si>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</si>
  <si>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</si>
  <si>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</si>
  <si>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</si>
  <si>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</si>
  <si>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</si>
  <si>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</si>
  <si>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</si>
  <si>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</si>
  <si>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</si>
  <si>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</si>
  <si>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</si>
  <si>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</si>
  <si>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</si>
  <si>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</si>
  <si>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</si>
  <si>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</si>
  <si>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</si>
  <si>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</si>
  <si>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</si>
  <si>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</si>
  <si>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</si>
  <si>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</si>
  <si>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</si>
  <si>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</si>
  <si>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</si>
  <si>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</si>
  <si>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</si>
  <si>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</si>
  <si>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</si>
  <si>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</si>
  <si>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</si>
  <si>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</si>
  <si>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</si>
  <si>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</si>
  <si>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</si>
  <si>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</si>
  <si>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</si>
  <si>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</si>
  <si>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</si>
  <si>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</si>
  <si>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</si>
  <si>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</si>
  <si>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</si>
  <si>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</si>
  <si>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</si>
  <si>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</si>
  <si>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</si>
  <si>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</si>
  <si>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</si>
  <si>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</si>
  <si>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</si>
  <si>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</si>
  <si>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</si>
  <si>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</si>
  <si>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</si>
  <si>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</si>
  <si>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</si>
  <si>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</si>
  <si>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</si>
  <si>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</si>
  <si>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</si>
  <si>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</si>
  <si>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</si>
  <si>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</si>
  <si>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</si>
  <si>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</si>
  <si>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</si>
  <si>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</si>
  <si>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</si>
  <si>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</si>
  <si>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</si>
  <si>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</si>
  <si>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</si>
  <si>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</si>
  <si>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</si>
  <si>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</si>
  <si>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</si>
  <si>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</si>
  <si>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</si>
  <si>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</si>
  <si>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</si>
  <si>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</si>
  <si>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</si>
  <si>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</si>
  <si>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</si>
  <si>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</si>
  <si>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</si>
  <si>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</si>
  <si>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</si>
  <si>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</si>
  <si>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</si>
  <si>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</si>
  <si>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</si>
  <si>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</si>
  <si>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</si>
  <si>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</si>
  <si>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</si>
  <si>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</si>
  <si>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</si>
  <si>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</si>
  <si>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</si>
  <si>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</si>
  <si>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</si>
  <si>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</si>
  <si>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</si>
  <si>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</si>
  <si>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</si>
  <si>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</si>
  <si>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</si>
  <si>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</si>
  <si>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</si>
  <si>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</si>
  <si>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</si>
  <si>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</si>
  <si>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</si>
  <si>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</si>
  <si>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</si>
  <si>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</si>
  <si>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</si>
  <si>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</si>
  <si>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</si>
  <si>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</si>
  <si>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</si>
  <si>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</si>
  <si>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</si>
  <si>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</si>
  <si>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</si>
  <si>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</si>
  <si>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</si>
  <si>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</si>
  <si>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</si>
  <si>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</si>
  <si>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</si>
  <si>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</si>
  <si>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</si>
  <si>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</si>
  <si>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</si>
  <si>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</si>
  <si>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</si>
  <si>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</si>
  <si>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</si>
  <si>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</si>
  <si>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</si>
  <si>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</si>
  <si>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</si>
  <si>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</si>
  <si>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</si>
  <si>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</si>
  <si>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</si>
  <si>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</si>
  <si>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</si>
  <si>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</si>
  <si>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</si>
  <si>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</si>
  <si>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</si>
  <si>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</si>
  <si>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</si>
  <si>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</si>
  <si>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</si>
  <si>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</si>
  <si>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</si>
  <si>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</si>
  <si>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</si>
  <si>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</si>
  <si>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</si>
  <si>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</si>
  <si>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</si>
  <si>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</si>
  <si>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</si>
  <si>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</si>
  <si>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</si>
  <si>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</si>
  <si>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</si>
  <si>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</si>
  <si>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</si>
  <si>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</si>
  <si>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</si>
  <si>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</si>
  <si>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</si>
  <si>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</si>
  <si>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</si>
  <si>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</si>
  <si>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</si>
  <si>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</si>
  <si>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</si>
  <si>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</si>
  <si>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</si>
  <si>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</si>
  <si>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</si>
  <si>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</si>
  <si>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</si>
  <si>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</si>
  <si>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</si>
  <si>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</si>
  <si>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</si>
  <si>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</si>
  <si>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</si>
  <si>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</si>
  <si>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</si>
  <si>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</si>
  <si>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</si>
  <si>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</si>
  <si>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</si>
  <si>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</si>
  <si>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</si>
  <si>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</si>
  <si>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</si>
  <si>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</si>
  <si>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</si>
  <si>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</si>
  <si>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</si>
  <si>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</si>
  <si>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</si>
  <si>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</si>
  <si>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</si>
  <si>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</si>
  <si>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</si>
  <si>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</si>
  <si>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</si>
  <si>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</si>
  <si>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</si>
  <si>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</si>
  <si>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</si>
  <si>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</si>
  <si>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</si>
  <si>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</si>
  <si>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</si>
  <si>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</si>
  <si>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</si>
  <si>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</si>
  <si>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</si>
  <si>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</si>
  <si>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</si>
  <si>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</si>
  <si>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</si>
  <si>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</si>
  <si>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</si>
  <si>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</si>
  <si>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</si>
  <si>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</si>
  <si>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</si>
  <si>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</si>
  <si>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</si>
  <si>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</si>
  <si>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</si>
  <si>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</si>
  <si>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</si>
  <si>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</si>
  <si>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</si>
  <si>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</si>
  <si>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</si>
  <si>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</si>
  <si>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</si>
  <si>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</si>
  <si>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</si>
  <si>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</si>
  <si>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</si>
  <si>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</si>
  <si>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</si>
  <si>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</si>
  <si>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</si>
  <si>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</si>
  <si>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</si>
  <si>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</si>
  <si>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</si>
  <si>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</si>
  <si>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</si>
  <si>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</si>
  <si>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</si>
  <si>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</si>
  <si>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</si>
  <si>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</si>
  <si>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</si>
  <si>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</si>
  <si>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</si>
  <si>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</si>
  <si>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</si>
  <si>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</si>
  <si>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</si>
  <si>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</si>
  <si>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</si>
  <si>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</si>
  <si>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</si>
  <si>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</si>
  <si>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</si>
  <si>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</si>
  <si>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</si>
  <si>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</si>
  <si>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</si>
  <si>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</si>
  <si>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</si>
  <si>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</si>
  <si>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</si>
  <si>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</si>
  <si>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</si>
  <si>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</si>
  <si>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</si>
  <si>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</si>
  <si>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</si>
  <si>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</si>
  <si>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</si>
  <si>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</si>
  <si>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</si>
  <si>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</si>
  <si>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</si>
  <si>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</si>
  <si>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</si>
  <si>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</si>
  <si>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</si>
  <si>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</si>
  <si>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</si>
  <si>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</si>
  <si>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</si>
  <si>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</si>
  <si>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</si>
  <si>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</si>
  <si>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</si>
  <si>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</si>
  <si>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</si>
  <si>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</si>
  <si>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</si>
  <si>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</si>
  <si>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</si>
  <si>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</si>
  <si>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</si>
  <si>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</si>
  <si>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</si>
  <si>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</si>
  <si>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</si>
  <si>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</si>
  <si>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</si>
  <si>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</si>
  <si>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</si>
  <si>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</si>
  <si>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</si>
  <si>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</si>
  <si>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</si>
  <si>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</si>
  <si>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</si>
  <si>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</si>
  <si>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</si>
  <si>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</si>
  <si>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</si>
  <si>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</si>
  <si>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</si>
  <si>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</si>
  <si>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</si>
  <si>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</si>
  <si>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</si>
  <si>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</si>
  <si>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</si>
  <si>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</si>
  <si>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</si>
  <si>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</si>
  <si>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</si>
  <si>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</si>
  <si>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</si>
  <si>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</si>
  <si>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</si>
  <si>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</si>
  <si>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</si>
  <si>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</si>
  <si>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</si>
  <si>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</si>
  <si>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</si>
  <si>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</si>
  <si>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</si>
  <si>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</si>
  <si>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</si>
  <si>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</si>
  <si>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</si>
  <si>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</si>
  <si>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</si>
  <si>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</si>
  <si>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</si>
  <si>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</si>
  <si>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</si>
  <si>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</si>
  <si>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</si>
  <si>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</si>
  <si>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</si>
  <si>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</si>
  <si>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</si>
  <si>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</si>
  <si>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</si>
  <si>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</si>
  <si>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</si>
  <si>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</si>
  <si>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</si>
  <si>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</si>
  <si>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</si>
  <si>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</si>
  <si>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</si>
  <si>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</si>
  <si>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</si>
  <si>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</si>
  <si>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</si>
  <si>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</si>
  <si>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</si>
  <si>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</si>
  <si>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</si>
  <si>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</si>
  <si>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</si>
  <si>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</si>
  <si>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</si>
  <si>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</si>
  <si>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</si>
  <si>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</si>
  <si>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</si>
  <si>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</si>
  <si>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</si>
  <si>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</si>
  <si>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</si>
  <si>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</si>
  <si>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</si>
  <si>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</si>
  <si>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</si>
  <si>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</si>
  <si>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</si>
  <si>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</si>
  <si>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</si>
  <si>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</si>
  <si>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</si>
  <si>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</si>
  <si>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</si>
  <si>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</si>
  <si>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</si>
  <si>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</si>
  <si>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</si>
  <si>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</si>
  <si>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</si>
  <si>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</si>
  <si>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</si>
  <si>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</si>
  <si>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</si>
  <si>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</si>
  <si>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</si>
  <si>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</si>
  <si>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</si>
  <si>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</si>
  <si>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</si>
  <si>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</si>
  <si>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</si>
  <si>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</si>
  <si>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</si>
  <si>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</si>
  <si>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</si>
  <si>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</si>
  <si>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</si>
  <si>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</si>
  <si>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</si>
  <si>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</si>
  <si>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</si>
  <si>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</si>
  <si>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</si>
  <si>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</si>
  <si>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</si>
  <si>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</si>
  <si>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</si>
  <si>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</si>
  <si>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</si>
  <si>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</si>
  <si>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</si>
  <si>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</si>
  <si>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</si>
  <si>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</si>
  <si>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</si>
  <si>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</si>
  <si>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</si>
  <si>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</si>
  <si>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</si>
  <si>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</si>
  <si>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</si>
  <si>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</si>
  <si>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</si>
  <si>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</si>
  <si>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</si>
  <si>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</si>
  <si>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</si>
  <si>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</si>
  <si>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</si>
  <si>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</si>
  <si>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</si>
  <si>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</si>
  <si>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</si>
  <si>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</si>
  <si>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</si>
  <si>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</si>
  <si>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</si>
  <si>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</si>
  <si>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</si>
  <si>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</si>
  <si>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</si>
  <si>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</si>
  <si>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</si>
  <si>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</si>
  <si>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</si>
  <si>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</si>
  <si>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</si>
  <si>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</si>
  <si>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</si>
  <si>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</si>
  <si>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</si>
  <si>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</si>
  <si>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</si>
  <si>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</si>
  <si>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</si>
  <si>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</si>
  <si>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</si>
  <si>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</si>
  <si>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</si>
  <si>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</si>
  <si>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</si>
  <si>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</si>
  <si>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</si>
  <si>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</si>
  <si>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</si>
  <si>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</si>
  <si>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</si>
  <si>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</si>
  <si>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</si>
  <si>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</si>
  <si>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</si>
  <si>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</si>
  <si>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</si>
  <si>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</si>
  <si>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</si>
  <si>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</si>
  <si>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</si>
  <si>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</si>
  <si>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</si>
  <si>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</si>
  <si>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</si>
  <si>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</si>
  <si>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</si>
  <si>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</si>
  <si>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</si>
  <si>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</si>
  <si>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</si>
  <si>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</si>
  <si>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</si>
  <si>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</si>
  <si>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</si>
  <si>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</si>
  <si>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</si>
  <si>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</si>
  <si>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</si>
  <si>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</si>
  <si>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</si>
  <si>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</si>
  <si>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</si>
  <si>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</si>
  <si>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</si>
  <si>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</si>
  <si>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</si>
  <si>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</si>
  <si>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</si>
  <si>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</si>
  <si>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</si>
  <si>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</si>
  <si>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</si>
  <si>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</si>
  <si>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</si>
  <si>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</si>
  <si>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</si>
  <si>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</si>
  <si>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</si>
  <si>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</si>
  <si>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</si>
  <si>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</si>
  <si>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</si>
  <si>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</si>
  <si>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</si>
  <si>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</si>
  <si>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</si>
  <si>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</si>
  <si>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</si>
  <si>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</si>
  <si>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</si>
  <si>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</si>
  <si>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</si>
  <si>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</si>
  <si>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</si>
  <si>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</si>
  <si>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</si>
  <si>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</si>
  <si>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</si>
  <si>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</si>
  <si>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</si>
  <si>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</si>
  <si>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</si>
  <si>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</si>
  <si>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</si>
  <si>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</si>
  <si>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</si>
  <si>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</si>
  <si>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</si>
  <si>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</si>
  <si>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</si>
  <si>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</si>
  <si>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</si>
  <si>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</si>
  <si>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</si>
  <si>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</si>
  <si>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</si>
  <si>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</si>
  <si>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</si>
  <si>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</si>
  <si>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</si>
  <si>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</si>
  <si>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</si>
  <si>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</si>
  <si>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</si>
  <si>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</si>
  <si>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</si>
  <si>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</si>
  <si>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</si>
  <si>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</si>
  <si>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</si>
  <si>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</si>
  <si>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</si>
  <si>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</si>
  <si>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</si>
  <si>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</si>
  <si>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</si>
  <si>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</si>
  <si>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</si>
  <si>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</si>
  <si>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</si>
  <si>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</si>
  <si>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</si>
  <si>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</si>
  <si>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</si>
  <si>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</si>
  <si>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</si>
  <si>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</si>
  <si>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</si>
  <si>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</si>
  <si>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</si>
  <si>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</si>
  <si>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</si>
  <si>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</si>
  <si>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</si>
  <si>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</si>
  <si>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</si>
  <si>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</si>
  <si>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</si>
  <si>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</si>
  <si>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</si>
  <si>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</si>
  <si>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</si>
  <si>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</si>
  <si>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</si>
  <si>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</si>
  <si>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</si>
  <si>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</si>
  <si>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</si>
  <si>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</si>
  <si>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</si>
  <si>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</si>
  <si>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</si>
  <si>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</si>
  <si>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</si>
  <si>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</si>
  <si>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</si>
  <si>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</si>
  <si>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</si>
  <si>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</si>
  <si>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</si>
  <si>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</si>
  <si>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</si>
  <si>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</si>
  <si>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</si>
  <si>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</si>
  <si>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</si>
  <si>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</si>
  <si>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</si>
  <si>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</si>
  <si>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</si>
  <si>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</si>
  <si>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</si>
  <si>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</si>
  <si>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</si>
  <si>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</si>
  <si>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</si>
  <si>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</si>
  <si>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</si>
  <si>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</si>
  <si>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</si>
  <si>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</si>
  <si>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</si>
  <si>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</si>
  <si>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</si>
  <si>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</si>
  <si>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</si>
  <si>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</si>
  <si>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</si>
  <si>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</si>
  <si>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</si>
  <si>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</si>
  <si>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</si>
  <si>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</si>
  <si>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</si>
  <si>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</si>
  <si>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</si>
  <si>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</si>
  <si>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</si>
  <si>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</si>
  <si>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</si>
  <si>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</si>
  <si>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</si>
  <si>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</si>
  <si>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</si>
  <si>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</si>
  <si>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</si>
  <si>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</si>
  <si>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</si>
  <si>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</si>
  <si>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</si>
  <si>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</si>
  <si>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</si>
  <si>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</si>
  <si>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</si>
  <si>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</si>
  <si>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</si>
  <si>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</si>
  <si>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</si>
  <si>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</si>
  <si>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</si>
  <si>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</si>
  <si>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</si>
  <si>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</si>
  <si>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</si>
  <si>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</si>
  <si>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</si>
  <si>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</si>
  <si>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</si>
  <si>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</si>
  <si>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</si>
  <si>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</si>
  <si>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</si>
  <si>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</si>
  <si>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</si>
  <si>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</si>
  <si>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</si>
  <si>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</si>
  <si>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</si>
  <si>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</si>
  <si>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</si>
  <si>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</si>
  <si>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</si>
  <si>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</si>
  <si>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</si>
  <si>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</si>
  <si>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</si>
  <si>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</si>
  <si>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</si>
  <si>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</si>
  <si>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</si>
  <si>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</si>
  <si>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</si>
  <si>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</si>
  <si>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</si>
  <si>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</si>
  <si>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</si>
  <si>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</si>
  <si>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</si>
  <si>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</si>
  <si>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</si>
  <si>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</si>
  <si>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</si>
  <si>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</si>
  <si>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</si>
  <si>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</si>
  <si>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</si>
  <si>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</si>
  <si>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</si>
  <si>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</si>
  <si>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</si>
  <si>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</si>
  <si>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</si>
  <si>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</si>
  <si>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</si>
  <si>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</si>
  <si>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</si>
  <si>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</si>
  <si>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</si>
  <si>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</si>
  <si>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</si>
  <si>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</si>
  <si>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</si>
  <si>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</si>
  <si>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</si>
  <si>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</si>
  <si>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</si>
  <si>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</si>
  <si>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</si>
  <si>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</si>
  <si>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</si>
  <si>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</si>
  <si>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</si>
  <si>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</si>
  <si>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</si>
  <si>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</si>
  <si>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</si>
  <si>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</si>
  <si>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</si>
  <si>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</si>
  <si>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</si>
  <si>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</si>
  <si>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</si>
  <si>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</si>
  <si>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</si>
  <si>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</si>
  <si>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</si>
  <si>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</si>
  <si>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</si>
  <si>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</si>
  <si>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</si>
  <si>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</si>
  <si>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</si>
  <si>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</si>
  <si>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</si>
  <si>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</si>
  <si>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</si>
  <si>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</si>
  <si>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</si>
  <si>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</si>
  <si>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</si>
  <si>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</si>
  <si>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</si>
  <si>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</si>
  <si>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</si>
  <si>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</si>
  <si>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</si>
  <si>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</si>
  <si>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</si>
  <si>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</si>
  <si>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</si>
  <si>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</si>
  <si>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</si>
  <si>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</si>
  <si>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</si>
  <si>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</si>
  <si>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</si>
  <si>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</si>
  <si>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</si>
  <si>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</si>
  <si>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</si>
  <si>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</si>
  <si>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</si>
  <si>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</si>
  <si>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</si>
  <si>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</si>
  <si>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</si>
  <si>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</si>
  <si>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</si>
  <si>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</si>
  <si>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</si>
  <si>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</si>
  <si>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</si>
  <si>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</si>
  <si>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</si>
  <si>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</si>
  <si>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</si>
  <si>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</si>
  <si>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</si>
  <si>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</si>
  <si>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</si>
  <si>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</si>
  <si>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</si>
  <si>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</si>
  <si>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</si>
  <si>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</si>
  <si>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</si>
  <si>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</si>
  <si>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</si>
  <si>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</si>
  <si>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</si>
  <si>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</si>
  <si>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</si>
  <si>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</si>
  <si>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</si>
  <si>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</si>
  <si>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</si>
  <si>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</si>
  <si>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</si>
  <si>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</si>
  <si>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</si>
  <si>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</si>
  <si>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</si>
  <si>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</si>
  <si>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</si>
  <si>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</si>
  <si>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</si>
  <si>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</si>
  <si>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</si>
  <si>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</si>
  <si>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</si>
  <si>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</si>
  <si>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</si>
  <si>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</si>
  <si>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</si>
  <si>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</si>
  <si>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</si>
  <si>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</si>
  <si>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</si>
  <si>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</si>
  <si>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</si>
  <si>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</si>
  <si>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</si>
  <si>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</si>
  <si>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</si>
  <si>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</si>
  <si>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</si>
  <si>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</si>
  <si>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</si>
  <si>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</si>
  <si>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</si>
  <si>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</si>
  <si>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</si>
  <si>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</si>
  <si>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</si>
  <si>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</si>
  <si>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</si>
  <si>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</si>
  <si>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</si>
  <si>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</si>
  <si>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</si>
  <si>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</si>
  <si>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</si>
  <si>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</si>
  <si>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</si>
  <si>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</si>
  <si>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</si>
  <si>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</si>
  <si>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</si>
  <si>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</si>
  <si>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</si>
  <si>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</si>
  <si>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</si>
  <si>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</si>
  <si>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</si>
  <si>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</si>
  <si>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</si>
  <si>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</si>
  <si>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</si>
  <si>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</si>
  <si>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</si>
  <si>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</si>
  <si>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</si>
  <si>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</si>
  <si>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</si>
  <si>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</si>
  <si>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</si>
  <si>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</si>
  <si>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</si>
  <si>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</si>
  <si>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</si>
  <si>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</si>
  <si>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</si>
  <si>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</si>
  <si>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</si>
  <si>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</si>
  <si>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</si>
  <si>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</si>
  <si>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</si>
  <si>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</si>
  <si>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</si>
  <si>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</si>
  <si>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</si>
  <si>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</si>
  <si>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</si>
  <si>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</si>
  <si>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</si>
  <si>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</si>
  <si>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</si>
  <si>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</si>
  <si>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</si>
  <si>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</si>
  <si>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</si>
  <si>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</si>
  <si>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</si>
  <si>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</si>
  <si>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</si>
  <si>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</si>
  <si>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</si>
  <si>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</si>
  <si>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</si>
  <si>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</si>
  <si>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</si>
  <si>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</si>
  <si>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</si>
  <si>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</si>
  <si>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</si>
  <si>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</si>
  <si>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</si>
  <si>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</si>
  <si>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</si>
  <si>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</si>
  <si>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</si>
  <si>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</si>
  <si>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</si>
  <si>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</si>
  <si>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</si>
  <si>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</si>
  <si>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</si>
  <si>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</si>
  <si>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</si>
  <si>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</si>
  <si>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</si>
  <si>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</si>
  <si>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</si>
  <si>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</si>
  <si>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</si>
  <si>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</si>
  <si>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</si>
  <si>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</si>
  <si>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</si>
  <si>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</si>
  <si>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</si>
  <si>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</si>
  <si>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</si>
  <si>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</si>
  <si>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</si>
  <si>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</si>
  <si>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</si>
  <si>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</si>
  <si>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</si>
  <si>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</si>
  <si>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</si>
  <si>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</si>
  <si>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</si>
  <si>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</si>
  <si>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</si>
  <si>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</si>
  <si>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</si>
  <si>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</si>
  <si>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</si>
  <si>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</si>
  <si>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</si>
  <si>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</si>
  <si>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</si>
  <si>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</si>
  <si>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</si>
  <si>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</si>
  <si>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</si>
  <si>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</si>
  <si>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</si>
  <si>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</si>
  <si>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</si>
  <si>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</si>
  <si>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</si>
  <si>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</si>
  <si>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</si>
  <si>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</si>
  <si>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</si>
  <si>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</si>
  <si>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</si>
  <si>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</si>
  <si>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</si>
  <si>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</si>
  <si>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</si>
  <si>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</si>
  <si>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</si>
  <si>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</si>
  <si>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</si>
  <si>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</si>
  <si>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</si>
  <si>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</si>
  <si>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</si>
  <si>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</si>
  <si>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</si>
  <si>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</si>
  <si>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</si>
  <si>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</si>
  <si>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</si>
  <si>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</si>
  <si>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</si>
  <si>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</si>
  <si>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</si>
  <si>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</si>
  <si>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</si>
  <si>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</si>
  <si>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</si>
  <si>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</si>
  <si>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</si>
  <si>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</si>
  <si>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</si>
  <si>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</si>
  <si>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</si>
  <si>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</si>
  <si>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</si>
  <si>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</si>
  <si>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</si>
  <si>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</si>
  <si>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</si>
  <si>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</si>
  <si>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</si>
  <si>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</si>
  <si>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</si>
  <si>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</si>
  <si>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</si>
  <si>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</si>
  <si>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</si>
  <si>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</si>
  <si>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</si>
  <si>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</si>
  <si>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</si>
  <si>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</si>
  <si>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</si>
  <si>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</si>
  <si>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</si>
  <si>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</si>
  <si>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</si>
  <si>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</si>
  <si>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</si>
  <si>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</si>
  <si>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</si>
  <si>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</si>
  <si>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</si>
  <si>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</si>
  <si>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</si>
  <si>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</si>
  <si>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</si>
  <si>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</si>
  <si>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</si>
  <si>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</si>
  <si>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</si>
  <si>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</si>
  <si>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</si>
  <si>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</si>
  <si>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</si>
  <si>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</si>
  <si>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</si>
  <si>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</si>
  <si>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</si>
  <si>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</si>
  <si>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</si>
  <si>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</si>
  <si>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</si>
  <si>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</si>
  <si>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</si>
  <si>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</si>
  <si>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</si>
  <si>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</si>
  <si>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</si>
  <si>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</si>
  <si>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</si>
  <si>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</si>
  <si>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</si>
  <si>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</si>
  <si>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</si>
  <si>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</si>
  <si>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</si>
  <si>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</si>
  <si>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</si>
  <si>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</si>
  <si>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</si>
  <si>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</si>
  <si>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</si>
  <si>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</si>
  <si>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</si>
  <si>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</si>
  <si>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</si>
  <si>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</si>
  <si>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</si>
  <si>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</si>
  <si>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</si>
  <si>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</si>
  <si>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</si>
  <si>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</si>
  <si>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</si>
  <si>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</si>
  <si>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</si>
  <si>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</si>
  <si>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</si>
  <si>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</si>
  <si>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</si>
  <si>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</si>
  <si>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</si>
  <si>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</si>
  <si>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</si>
  <si>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</si>
  <si>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</si>
  <si>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</si>
  <si>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</si>
  <si>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</si>
  <si>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</si>
  <si>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</si>
  <si>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</si>
  <si>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</si>
  <si>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</si>
  <si>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</si>
  <si>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</si>
  <si>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</si>
  <si>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</si>
  <si>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</si>
  <si>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</si>
  <si>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</si>
  <si>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</si>
  <si>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</si>
  <si>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</si>
  <si>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</si>
  <si>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</si>
  <si>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</si>
  <si>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</si>
  <si>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</si>
  <si>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</si>
  <si>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</si>
  <si>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</si>
  <si>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</si>
  <si>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</si>
  <si>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</si>
  <si>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</si>
  <si>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</si>
  <si>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</si>
  <si>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</si>
  <si>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</si>
  <si>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</si>
  <si>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</si>
  <si>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</si>
  <si>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</si>
  <si>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</si>
  <si>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</si>
  <si>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</si>
  <si>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</si>
  <si>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</si>
  <si>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</si>
  <si>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</si>
  <si>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</si>
  <si>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</si>
  <si>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</si>
  <si>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</si>
  <si>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</si>
  <si>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</si>
  <si>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</si>
  <si>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</si>
  <si>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</si>
  <si>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</si>
  <si>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</si>
  <si>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</si>
  <si>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</si>
  <si>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</si>
  <si>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</si>
  <si>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</si>
  <si>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</si>
  <si>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</si>
  <si>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</si>
  <si>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</si>
  <si>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</si>
  <si>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</si>
  <si>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</si>
  <si>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</si>
  <si>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</si>
  <si>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</si>
  <si>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</si>
  <si>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</si>
  <si>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</si>
  <si>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</si>
  <si>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</si>
  <si>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</si>
  <si>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</si>
  <si>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</si>
  <si>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</si>
  <si>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</si>
  <si>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</si>
  <si>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</si>
  <si>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</si>
  <si>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</si>
  <si>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</si>
  <si>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</si>
  <si>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</si>
  <si>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</si>
  <si>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</si>
  <si>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</si>
  <si>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</si>
  <si>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</si>
  <si>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</si>
  <si>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</si>
  <si>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</si>
  <si>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</si>
  <si>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</si>
  <si>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</si>
  <si>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</si>
  <si>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</si>
  <si>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</si>
  <si>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</si>
  <si>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</si>
  <si>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</si>
  <si>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</si>
  <si>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</si>
  <si>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</si>
  <si>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</si>
  <si>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</si>
  <si>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</si>
  <si>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</si>
  <si>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</si>
  <si>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</si>
  <si>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</si>
  <si>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</si>
  <si>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</si>
  <si>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</si>
  <si>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</si>
  <si>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</si>
  <si>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</si>
  <si>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</si>
  <si>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</si>
  <si>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</si>
  <si>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</si>
  <si>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</si>
  <si>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</si>
  <si>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</si>
  <si>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</si>
  <si>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</si>
  <si>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</si>
  <si>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</si>
  <si>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</si>
  <si>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</si>
  <si>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</si>
  <si>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</si>
  <si>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</si>
  <si>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</si>
  <si>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</si>
  <si>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</si>
  <si>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</si>
  <si>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</si>
  <si>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</si>
  <si>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</si>
  <si>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</si>
  <si>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</si>
  <si>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</si>
  <si>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</si>
  <si>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</si>
  <si>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</si>
  <si>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</si>
  <si>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</si>
  <si>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</si>
  <si>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</si>
  <si>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</si>
  <si>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</si>
  <si>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</si>
  <si>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</si>
  <si>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</si>
  <si>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</si>
  <si>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</si>
  <si>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</si>
  <si>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</si>
  <si>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</si>
  <si>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</si>
  <si>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</si>
  <si>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</si>
  <si>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</si>
  <si>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</si>
  <si>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</si>
  <si>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</si>
  <si>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</si>
  <si>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</si>
  <si>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</si>
  <si>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</si>
  <si>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</si>
  <si>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</si>
  <si>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</si>
  <si>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</si>
  <si>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</si>
  <si>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</si>
  <si>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</si>
  <si>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</si>
  <si>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</si>
  <si>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</si>
  <si>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</si>
  <si>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</si>
  <si>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</si>
  <si>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</si>
  <si>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</si>
  <si>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</si>
  <si>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</si>
  <si>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</si>
  <si>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</si>
  <si>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</si>
  <si>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</si>
  <si>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</si>
  <si>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</si>
  <si>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</si>
  <si>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</si>
  <si>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</si>
  <si>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</si>
  <si>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</si>
  <si>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</si>
  <si>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</si>
  <si>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</si>
  <si>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</si>
  <si>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</si>
  <si>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</si>
  <si>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</si>
  <si>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</si>
  <si>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</si>
  <si>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</si>
  <si>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</si>
  <si>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</si>
  <si>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</si>
  <si>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</si>
  <si>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</si>
  <si>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</si>
  <si>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</si>
  <si>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</si>
  <si>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</si>
  <si>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</si>
  <si>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</si>
  <si>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</si>
  <si>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</si>
  <si>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</si>
  <si>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</si>
  <si>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</si>
  <si>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</si>
  <si>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</si>
  <si>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</si>
  <si>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</si>
  <si>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</si>
  <si>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</si>
  <si>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</si>
  <si>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</si>
  <si>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</si>
  <si>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</si>
  <si>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</si>
  <si>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</si>
  <si>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</si>
  <si>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</si>
  <si>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</si>
  <si>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</si>
  <si>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</si>
  <si>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</si>
  <si>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</si>
  <si>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</si>
  <si>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</si>
  <si>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</si>
  <si>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</si>
  <si>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</si>
  <si>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</si>
  <si>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</si>
  <si>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</si>
  <si>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</si>
  <si>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</si>
  <si>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</si>
  <si>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</si>
  <si>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</si>
  <si>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</si>
  <si>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</si>
  <si>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</si>
  <si>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</si>
  <si>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</si>
  <si>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</si>
  <si>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</si>
  <si>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</si>
  <si>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</si>
  <si>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</si>
  <si>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</si>
  <si>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</si>
  <si>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</si>
  <si>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</si>
  <si>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</si>
  <si>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</si>
  <si>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</si>
  <si>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</si>
  <si>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</si>
  <si>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</si>
  <si>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</si>
  <si>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</si>
  <si>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</si>
  <si>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</si>
  <si>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</si>
  <si>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</si>
  <si>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</si>
  <si>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</si>
  <si>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</si>
  <si>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</si>
  <si>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</si>
  <si>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</si>
  <si>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</si>
  <si>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</si>
  <si>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</si>
  <si>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</si>
  <si>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</si>
  <si>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</si>
  <si>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</si>
  <si>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</si>
  <si>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</si>
  <si>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</si>
  <si>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</si>
  <si>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</si>
  <si>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</si>
  <si>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</si>
  <si>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</si>
  <si>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</si>
  <si>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</si>
  <si>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</si>
  <si>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</si>
  <si>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</si>
  <si>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</si>
  <si>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</si>
  <si>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</si>
  <si>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</si>
  <si>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</si>
  <si>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</si>
  <si>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</si>
  <si>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</si>
  <si>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</si>
  <si>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</si>
  <si>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</si>
  <si>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</si>
  <si>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</si>
  <si>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</si>
  <si>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</si>
  <si>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</si>
  <si>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</si>
  <si>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</si>
  <si>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</si>
  <si>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</si>
  <si>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</si>
  <si>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</si>
  <si>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</si>
  <si>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</si>
  <si>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</si>
  <si>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</si>
  <si>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</si>
  <si>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</si>
  <si>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</si>
  <si>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</si>
  <si>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</si>
  <si>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</si>
  <si>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</si>
  <si>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</si>
  <si>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</si>
  <si>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</si>
  <si>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</si>
  <si>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</si>
  <si>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</si>
  <si>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</si>
  <si>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</si>
  <si>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</si>
  <si>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</si>
  <si>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</si>
  <si>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</si>
  <si>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</si>
  <si>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</si>
  <si>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</si>
  <si>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</si>
  <si>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</si>
  <si>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</si>
  <si>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</si>
  <si>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</si>
  <si>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</si>
  <si>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</si>
  <si>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</si>
  <si>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</si>
  <si>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</si>
  <si>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</si>
  <si>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</si>
  <si>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</si>
  <si>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</si>
  <si>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</si>
  <si>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</si>
  <si>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</si>
  <si>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</si>
  <si>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</si>
  <si>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</si>
  <si>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</si>
  <si>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</si>
  <si>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</si>
  <si>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</si>
  <si>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</si>
  <si>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</si>
  <si>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</si>
  <si>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</si>
  <si>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</si>
  <si>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</si>
  <si>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</si>
  <si>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</si>
  <si>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</si>
  <si>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</si>
  <si>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</si>
  <si>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</si>
  <si>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</si>
  <si>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</si>
  <si>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</si>
  <si>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</si>
  <si>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</si>
  <si>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</si>
  <si>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</si>
  <si>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</si>
  <si>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</si>
  <si>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</si>
  <si>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</si>
  <si>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</si>
  <si>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</si>
  <si>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</si>
  <si>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</si>
  <si>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</si>
  <si>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</si>
  <si>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</si>
  <si>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</si>
  <si>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</si>
  <si>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</si>
  <si>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</si>
  <si>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</si>
  <si>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</si>
  <si>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</si>
  <si>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</si>
  <si>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</si>
  <si>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</si>
  <si>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</si>
  <si>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</si>
  <si>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</si>
  <si>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</si>
  <si>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</si>
  <si>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</si>
  <si>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</si>
  <si>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</si>
  <si>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</si>
  <si>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</si>
  <si>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</si>
  <si>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</si>
  <si>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</si>
  <si>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</si>
  <si>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</si>
  <si>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</si>
  <si>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</si>
  <si>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</si>
  <si>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</si>
  <si>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</si>
  <si>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</si>
  <si>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</si>
  <si>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</si>
  <si>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</si>
  <si>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</si>
  <si>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</si>
  <si>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</si>
  <si>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</si>
  <si>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</si>
  <si>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</si>
  <si>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</si>
  <si>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</si>
  <si>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</si>
  <si>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</si>
  <si>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</si>
  <si>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</si>
  <si>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</si>
  <si>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</si>
  <si>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</si>
  <si>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</si>
  <si>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</si>
  <si>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</si>
  <si>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</si>
  <si>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</si>
  <si>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</si>
  <si>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</si>
  <si>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</si>
  <si>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</si>
  <si>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</si>
  <si>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</si>
  <si>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</si>
  <si>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</si>
  <si>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</si>
  <si>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</si>
  <si>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</si>
  <si>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</si>
  <si>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</si>
  <si>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</si>
  <si>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</si>
  <si>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</si>
  <si>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</si>
  <si>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</si>
  <si>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</si>
  <si>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</si>
  <si>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</si>
  <si>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</si>
  <si>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</si>
  <si>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</si>
  <si>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</si>
  <si>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</si>
  <si>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</si>
  <si>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</si>
  <si>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</si>
  <si>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</si>
  <si>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</si>
  <si>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</si>
  <si>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</si>
  <si>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</si>
  <si>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</si>
  <si>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</si>
  <si>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</si>
  <si>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</si>
  <si>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</si>
  <si>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</si>
  <si>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</si>
  <si>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</si>
  <si>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</si>
  <si>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</si>
  <si>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</si>
  <si>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</si>
  <si>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</si>
  <si>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</si>
  <si>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</si>
  <si>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</si>
  <si>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</si>
  <si>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</si>
  <si>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</si>
  <si>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</si>
  <si>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</si>
  <si>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</si>
  <si>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</si>
  <si>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</si>
  <si>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</si>
  <si>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</si>
  <si>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</si>
  <si>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</si>
  <si>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</si>
  <si>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</si>
  <si>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</si>
  <si>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</si>
  <si>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</si>
  <si>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</si>
  <si>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</si>
  <si>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</si>
  <si>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</si>
  <si>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</si>
  <si>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</si>
  <si>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</si>
  <si>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</si>
  <si>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</si>
  <si>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</si>
  <si>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</si>
  <si>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</si>
  <si>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</si>
  <si>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</si>
  <si>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</si>
  <si>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</si>
  <si>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</si>
  <si>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</si>
  <si>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</si>
  <si>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</si>
  <si>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</si>
  <si>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</si>
  <si>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</si>
  <si>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</si>
  <si>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</si>
  <si>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</si>
  <si>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</si>
  <si>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</si>
  <si>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</si>
  <si>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</si>
  <si>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</si>
  <si>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</si>
  <si>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</si>
  <si>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</si>
  <si>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</si>
  <si>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</si>
  <si>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</si>
  <si>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</si>
  <si>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</si>
  <si>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</si>
  <si>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</si>
  <si>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</si>
  <si>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</si>
  <si>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</si>
  <si>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</si>
  <si>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</si>
  <si>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</si>
  <si>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</si>
  <si>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</si>
  <si>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</si>
  <si>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</si>
  <si>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</si>
  <si>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</si>
  <si>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</si>
  <si>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</si>
  <si>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</si>
  <si>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</si>
  <si>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</si>
  <si>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</si>
  <si>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</si>
  <si>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</si>
  <si>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</si>
  <si>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</si>
  <si>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</si>
  <si>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</si>
  <si>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</si>
  <si>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</si>
  <si>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</si>
  <si>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</si>
  <si>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</si>
  <si>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</si>
  <si>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</si>
  <si>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</si>
  <si>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</si>
  <si>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</si>
  <si>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</si>
  <si>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</si>
  <si>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</si>
  <si>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</si>
  <si>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</si>
  <si>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</si>
  <si>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</si>
  <si>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</si>
  <si>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</si>
  <si>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</si>
  <si>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</si>
  <si>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</si>
  <si>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</si>
  <si>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</si>
  <si>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</si>
  <si>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</si>
  <si>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</si>
  <si>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</si>
  <si>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</si>
  <si>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</si>
  <si>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</si>
  <si>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</si>
  <si>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</si>
  <si>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</si>
  <si>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</si>
  <si>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</si>
  <si>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</si>
  <si>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</si>
  <si>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</si>
  <si>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</si>
  <si>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</si>
  <si>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</si>
  <si>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</si>
  <si>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</si>
  <si>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</si>
  <si>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</si>
  <si>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</si>
  <si>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</si>
  <si>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</si>
  <si>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</si>
  <si>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</si>
  <si>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</si>
  <si>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</si>
  <si>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</si>
  <si>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</si>
  <si>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</si>
  <si>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</si>
  <si>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</si>
  <si>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</si>
  <si>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</si>
  <si>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</si>
  <si>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</si>
  <si>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</si>
  <si>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</si>
  <si>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</si>
  <si>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</si>
  <si>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</si>
  <si>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</si>
  <si>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</si>
  <si>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</si>
  <si>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</si>
  <si>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</si>
  <si>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</si>
  <si>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</si>
  <si>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</si>
  <si>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</si>
  <si>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</si>
  <si>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</si>
  <si>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</si>
  <si>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</si>
  <si>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</si>
  <si>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</si>
  <si>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</si>
  <si>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</si>
  <si>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</si>
  <si>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</si>
  <si>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</si>
  <si>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</si>
  <si>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</si>
  <si>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</si>
  <si>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</si>
  <si>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</si>
  <si>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</si>
  <si>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</si>
  <si>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</si>
  <si>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</si>
  <si>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</si>
  <si>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</si>
  <si>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</si>
  <si>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</si>
  <si>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</si>
  <si>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</si>
  <si>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</si>
  <si>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</si>
  <si>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</si>
  <si>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</si>
  <si>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</si>
  <si>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</si>
  <si>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</si>
  <si>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</si>
  <si>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</si>
  <si>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</si>
  <si>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</si>
  <si>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</si>
  <si>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</si>
  <si>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</si>
  <si>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</si>
  <si>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</si>
  <si>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</si>
  <si>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</si>
  <si>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</si>
  <si>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</si>
  <si>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</si>
  <si>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</si>
  <si>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</si>
  <si>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</si>
  <si>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</si>
  <si>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</si>
  <si>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</si>
  <si>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</si>
  <si>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</si>
  <si>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</si>
  <si>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</si>
  <si>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</si>
  <si>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</si>
  <si>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</si>
  <si>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</si>
  <si>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</si>
  <si>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</si>
  <si>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</si>
  <si>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</si>
  <si>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</si>
  <si>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</si>
  <si>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</si>
  <si>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</si>
  <si>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</si>
  <si>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</si>
  <si>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</si>
  <si>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</si>
  <si>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</si>
  <si>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</si>
  <si>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</si>
  <si>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</si>
  <si>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</si>
  <si>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</si>
  <si>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</si>
  <si>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</si>
  <si>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</si>
  <si>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</si>
  <si>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</si>
  <si>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</si>
  <si>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</si>
  <si>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</si>
  <si>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</si>
  <si>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</si>
  <si>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</si>
  <si>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</si>
  <si>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</si>
  <si>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</si>
  <si>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</si>
  <si>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</si>
  <si>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</si>
  <si>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</si>
  <si>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</si>
  <si>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</si>
  <si>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</si>
  <si>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</si>
  <si>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</si>
  <si>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</si>
  <si>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</si>
  <si>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</si>
  <si>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</si>
  <si>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</si>
  <si>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</si>
  <si>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</si>
  <si>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</si>
  <si>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</si>
  <si>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</si>
  <si>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</si>
  <si>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</si>
  <si>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</si>
  <si>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</si>
  <si>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</si>
  <si>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</si>
  <si>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</si>
  <si>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</si>
  <si>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</si>
  <si>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</si>
  <si>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</si>
  <si>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</si>
  <si>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</si>
  <si>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</si>
  <si>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</si>
  <si>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</si>
  <si>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</si>
  <si>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</si>
  <si>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</si>
  <si>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</si>
  <si>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</si>
  <si>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</si>
  <si>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</si>
  <si>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</si>
  <si>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</si>
  <si>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</si>
  <si>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</si>
  <si>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</si>
  <si>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</si>
  <si>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</si>
  <si>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</si>
  <si>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</si>
  <si>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</si>
  <si>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</si>
  <si>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</si>
  <si>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</si>
  <si>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</si>
  <si>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</si>
  <si>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</si>
  <si>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</si>
  <si>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</si>
  <si>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</si>
  <si>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</si>
  <si>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</si>
  <si>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</si>
  <si>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</si>
  <si>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</si>
  <si>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</si>
  <si>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</si>
  <si>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</si>
  <si>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</si>
  <si>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</si>
  <si>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</si>
  <si>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</si>
  <si>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</si>
  <si>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</si>
  <si>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</si>
  <si>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</si>
  <si>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</si>
  <si>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</si>
  <si>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</si>
  <si>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</si>
  <si>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</si>
  <si>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</si>
  <si>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</si>
  <si>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</si>
  <si>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</si>
  <si>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</si>
  <si>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</si>
  <si>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</si>
  <si>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</si>
  <si>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</si>
  <si>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</si>
  <si>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</si>
  <si>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</si>
  <si>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</si>
  <si>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</si>
  <si>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</si>
  <si>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</si>
  <si>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</si>
  <si>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</si>
  <si>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</si>
  <si>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</si>
  <si>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</si>
  <si>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</si>
  <si>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</si>
  <si>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</si>
  <si>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</si>
  <si>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</si>
  <si>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</si>
  <si>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</si>
  <si>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</si>
  <si>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</si>
  <si>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</si>
  <si>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</si>
  <si>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</si>
  <si>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</si>
  <si>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</si>
  <si>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</si>
  <si>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</si>
  <si>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</si>
  <si>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</si>
  <si>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</si>
  <si>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</si>
  <si>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</si>
  <si>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</si>
  <si>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</si>
  <si>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</si>
  <si>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</si>
  <si>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</si>
  <si>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</si>
  <si>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</si>
  <si>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</si>
  <si>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</si>
  <si>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</si>
  <si>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</si>
  <si>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</si>
  <si>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</si>
  <si>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</si>
  <si>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</si>
  <si>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</si>
  <si>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</si>
  <si>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</si>
  <si>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</si>
  <si>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</si>
  <si>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</si>
  <si>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</si>
  <si>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</si>
  <si>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</si>
  <si>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</si>
  <si>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</si>
  <si>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</si>
  <si>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</si>
  <si>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</si>
  <si>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</si>
  <si>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</si>
  <si>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</si>
  <si>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</si>
  <si>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</si>
  <si>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</si>
  <si>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</si>
  <si>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</si>
  <si>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</si>
  <si>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</si>
  <si>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</si>
  <si>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</si>
  <si>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</si>
  <si>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</si>
  <si>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</si>
  <si>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</si>
  <si>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</si>
  <si>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</si>
  <si>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</si>
  <si>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</si>
  <si>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</si>
  <si>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</si>
  <si>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</si>
  <si>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</si>
  <si>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</si>
  <si>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</si>
  <si>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</si>
  <si>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</si>
  <si>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</si>
  <si>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</si>
  <si>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</si>
  <si>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</si>
  <si>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</si>
  <si>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</si>
  <si>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</si>
  <si>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</si>
  <si>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</si>
  <si>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</si>
  <si>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</si>
  <si>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</si>
  <si>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</si>
  <si>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</si>
  <si>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</si>
  <si>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</si>
  <si>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</si>
  <si>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</si>
  <si>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</si>
  <si>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</si>
  <si>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</si>
  <si>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</si>
  <si>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</si>
  <si>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</si>
  <si>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</si>
  <si>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</si>
  <si>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</si>
  <si>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</si>
  <si>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</si>
  <si>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</si>
  <si>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</si>
  <si>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</si>
  <si>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</si>
  <si>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</si>
  <si>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</si>
  <si>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</si>
  <si>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</si>
  <si>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</si>
  <si>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</si>
  <si>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</si>
  <si>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</si>
  <si>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</si>
  <si>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</si>
  <si>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</si>
  <si>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</si>
  <si>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</si>
  <si>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</si>
  <si>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</si>
  <si>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</si>
  <si>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</si>
  <si>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</si>
  <si>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</si>
  <si>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</si>
  <si>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</si>
  <si>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</si>
  <si>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</si>
  <si>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</si>
  <si>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</si>
  <si>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</si>
  <si>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</si>
  <si>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</si>
  <si>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</si>
  <si>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</si>
  <si>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</si>
  <si>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</si>
  <si>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</si>
  <si>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</si>
  <si>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</si>
  <si>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</si>
  <si>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</si>
  <si>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</si>
  <si>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</si>
  <si>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</si>
  <si>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</si>
  <si>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</si>
  <si>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</si>
  <si>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</si>
  <si>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</si>
  <si>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</si>
  <si>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</si>
  <si>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</si>
  <si>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</si>
  <si>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</si>
  <si>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</si>
  <si>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</si>
  <si>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</si>
  <si>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</si>
  <si>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</si>
  <si>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</si>
  <si>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</si>
  <si>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</si>
  <si>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</si>
  <si>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</si>
  <si>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</si>
  <si>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</si>
  <si>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</si>
  <si>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</si>
  <si>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</si>
  <si>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</si>
  <si>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</si>
  <si>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</si>
  <si>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</si>
  <si>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</si>
  <si>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</si>
  <si>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</si>
  <si>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</si>
  <si>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</si>
  <si>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</si>
  <si>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</si>
  <si>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</si>
  <si>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</si>
  <si>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</si>
  <si>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</si>
  <si>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</si>
  <si>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</si>
  <si>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</si>
  <si>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</si>
  <si>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</si>
  <si>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</si>
  <si>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</si>
  <si>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</si>
  <si>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</si>
  <si>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</si>
  <si>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</si>
  <si>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</si>
  <si>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</si>
  <si>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</si>
  <si>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</si>
  <si>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</si>
  <si>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</si>
  <si>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</si>
  <si>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</si>
  <si>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</si>
  <si>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</si>
  <si>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</si>
  <si>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</si>
  <si>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</si>
  <si>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</si>
  <si>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</si>
  <si>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</si>
  <si>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</si>
  <si>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</si>
  <si>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</si>
  <si>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</si>
  <si>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</si>
  <si>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</si>
  <si>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</si>
  <si>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</si>
  <si>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</si>
  <si>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</si>
  <si>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</si>
  <si>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</si>
  <si>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</si>
  <si>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</si>
  <si>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</si>
  <si>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</si>
  <si>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</si>
  <si>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</si>
  <si>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</si>
  <si>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</si>
  <si>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</si>
  <si>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</si>
  <si>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</si>
  <si>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</si>
  <si>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</si>
  <si>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</si>
  <si>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</si>
  <si>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</si>
  <si>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</si>
  <si>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</si>
  <si>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</si>
  <si>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</si>
  <si>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</si>
  <si>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</si>
  <si>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</si>
  <si>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</si>
  <si>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</si>
  <si>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</si>
  <si>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</si>
  <si>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</si>
  <si>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</si>
  <si>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</si>
  <si>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</si>
  <si>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</si>
  <si>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</si>
  <si>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</si>
  <si>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</si>
  <si>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</si>
  <si>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</si>
  <si>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</si>
  <si>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</si>
  <si>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</si>
  <si>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</si>
  <si>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</si>
  <si>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</si>
  <si>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</si>
  <si>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</si>
  <si>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</si>
  <si>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</si>
  <si>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</si>
  <si>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</si>
  <si>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</si>
  <si>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</si>
  <si>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</si>
  <si>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</si>
  <si>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</si>
  <si>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</si>
  <si>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</si>
  <si>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</si>
  <si>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</si>
  <si>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</si>
  <si>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</si>
  <si>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</si>
  <si>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</si>
  <si>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</si>
  <si>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</si>
  <si>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</si>
  <si>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</si>
  <si>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</si>
  <si>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</si>
  <si>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</si>
  <si>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</si>
  <si>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</si>
  <si>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</si>
  <si>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</si>
  <si>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</si>
  <si>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</si>
  <si>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</si>
  <si>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</si>
  <si>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</si>
  <si>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</si>
  <si>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</si>
  <si>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</si>
  <si>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</si>
  <si>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</si>
  <si>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</si>
  <si>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</si>
  <si>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</si>
  <si>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</si>
  <si>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</si>
  <si>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</si>
  <si>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</si>
  <si>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</si>
  <si>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</si>
  <si>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</si>
  <si>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</si>
  <si>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</si>
  <si>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</si>
  <si>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</si>
  <si>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</si>
  <si>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</si>
  <si>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</si>
  <si>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</si>
  <si>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</si>
  <si>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</si>
  <si>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</si>
  <si>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</si>
  <si>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</si>
  <si>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</si>
  <si>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</si>
  <si>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</si>
  <si>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</si>
  <si>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</si>
  <si>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</si>
  <si>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</si>
  <si>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</si>
  <si>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</si>
  <si>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</si>
  <si>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</si>
  <si>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</si>
  <si>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</si>
  <si>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</si>
  <si>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</si>
  <si>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</si>
  <si>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</si>
  <si>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</si>
  <si>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</si>
  <si>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</si>
  <si>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</si>
  <si>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</si>
  <si>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</si>
  <si>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</si>
  <si>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</si>
  <si>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</si>
  <si>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</si>
  <si>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</si>
  <si>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</si>
  <si>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</si>
  <si>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</si>
  <si>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</si>
  <si>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</si>
  <si>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</si>
  <si>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</si>
  <si>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</si>
  <si>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</si>
  <si>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</si>
  <si>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</si>
  <si>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</si>
  <si>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</si>
  <si>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</si>
  <si>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</si>
  <si>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</si>
  <si>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</si>
  <si>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</si>
  <si>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</si>
  <si>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</si>
  <si>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</si>
  <si>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</si>
  <si>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</si>
  <si>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</si>
  <si>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</si>
  <si>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</si>
  <si>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</si>
  <si>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</si>
  <si>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</si>
  <si>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</si>
  <si>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</si>
  <si>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</si>
  <si>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</si>
  <si>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</si>
  <si>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</si>
  <si>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</si>
  <si>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</si>
  <si>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</si>
  <si>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</si>
  <si>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</si>
  <si>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</si>
  <si>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</si>
  <si>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</si>
  <si>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</si>
  <si>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</si>
  <si>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</si>
  <si>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</si>
  <si>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</si>
  <si>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</si>
  <si>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</si>
  <si>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</si>
  <si>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</si>
  <si>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</si>
  <si>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</si>
  <si>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</si>
  <si>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</si>
  <si>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</si>
  <si>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</si>
  <si>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</si>
  <si>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</si>
  <si>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</si>
  <si>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</si>
  <si>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</si>
  <si>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</si>
  <si>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</si>
  <si>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</si>
  <si>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</si>
  <si>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</si>
  <si>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</si>
  <si>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</si>
  <si>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</si>
  <si>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</si>
  <si>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</si>
  <si>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</si>
  <si>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</si>
  <si>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</si>
  <si>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</si>
  <si>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</si>
  <si>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</si>
  <si>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</si>
  <si>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</si>
  <si>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</si>
  <si>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</si>
  <si>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</si>
  <si>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</si>
  <si>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</si>
  <si>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</si>
  <si>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</si>
  <si>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</si>
  <si>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</si>
  <si>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</si>
  <si>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</si>
  <si>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</si>
  <si>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</si>
  <si>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</si>
  <si>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</si>
  <si>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</si>
  <si>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</si>
  <si>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</si>
  <si>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</si>
  <si>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</si>
  <si>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</si>
  <si>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</si>
  <si>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</si>
  <si>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</si>
  <si>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</si>
  <si>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</si>
  <si>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</si>
  <si>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</si>
  <si>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</si>
  <si>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</si>
  <si>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</si>
  <si>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</si>
  <si>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</si>
  <si>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</si>
  <si>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</si>
  <si>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</si>
  <si>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</si>
  <si>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</si>
  <si>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</si>
  <si>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</si>
  <si>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</si>
  <si>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</si>
  <si>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</si>
  <si>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</si>
  <si>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</si>
  <si>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</si>
  <si>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</si>
  <si>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</si>
  <si>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</si>
  <si>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</si>
  <si>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</si>
  <si>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</si>
  <si>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</si>
  <si>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</si>
  <si>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</si>
  <si>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</si>
  <si>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</si>
  <si>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</si>
  <si>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</si>
  <si>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</si>
  <si>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</si>
  <si>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</si>
  <si>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</si>
  <si>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</si>
  <si>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</si>
  <si>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</si>
  <si>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</si>
  <si>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</si>
  <si>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</si>
  <si>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</si>
  <si>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</si>
  <si>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</si>
  <si>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</si>
  <si>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</si>
  <si>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</si>
  <si>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</si>
  <si>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</si>
  <si>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</si>
  <si>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</si>
  <si>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</si>
  <si>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</si>
  <si>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</si>
  <si>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</si>
  <si>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</si>
  <si>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</si>
  <si>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</si>
  <si>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</si>
  <si>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</si>
  <si>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</si>
  <si>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</si>
  <si>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</si>
  <si>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</si>
  <si>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</si>
  <si>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</si>
  <si>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</si>
  <si>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</si>
  <si>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</si>
  <si>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</si>
  <si>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</si>
  <si>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</si>
  <si>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</si>
  <si>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</si>
  <si>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</si>
  <si>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</si>
  <si>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</si>
  <si>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</si>
  <si>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</si>
  <si>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</si>
  <si>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</si>
  <si>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</si>
  <si>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</si>
  <si>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</si>
  <si>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</si>
  <si>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</si>
  <si>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</si>
  <si>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</si>
  <si>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</si>
  <si>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</si>
  <si>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</si>
  <si>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</si>
  <si>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</si>
  <si>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</si>
  <si>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</si>
  <si>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</si>
  <si>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</si>
  <si>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</si>
  <si>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</si>
  <si>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</si>
  <si>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</si>
  <si>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</si>
  <si>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</si>
  <si>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</si>
  <si>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</si>
  <si>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</si>
  <si>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</si>
  <si>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</si>
  <si>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</si>
  <si>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</si>
  <si>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</si>
  <si>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</si>
  <si>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</si>
  <si>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</si>
  <si>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</si>
  <si>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</si>
  <si>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</si>
  <si>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</si>
  <si>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</si>
  <si>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</si>
  <si>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</si>
  <si>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</si>
  <si>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</si>
  <si>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</si>
  <si>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</si>
  <si>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</si>
  <si>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</si>
  <si>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</si>
  <si>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</si>
  <si>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</si>
  <si>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</si>
  <si>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</si>
  <si>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</si>
  <si>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</si>
  <si>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</si>
  <si>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</si>
  <si>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</si>
  <si>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</si>
  <si>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</si>
  <si>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</si>
  <si>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</si>
  <si>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</si>
  <si>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</si>
  <si>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</si>
  <si>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</si>
  <si>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</si>
  <si>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</si>
  <si>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</si>
  <si>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</si>
  <si>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</si>
  <si>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</si>
  <si>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</si>
  <si>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</si>
  <si>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</si>
  <si>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</si>
  <si>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</si>
  <si>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</si>
  <si>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</si>
  <si>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</si>
  <si>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</si>
  <si>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</si>
  <si>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</si>
  <si>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</si>
  <si>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</si>
  <si>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</si>
  <si>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</si>
  <si>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</si>
  <si>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</si>
  <si>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</si>
  <si>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</si>
  <si>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</si>
  <si>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</si>
  <si>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</si>
  <si>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</si>
  <si>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</si>
  <si>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</si>
  <si>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</si>
  <si>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</si>
  <si>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</si>
  <si>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</si>
  <si>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</si>
  <si>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</si>
  <si>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</si>
  <si>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</si>
  <si>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</si>
  <si>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</si>
  <si>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</si>
  <si>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</si>
  <si>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</si>
  <si>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</si>
  <si>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</si>
  <si>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</si>
  <si>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</si>
  <si>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</si>
  <si>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</si>
  <si>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</si>
  <si>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</si>
  <si>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</si>
  <si>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</si>
  <si>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</si>
  <si>
    <t>工程进度</t>
  </si>
  <si>
    <t>土地</t>
  </si>
  <si>
    <t>1-4</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</si>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</sst>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84" fillId="19" borderId="8"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77" fontId="76" fillId="19" borderId="2" xfId="0" applyNumberFormat="1" applyFont="1" applyFill="1" applyBorder="1" applyAlignment="1" applyProtection="1">
      <alignment horizontal="center" vertical="center"/>
    </xf>
    <xf numFmtId="0" fontId="76" fillId="19" borderId="2" xfId="0" applyFont="1" applyFill="1" applyBorder="1" applyAlignment="1" applyProtection="1">
      <alignment horizontal="center" vertical="center"/>
    </xf>
    <xf numFmtId="176" fontId="11" fillId="19" borderId="2" xfId="0" applyNumberFormat="1" applyFont="1" applyFill="1" applyBorder="1" applyAlignment="1" applyProtection="1">
      <alignment horizontal="center" vertical="center" wrapText="1"/>
      <protection locked="0"/>
    </xf>
    <xf numFmtId="0" fontId="71"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8393</v>
      </c>
    </row>
    <row r="47" spans="1:2">
      <c r="A47" s="2856" t="s">
        <v>2725</v>
      </c>
      <c r="B47" s="2857">
        <f ca="1">'预评函-2'!Q5</f>
        <v>3210</v>
      </c>
    </row>
    <row r="48" spans="1:2">
      <c r="A48" s="2856" t="s">
        <v>2726</v>
      </c>
      <c r="B48" s="2857">
        <f ca="1">'预评函-2'!R5</f>
        <v>28248</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0" t="str">
        <f>IF(B10="北京市","北京市",C10)&amp;F10&amp;B16&amp;"国有建设用地使用权"&amp;B9&amp;"预评估"</f>
        <v>出让国有建设用地使用权抵押价格预评估</v>
      </c>
      <c r="C1" s="3241"/>
      <c r="D1" s="3241"/>
      <c r="E1" s="3241"/>
      <c r="F1" s="3241"/>
      <c r="G1" s="3241"/>
      <c r="H1" s="3241"/>
      <c r="I1" s="3242"/>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46"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4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3205</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3"/>
      <c r="C12" s="3244"/>
      <c r="D12" s="3245"/>
      <c r="E12" s="1698" t="s">
        <v>2062</v>
      </c>
      <c r="F12" s="3261" t="s">
        <v>2890</v>
      </c>
      <c r="G12" s="3262"/>
      <c r="H12" s="3262"/>
      <c r="I12" s="3263"/>
      <c r="J12" s="1693"/>
      <c r="K12" s="1773"/>
      <c r="L12" s="1722"/>
      <c r="M12" s="1722"/>
      <c r="N12" s="1693"/>
      <c r="O12" s="1694"/>
      <c r="P12" s="1693"/>
      <c r="Q12" s="1693"/>
      <c r="R12" s="1693"/>
      <c r="S12" s="1693"/>
      <c r="T12" s="1693"/>
      <c r="U12" s="1693"/>
    </row>
    <row r="13" spans="1:21">
      <c r="A13" s="1686" t="s">
        <v>2060</v>
      </c>
      <c r="B13" s="3243"/>
      <c r="C13" s="3244"/>
      <c r="D13" s="3245"/>
      <c r="E13" s="1698" t="s">
        <v>2062</v>
      </c>
      <c r="F13" s="3261" t="s">
        <v>2891</v>
      </c>
      <c r="G13" s="3262"/>
      <c r="H13" s="3262"/>
      <c r="I13" s="3263"/>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8"/>
      <c r="E20" s="3259"/>
      <c r="F20" s="3259"/>
      <c r="G20" s="3259"/>
      <c r="H20" s="3259"/>
      <c r="I20" s="3260"/>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48" t="s">
        <v>1999</v>
      </c>
      <c r="F21" s="3249"/>
      <c r="G21" s="3249"/>
      <c r="H21" s="3249"/>
      <c r="I21" s="3250"/>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48" t="s">
        <v>2892</v>
      </c>
      <c r="F22" s="3249"/>
      <c r="G22" s="3249"/>
      <c r="H22" s="3249"/>
      <c r="I22" s="325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1" t="s">
        <v>1967</v>
      </c>
      <c r="C24" s="3252"/>
      <c r="D24" s="3253" t="s">
        <v>1968</v>
      </c>
      <c r="E24" s="3254"/>
      <c r="F24" s="1707" t="s">
        <v>1969</v>
      </c>
      <c r="G24" s="1693"/>
      <c r="H24" s="1693"/>
      <c r="I24" s="1706"/>
      <c r="J24" s="1693"/>
      <c r="K24" s="323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6" t="s">
        <v>2002</v>
      </c>
      <c r="B31" s="1763" t="s">
        <v>2003</v>
      </c>
      <c r="C31" s="3264"/>
      <c r="D31" s="3265"/>
      <c r="E31" s="1693"/>
      <c r="F31" s="1693"/>
      <c r="G31" s="1693"/>
      <c r="H31" s="1693"/>
      <c r="I31" s="1706"/>
      <c r="J31" s="1693"/>
      <c r="K31" s="2437"/>
      <c r="L31" s="1693"/>
      <c r="M31" s="1693"/>
      <c r="N31" s="1693"/>
      <c r="O31" s="1693"/>
      <c r="P31" s="1693"/>
      <c r="Q31" s="1693"/>
      <c r="R31" s="1693"/>
      <c r="S31" s="1693"/>
      <c r="T31" s="1693"/>
      <c r="U31" s="1693"/>
    </row>
    <row r="32" spans="1:21">
      <c r="A32" s="3266"/>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66"/>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67"/>
      <c r="B34" s="1660" t="s">
        <v>2006</v>
      </c>
      <c r="C34" s="3268"/>
      <c r="D34" s="3269"/>
      <c r="E34" s="1693"/>
      <c r="F34" s="1693"/>
      <c r="G34" s="1693"/>
      <c r="H34" s="1693"/>
      <c r="I34" s="1706"/>
      <c r="J34" s="1693"/>
      <c r="K34" s="2437"/>
      <c r="L34" s="1693"/>
      <c r="M34" s="1693"/>
      <c r="N34" s="1693"/>
      <c r="O34" s="1693"/>
      <c r="P34" s="1693"/>
      <c r="Q34" s="1693"/>
      <c r="R34" s="1693"/>
      <c r="S34" s="1693"/>
      <c r="T34" s="1693"/>
      <c r="U34" s="1693"/>
    </row>
    <row r="35" spans="1:21">
      <c r="A35" s="3270" t="s">
        <v>847</v>
      </c>
      <c r="B35" s="1721"/>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c r="A36" s="3266"/>
      <c r="B36" s="3275" t="s">
        <v>2055</v>
      </c>
      <c r="C36" s="3276"/>
      <c r="D36" s="1791"/>
      <c r="E36" s="3277"/>
      <c r="F36" s="3277"/>
      <c r="G36" s="1686" t="str">
        <f>IF(B35="场地未平整","估价结果处理","")</f>
        <v/>
      </c>
      <c r="H36" s="3278"/>
      <c r="I36" s="3278"/>
      <c r="J36" s="1693"/>
      <c r="K36" s="1774"/>
      <c r="L36" s="1722"/>
      <c r="M36" s="1722"/>
      <c r="N36" s="1693"/>
      <c r="O36" s="1694"/>
      <c r="P36" s="1693"/>
      <c r="Q36" s="1693"/>
      <c r="R36" s="1693"/>
      <c r="S36" s="1693"/>
      <c r="T36" s="1693"/>
      <c r="U36" s="1693"/>
    </row>
    <row r="37" spans="1:21" ht="28.5">
      <c r="A37" s="3266"/>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56"/>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67"/>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8" t="s">
        <v>1986</v>
      </c>
      <c r="T40" s="1730" t="str">
        <f>NUMBERSTRING(7-K40,1)&amp;"通"</f>
        <v>七通</v>
      </c>
      <c r="U40" s="1693"/>
    </row>
    <row r="41" spans="1:21">
      <c r="A41" s="1662"/>
      <c r="B41" s="3271" t="s">
        <v>1722</v>
      </c>
      <c r="C41" s="3271"/>
      <c r="D41" s="3271"/>
      <c r="E41" s="327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27" sqref="A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SUM(AN13:AN641)</f>
        <v>23861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0</v>
      </c>
      <c r="BO5" s="29">
        <f t="shared" si="1"/>
        <v>0</v>
      </c>
      <c r="BP5" s="29">
        <f t="shared" si="1"/>
        <v>0</v>
      </c>
      <c r="BQ5" s="29">
        <f t="shared" si="1"/>
        <v>0</v>
      </c>
      <c r="BR5" s="29">
        <f t="shared" si="1"/>
        <v>23861</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9125.68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0</v>
      </c>
      <c r="BO6" s="27">
        <f t="shared" si="5"/>
        <v>0</v>
      </c>
      <c r="BP6" s="27">
        <f t="shared" si="5"/>
        <v>0</v>
      </c>
      <c r="BQ6" s="27">
        <f t="shared" si="5"/>
        <v>0</v>
      </c>
      <c r="BR6" s="27">
        <f t="shared" si="5"/>
        <v>9125.68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3097</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3208"/>
      <c r="AG13" s="2997"/>
      <c r="AH13" s="2997"/>
      <c r="AI13" s="2997"/>
      <c r="AJ13" s="2997"/>
      <c r="AK13" s="2997"/>
      <c r="AL13" s="2997"/>
      <c r="AM13" s="2997"/>
      <c r="AN13" s="2997">
        <v>23861</v>
      </c>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23861</v>
      </c>
      <c r="BS13" s="27">
        <f t="shared" ref="BS13:BS20" si="29">IF($D13="是",AP13-AQ13,0)</f>
        <v>0</v>
      </c>
      <c r="BT13" s="36">
        <f t="shared" ref="BT13:BT20" si="30">IF($D13="是",AR13-AS13,0)</f>
        <v>0</v>
      </c>
    </row>
    <row r="14" spans="1:72" s="18" customFormat="1" ht="12.75">
      <c r="A14" s="2989"/>
      <c r="B14" s="2989"/>
      <c r="C14" s="2991" t="s">
        <v>3099</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31">IF($D14="是",AF14-AG14,0)</f>
        <v>0</v>
      </c>
      <c r="BO14" s="27">
        <f t="shared" si="26"/>
        <v>0</v>
      </c>
      <c r="BP14" s="27">
        <f t="shared" si="27"/>
        <v>0</v>
      </c>
      <c r="BQ14" s="27">
        <f t="shared" si="28"/>
        <v>0</v>
      </c>
      <c r="BR14" s="27">
        <f t="shared" ref="BR14:BR20" si="32">IF($D14="是",AN14-AO14,0)</f>
        <v>0</v>
      </c>
      <c r="BS14" s="27">
        <f t="shared" si="29"/>
        <v>0</v>
      </c>
      <c r="BT14" s="36">
        <f t="shared" si="30"/>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31"/>
        <v>0</v>
      </c>
      <c r="BO15" s="27">
        <f t="shared" si="26"/>
        <v>0</v>
      </c>
      <c r="BP15" s="27">
        <f t="shared" si="27"/>
        <v>0</v>
      </c>
      <c r="BQ15" s="27">
        <f t="shared" si="28"/>
        <v>0</v>
      </c>
      <c r="BR15" s="27">
        <f t="shared" si="32"/>
        <v>0</v>
      </c>
      <c r="BS15" s="27">
        <f t="shared" si="29"/>
        <v>0</v>
      </c>
      <c r="BT15" s="36">
        <f t="shared" si="30"/>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31"/>
        <v>0</v>
      </c>
      <c r="BO16" s="27">
        <f t="shared" si="26"/>
        <v>0</v>
      </c>
      <c r="BP16" s="27">
        <f t="shared" si="27"/>
        <v>0</v>
      </c>
      <c r="BQ16" s="27">
        <f t="shared" si="28"/>
        <v>0</v>
      </c>
      <c r="BR16" s="27">
        <f t="shared" si="32"/>
        <v>0</v>
      </c>
      <c r="BS16" s="27">
        <f t="shared" si="29"/>
        <v>0</v>
      </c>
      <c r="BT16" s="36">
        <f t="shared" si="30"/>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31"/>
        <v>0</v>
      </c>
      <c r="BO17" s="27">
        <f t="shared" si="26"/>
        <v>0</v>
      </c>
      <c r="BP17" s="27">
        <f t="shared" si="27"/>
        <v>0</v>
      </c>
      <c r="BQ17" s="27">
        <f t="shared" si="28"/>
        <v>0</v>
      </c>
      <c r="BR17" s="27">
        <f t="shared" si="32"/>
        <v>0</v>
      </c>
      <c r="BS17" s="27">
        <f t="shared" si="29"/>
        <v>0</v>
      </c>
      <c r="BT17" s="36">
        <f t="shared" si="30"/>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31"/>
        <v>0</v>
      </c>
      <c r="BO18" s="87">
        <f t="shared" si="26"/>
        <v>0</v>
      </c>
      <c r="BP18" s="87">
        <f t="shared" si="27"/>
        <v>0</v>
      </c>
      <c r="BQ18" s="87">
        <f t="shared" si="28"/>
        <v>0</v>
      </c>
      <c r="BR18" s="87">
        <f t="shared" si="32"/>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31"/>
        <v>0</v>
      </c>
      <c r="BO19" s="87">
        <f t="shared" si="26"/>
        <v>0</v>
      </c>
      <c r="BP19" s="87">
        <f t="shared" si="27"/>
        <v>0</v>
      </c>
      <c r="BQ19" s="87">
        <f t="shared" si="28"/>
        <v>0</v>
      </c>
      <c r="BR19" s="87">
        <f t="shared" si="32"/>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31"/>
        <v>0</v>
      </c>
      <c r="BO20" s="87">
        <f t="shared" si="26"/>
        <v>0</v>
      </c>
      <c r="BP20" s="87">
        <f t="shared" si="27"/>
        <v>0</v>
      </c>
      <c r="BQ20" s="87">
        <f t="shared" si="28"/>
        <v>0</v>
      </c>
      <c r="BR20" s="87">
        <f t="shared" si="32"/>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16574</v>
      </c>
      <c r="C2" s="2058"/>
      <c r="D2" s="2056"/>
      <c r="E2" s="2057"/>
      <c r="F2" s="2057"/>
      <c r="G2" s="1591"/>
      <c r="H2" s="2058"/>
      <c r="I2" s="2058"/>
      <c r="J2" s="2058"/>
      <c r="K2" s="2059"/>
      <c r="L2" s="2058"/>
      <c r="M2" s="2058"/>
    </row>
    <row r="3" spans="1:33" ht="18" customHeight="1" thickBot="1">
      <c r="A3" s="833" t="s">
        <v>519</v>
      </c>
      <c r="B3" s="834">
        <f ca="1">IF(ISERROR(B2*10000/F43),0,ROUND(B2*10000/F43,0))</f>
        <v>6865</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637</v>
      </c>
      <c r="F6" s="785">
        <f ca="1">INDIRECT("'数据-取费表'!u"&amp;$G$1)</f>
        <v>1.29</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24142</v>
      </c>
      <c r="G7" s="1593"/>
      <c r="H7" s="2469"/>
      <c r="I7" s="3282"/>
      <c r="J7" s="788"/>
      <c r="K7" s="789"/>
      <c r="L7" s="784" t="s">
        <v>638</v>
      </c>
      <c r="M7" s="785">
        <f ca="1">F7</f>
        <v>24142</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7330</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7330</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746</v>
      </c>
      <c r="K16" s="1822" t="s">
        <v>652</v>
      </c>
      <c r="L16" s="3181"/>
      <c r="M16" s="2471"/>
    </row>
    <row r="17" spans="1:33" s="2065" customFormat="1" ht="18" customHeight="1">
      <c r="A17" s="1649" t="s">
        <v>1888</v>
      </c>
      <c r="B17" s="784" t="s">
        <v>653</v>
      </c>
      <c r="C17" s="53">
        <f ca="1">ROUND(F17*(F43+INDIRECT("'数据-取费表'!S"&amp;$G$1))/10000,0)</f>
        <v>563</v>
      </c>
      <c r="D17" s="784" t="s">
        <v>654</v>
      </c>
      <c r="E17" s="784" t="s">
        <v>655</v>
      </c>
      <c r="F17" s="56">
        <f>'数据-取费表'!B35</f>
        <v>170</v>
      </c>
      <c r="G17" s="1594"/>
      <c r="H17" s="1650" t="s">
        <v>1825</v>
      </c>
      <c r="I17" s="784" t="s">
        <v>656</v>
      </c>
      <c r="J17" s="53">
        <f ca="1">ROUND(IF(项目基本情况!B11="自然人",J5*M17,J18+J19+J20),0)</f>
        <v>636</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5104</v>
      </c>
      <c r="D19" s="261" t="s">
        <v>663</v>
      </c>
      <c r="E19" s="3183"/>
      <c r="F19" s="56"/>
      <c r="G19" s="1593"/>
      <c r="H19" s="1649" t="s">
        <v>1833</v>
      </c>
      <c r="I19" s="784" t="s">
        <v>664</v>
      </c>
      <c r="J19" s="53">
        <f ca="1">IF(K19="按租金收入计税",ROUND(J5*M19,1),ROUND(C29*F33*0.7,1))</f>
        <v>615.70000000000005</v>
      </c>
      <c r="K19" s="811" t="s">
        <v>665</v>
      </c>
      <c r="L19" s="784" t="s">
        <v>649</v>
      </c>
      <c r="M19" s="809">
        <f>IF(K19="按租金收入计税",'数据-取费表'!B51,'数据-取费表'!B50)</f>
        <v>1.2E-2</v>
      </c>
    </row>
    <row r="20" spans="1:33" s="2065" customFormat="1" ht="18" customHeight="1">
      <c r="A20" s="1650" t="s">
        <v>1890</v>
      </c>
      <c r="B20" s="784" t="s">
        <v>666</v>
      </c>
      <c r="C20" s="53">
        <f ca="1">ROUND(C19*F20,0)</f>
        <v>102</v>
      </c>
      <c r="D20" s="812" t="s">
        <v>667</v>
      </c>
      <c r="E20" s="784" t="s">
        <v>649</v>
      </c>
      <c r="F20" s="809">
        <f>'数据-取费表'!B37</f>
        <v>0.02</v>
      </c>
      <c r="G20" s="1594"/>
      <c r="H20" s="1652" t="s">
        <v>1834</v>
      </c>
      <c r="I20" s="341" t="s">
        <v>668</v>
      </c>
      <c r="J20" s="54">
        <f ca="1">ROUND(M20*M21/10000,0)</f>
        <v>20</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110</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247</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-746</v>
      </c>
      <c r="K25" s="2528" t="s">
        <v>700</v>
      </c>
      <c r="L25" s="2529"/>
      <c r="M25" s="2530"/>
    </row>
    <row r="26" spans="1:33" ht="18" customHeight="1">
      <c r="A26" s="1649" t="s">
        <v>1832</v>
      </c>
      <c r="B26" s="784" t="s">
        <v>2439</v>
      </c>
      <c r="C26" s="53">
        <f ca="1">ROUND((C19+C20)*F26,0)</f>
        <v>1302</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5.0000000000000001E-3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328</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196.8</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53.6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122.9</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20.3</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12667.91</v>
      </c>
      <c r="G35" s="2063"/>
      <c r="H35" s="2066"/>
      <c r="I35" s="837" t="s">
        <v>1815</v>
      </c>
      <c r="J35" s="838">
        <f ca="1">ROUND(C13*J36,0)</f>
        <v>623</v>
      </c>
      <c r="K35" s="2079"/>
      <c r="L35" s="2078"/>
      <c r="M35" s="2078"/>
    </row>
    <row r="36" spans="1:18" ht="18" customHeight="1">
      <c r="A36" s="1650" t="s">
        <v>1890</v>
      </c>
      <c r="B36" s="784" t="s">
        <v>676</v>
      </c>
      <c r="C36" s="53">
        <f ca="1">ROUND(C29*F36,1)</f>
        <v>110</v>
      </c>
      <c r="D36" s="3178"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696</v>
      </c>
      <c r="D39" s="2528" t="s">
        <v>700</v>
      </c>
      <c r="E39" s="2529"/>
      <c r="F39" s="2530"/>
      <c r="G39" s="2063"/>
      <c r="H39" s="2078"/>
      <c r="I39" s="837" t="s">
        <v>1819</v>
      </c>
      <c r="J39" s="845">
        <f ca="1">ROUND(J35/C39,3)</f>
        <v>0.89500000000000002</v>
      </c>
      <c r="K39" s="2084"/>
      <c r="L39" s="2078"/>
      <c r="M39" s="2078"/>
    </row>
    <row r="40" spans="1:18" ht="18" customHeight="1">
      <c r="A40" s="781" t="s">
        <v>1781</v>
      </c>
      <c r="B40" s="2233" t="s">
        <v>2302</v>
      </c>
      <c r="C40" s="783">
        <f ca="1">ROUND(C39*(1-((1+F42)/(1+F40))^F41)/(F40-F42),0)</f>
        <v>16574</v>
      </c>
      <c r="D40" s="814" t="s">
        <v>704</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7330</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16574</v>
      </c>
      <c r="R57" s="2379" t="s">
        <v>2381</v>
      </c>
    </row>
    <row r="58" spans="1:18" s="2060" customFormat="1" ht="28.5" customHeight="1" thickBot="1">
      <c r="A58" s="1650" t="s">
        <v>1825</v>
      </c>
      <c r="B58" s="784" t="s">
        <v>656</v>
      </c>
      <c r="C58" s="53">
        <f ca="1">ROUND(IF(项目基本情况!B11="自然人",C47*F58,C59+C60+C61),1)</f>
        <v>20.3</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3179" t="s">
        <v>700</v>
      </c>
      <c r="E66" s="3182"/>
      <c r="F66" s="820"/>
      <c r="K66" s="2087"/>
      <c r="O66" s="2378" t="s">
        <v>2380</v>
      </c>
      <c r="P66" s="2379" t="s">
        <v>2406</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857</v>
      </c>
      <c r="J2" s="1984"/>
      <c r="K2" s="1984"/>
      <c r="L2" s="1984"/>
    </row>
    <row r="3" spans="1:16" ht="15.75" thickBot="1">
      <c r="A3" s="3297" t="s">
        <v>206</v>
      </c>
      <c r="B3" s="3297"/>
      <c r="C3" s="3297"/>
      <c r="D3" s="107">
        <f>'数据-基础表'!AY6</f>
        <v>33656.9</v>
      </c>
      <c r="E3" s="107">
        <f>'数据-基础表'!AZ5</f>
        <v>88003</v>
      </c>
      <c r="F3" s="1984"/>
      <c r="G3" s="280" t="s">
        <v>858</v>
      </c>
      <c r="H3" s="275" t="s">
        <v>859</v>
      </c>
      <c r="I3" s="1976">
        <f>ROUND('数据-基础表'!B3/'数据-基础表'!A3,2)</f>
        <v>2.61</v>
      </c>
      <c r="J3" s="1984"/>
      <c r="K3" s="1984"/>
      <c r="L3" s="1984"/>
    </row>
    <row r="4" spans="1:16" ht="15">
      <c r="A4" s="3298"/>
      <c r="B4" s="3299"/>
      <c r="C4" s="3300"/>
      <c r="D4" s="108" t="s">
        <v>204</v>
      </c>
      <c r="E4" s="109" t="s">
        <v>205</v>
      </c>
      <c r="F4" s="1984"/>
      <c r="G4" s="1201"/>
      <c r="H4" s="275" t="s">
        <v>860</v>
      </c>
      <c r="I4" s="1976">
        <f>ROUND(SUMIF('数据-基础表'!I9:AS9,"地上",'数据-基础表'!I5:AS5)/'数据-基础表'!A3,2)</f>
        <v>1.91</v>
      </c>
      <c r="J4" s="1984"/>
      <c r="K4" s="1984"/>
      <c r="L4" s="1984"/>
    </row>
    <row r="5" spans="1:16">
      <c r="A5" s="110" t="s">
        <v>207</v>
      </c>
      <c r="B5" s="3301" t="s">
        <v>230</v>
      </c>
      <c r="C5" s="3301"/>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301" t="s">
        <v>208</v>
      </c>
      <c r="C6" s="3301"/>
      <c r="D6" s="111">
        <f>ROUND($D$3*E6/$E$3,2)</f>
        <v>33656.9</v>
      </c>
      <c r="E6" s="112">
        <f>E3-E5</f>
        <v>88003</v>
      </c>
      <c r="F6" s="1984"/>
      <c r="G6" s="1201"/>
      <c r="H6" s="275" t="s">
        <v>860</v>
      </c>
      <c r="I6" s="1976">
        <f>ROUND(F31/D31,2)</f>
        <v>1.91</v>
      </c>
      <c r="J6" s="1984"/>
      <c r="K6" s="1984"/>
      <c r="L6" s="1984"/>
    </row>
    <row r="7" spans="1:16" ht="15">
      <c r="A7" s="3293"/>
      <c r="B7" s="3294"/>
      <c r="C7" s="3295"/>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7" t="s">
        <v>2567</v>
      </c>
      <c r="L16" s="3288"/>
      <c r="M16" s="3288"/>
      <c r="N16" s="3288"/>
      <c r="O16" s="3288"/>
      <c r="P16" s="3289"/>
    </row>
    <row r="17" spans="1:19" ht="15">
      <c r="A17" s="121" t="s">
        <v>216</v>
      </c>
      <c r="B17" s="122" t="s">
        <v>217</v>
      </c>
      <c r="C17" s="2298" t="s">
        <v>2314</v>
      </c>
      <c r="D17" s="108" t="s">
        <v>204</v>
      </c>
      <c r="E17" s="124" t="s">
        <v>205</v>
      </c>
      <c r="F17" s="125"/>
      <c r="G17" s="1366"/>
      <c r="H17" s="970" t="s">
        <v>218</v>
      </c>
      <c r="I17" s="971" t="s">
        <v>2313</v>
      </c>
      <c r="J17" s="1984"/>
      <c r="K17" s="3290" t="s">
        <v>2568</v>
      </c>
      <c r="L17" s="3291"/>
      <c r="M17" s="3292"/>
      <c r="N17" s="3290" t="s">
        <v>2569</v>
      </c>
      <c r="O17" s="3291"/>
      <c r="P17" s="3292"/>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3101</v>
      </c>
      <c r="D19" s="111">
        <f t="shared" ref="D19:D26" si="1">ROUND($D$3*E19/$E$3,2)</f>
        <v>15298.07</v>
      </c>
      <c r="E19" s="134">
        <f t="shared" ref="E19:E26" si="2">SUM(F19:G19)</f>
        <v>40000</v>
      </c>
      <c r="F19" s="135">
        <f>'数据-基础表'!I13</f>
        <v>40000</v>
      </c>
      <c r="G19" s="1368"/>
      <c r="H19" s="974">
        <f>ROUND($D$3*I19/$E$3,2)</f>
        <v>5690.92</v>
      </c>
      <c r="I19" s="116">
        <f>IF($I$17="自定义",P19,M19)</f>
        <v>14880.11</v>
      </c>
      <c r="J19" s="1984"/>
      <c r="K19" s="2587">
        <f t="shared" ref="K19:K26" si="3">ROUND(E$28*E19/E$27,2)</f>
        <v>14880.11</v>
      </c>
      <c r="L19" s="275">
        <f t="shared" ref="L19:L26" si="4">ROUND(IF(COUNTIF(C19,"*住宅*")&gt;0,E$29*E19/E$32,0),2)</f>
        <v>0</v>
      </c>
      <c r="M19" s="2588">
        <f>K19+L19</f>
        <v>14880.11</v>
      </c>
      <c r="N19" s="2589"/>
      <c r="O19" s="2590"/>
      <c r="P19" s="2591">
        <f>N19+O19</f>
        <v>0</v>
      </c>
      <c r="R19" s="275">
        <f t="shared" ref="R19:S26" si="5">D19+H19</f>
        <v>20988.989999999998</v>
      </c>
      <c r="S19" s="2301">
        <f t="shared" si="5"/>
        <v>54880.11</v>
      </c>
    </row>
    <row r="20" spans="1:19">
      <c r="A20" s="138"/>
      <c r="B20" s="115" t="s">
        <v>226</v>
      </c>
      <c r="C20" s="3000" t="s">
        <v>3102</v>
      </c>
      <c r="D20" s="111">
        <f t="shared" si="1"/>
        <v>9233.15</v>
      </c>
      <c r="E20" s="134">
        <f t="shared" si="2"/>
        <v>24142</v>
      </c>
      <c r="F20" s="135">
        <f>'数据-基础表'!K14</f>
        <v>24142</v>
      </c>
      <c r="G20" s="1368"/>
      <c r="H20" s="974">
        <f t="shared" ref="H20:H26" si="6">ROUND($D$3*I20/$E$3,2)</f>
        <v>3434.76</v>
      </c>
      <c r="I20" s="116">
        <f t="shared" ref="I20:I26" si="7">IF($I$17="自定义",P20,M20)</f>
        <v>8980.89</v>
      </c>
      <c r="J20" s="1984"/>
      <c r="K20" s="2587">
        <f t="shared" si="3"/>
        <v>8980.89</v>
      </c>
      <c r="L20" s="275">
        <f t="shared" si="4"/>
        <v>0</v>
      </c>
      <c r="M20" s="2588">
        <f t="shared" ref="M20:M26" si="8">K20+L20</f>
        <v>8980.89</v>
      </c>
      <c r="N20" s="2589"/>
      <c r="O20" s="2590"/>
      <c r="P20" s="2591">
        <f t="shared" ref="P20:P26" si="9">N20+O20</f>
        <v>0</v>
      </c>
      <c r="R20" s="275">
        <f t="shared" si="5"/>
        <v>12667.91</v>
      </c>
      <c r="S20" s="2301">
        <f t="shared" si="5"/>
        <v>33122.89</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9125.68</v>
      </c>
      <c r="I27" s="976">
        <f>SUM(I19:I26)</f>
        <v>23861</v>
      </c>
      <c r="J27" s="1984"/>
      <c r="K27" s="2596">
        <f>SUM(K19:K26)</f>
        <v>23861</v>
      </c>
      <c r="L27" s="2597">
        <f>SUM(L19:L26)</f>
        <v>0</v>
      </c>
      <c r="M27" s="2598">
        <f>SUM(M19:M26)</f>
        <v>23861</v>
      </c>
      <c r="N27" s="2596">
        <f t="shared" ref="N27:O27" si="10">SUM(N19:N26)</f>
        <v>0</v>
      </c>
      <c r="O27" s="2597">
        <f t="shared" si="10"/>
        <v>0</v>
      </c>
      <c r="P27" s="2599">
        <f>SUM(P19:P26)</f>
        <v>0</v>
      </c>
      <c r="R27" s="2305">
        <f>IF(SUM(R19:R26)=$D$3,SUM(R19:R26),SUM(R19:R26)&amp;"误差"&amp;ROUND(SUM(R19:R26)-$D$3,2))</f>
        <v>33656.899999999994</v>
      </c>
      <c r="S27" s="275">
        <f>IF(SUM(S19:S26)=$E$3,SUM(S19:S26),SUM(S19:S26)&amp;"误差"&amp;ROUND(SUM(S19:S26)-E3,2))</f>
        <v>88003</v>
      </c>
    </row>
    <row r="28" spans="1:19">
      <c r="A28" s="138"/>
      <c r="B28" s="115" t="s">
        <v>227</v>
      </c>
      <c r="C28" s="136" t="s">
        <v>228</v>
      </c>
      <c r="D28" s="111">
        <f>ROUND($D$3*E28/$E$3,2)</f>
        <v>9125.68</v>
      </c>
      <c r="E28" s="134">
        <f>SUM(F28:G28)</f>
        <v>23861</v>
      </c>
      <c r="F28" s="144">
        <f>'数据-基础表'!BQ5+'数据-基础表'!BS5</f>
        <v>0</v>
      </c>
      <c r="G28" s="145">
        <f>'数据-基础表'!BR5+'数据-基础表'!BT5</f>
        <v>23861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0" sqref="Q20:R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3208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0</v>
      </c>
      <c r="O6" s="177">
        <f>IF($N$5="成新度","——",ROUND(M6*N6,0))</f>
        <v>0</v>
      </c>
      <c r="P6" s="178">
        <f>IF($N$5="成新度","——",M6-O6)</f>
        <v>7200</v>
      </c>
      <c r="Q6" s="3004">
        <v>0.2</v>
      </c>
      <c r="R6" s="179">
        <f>SUMIF('数据-汇总表'!C$19:C$33,A6,'数据-汇总表'!R$19:R$33)</f>
        <v>20988.989999999998</v>
      </c>
      <c r="S6" s="132">
        <f>IF('数据-汇总表'!$I$17="按面积比例",SUMIF('数据-汇总表'!C$19:C$33,A6,'数据-汇总表'!K$19:K$33),SUMIF('数据-汇总表'!C$19:C$33,A6,'数据-汇总表'!N$19:N$33))</f>
        <v>14880.11</v>
      </c>
      <c r="T6" s="2234">
        <f>IF($T$4="按面积比例",IF(ISERROR(ROUND($M$14*S6/S$16,0)),"0",ROUND($M$14*S6/S$16,0)),"需自行计算录入")</f>
        <v>0</v>
      </c>
      <c r="U6" s="180">
        <v>1.4</v>
      </c>
      <c r="V6" s="181">
        <v>2.5000000000000001E-2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3206</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0.95599999999999996</v>
      </c>
      <c r="H7" s="3001">
        <v>4.4999999999999998E-2</v>
      </c>
      <c r="I7" s="3001">
        <v>0.05</v>
      </c>
      <c r="J7" s="176">
        <v>8.5000000000000006E-2</v>
      </c>
      <c r="K7" s="179">
        <f>SUMIF('数据-汇总表'!C$19:C$33,'数据-取费表'!A7,'数据-汇总表'!E$19:E$33)</f>
        <v>24142</v>
      </c>
      <c r="L7" s="3002">
        <v>1800</v>
      </c>
      <c r="M7" s="177">
        <f t="shared" si="0"/>
        <v>4346</v>
      </c>
      <c r="N7" s="3003">
        <v>0</v>
      </c>
      <c r="O7" s="177">
        <f t="shared" ref="O7:O14" si="3">IF($N$5="成新度","——",ROUND(M7*N7,0))</f>
        <v>0</v>
      </c>
      <c r="P7" s="178">
        <f t="shared" ref="P7:P14" si="4">IF($N$5="成新度","——",M7-O7)</f>
        <v>4346</v>
      </c>
      <c r="Q7" s="3004">
        <v>0.25</v>
      </c>
      <c r="R7" s="179">
        <f>SUMIF('数据-汇总表'!C$19:C$33,A7,'数据-汇总表'!R$19:R$33)</f>
        <v>12667.91</v>
      </c>
      <c r="S7" s="132">
        <f>IF('数据-汇总表'!$I$17="按面积比例",SUMIF('数据-汇总表'!C$19:C$33,A7,'数据-汇总表'!K$19:K$33),SUMIF('数据-汇总表'!C$19:C$33,A7,'数据-汇总表'!N$19:N$33))</f>
        <v>8980.89</v>
      </c>
      <c r="T7" s="2234">
        <f t="shared" ref="T7:T13" si="5">IF($T$4="按面积比例",IF(ISERROR(ROUND($M$14*S7/S$16,0)),"0",ROUND($M$14*S7/S$16,0)),"需自行计算录入")</f>
        <v>0</v>
      </c>
      <c r="U7" s="180">
        <f>U24</f>
        <v>1.29</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3052</v>
      </c>
      <c r="AO7" s="2000"/>
      <c r="AP7" s="1204">
        <f t="shared" ref="AP7:AP13" si="8">ROUND(1-1/(1+H7)^F7,3)</f>
        <v>0.79200000000000004</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23861</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0.95299999999999996</v>
      </c>
      <c r="H16" s="203">
        <f>ROUND(SUMPRODUCT(H6:H13,K6:K13)/SUMPRODUCT((H6:H13&gt;0)*(K6:K13)),3)</f>
        <v>4.2000000000000003E-2</v>
      </c>
      <c r="I16" s="204"/>
      <c r="J16" s="204"/>
      <c r="K16" s="205">
        <f>SUM(K6:K15)</f>
        <v>88003</v>
      </c>
      <c r="L16" s="206">
        <f>ROUND(M16*10000/SUM(K6:K14),0)</f>
        <v>1312</v>
      </c>
      <c r="M16" s="206">
        <f>SUM(M6:M14)</f>
        <v>11546</v>
      </c>
      <c r="N16" s="207">
        <f>ROUND(SUMPRODUCT(M6:M14,N6:N14)/M16,3)</f>
        <v>0</v>
      </c>
      <c r="O16" s="206">
        <f>SUM(O6:O14)</f>
        <v>0</v>
      </c>
      <c r="P16" s="206">
        <f>SUM(P6:P14)</f>
        <v>11546</v>
      </c>
      <c r="Q16" s="208">
        <f>ROUND(SUMPRODUCT(Q6:Q13,K6:K13)/SUMPRODUCT((Q6:Q13&gt;0)*(K6:K13)),2)</f>
        <v>0.22</v>
      </c>
      <c r="R16" s="2311">
        <f>SUM(R6:R13)</f>
        <v>33656.899999999994</v>
      </c>
      <c r="S16" s="209">
        <f>SUM(S6:S13)</f>
        <v>23861</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0.76800000000000002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3070</v>
      </c>
      <c r="V18" s="1989"/>
      <c r="W18" s="3190" t="s">
        <v>3067</v>
      </c>
      <c r="X18" s="1989"/>
      <c r="Y18" s="3190" t="s">
        <v>3106</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3065</v>
      </c>
      <c r="U19" s="1989">
        <f>U23/W23</f>
        <v>1.6666666666666665</v>
      </c>
      <c r="V19" s="1989"/>
      <c r="W19" s="3190">
        <v>1</v>
      </c>
      <c r="X19" s="1989"/>
      <c r="Y19" s="1989">
        <f>'不动产比较法-商业'!C49</f>
        <v>14895</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3066</v>
      </c>
      <c r="U20" s="1989">
        <f>U19*W20</f>
        <v>1.3333333333333333</v>
      </c>
      <c r="V20" s="1989"/>
      <c r="W20" s="1989">
        <v>0.8</v>
      </c>
      <c r="X20" s="1989"/>
      <c r="Y20" s="1989">
        <f>Y19*W20</f>
        <v>11916</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3068</v>
      </c>
      <c r="U21" s="1989">
        <f>U19*W21</f>
        <v>1.1666666666666665</v>
      </c>
      <c r="V21" s="1989"/>
      <c r="W21" s="1989">
        <v>0.7</v>
      </c>
      <c r="X21" s="1989"/>
      <c r="Y21" s="1989">
        <f>Y19*W21</f>
        <v>10426.5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3069</v>
      </c>
      <c r="U22" s="1989">
        <f>U19*W22</f>
        <v>0.99999999999999989</v>
      </c>
      <c r="V22" s="1989"/>
      <c r="W22" s="1989">
        <v>0.6</v>
      </c>
      <c r="X22" s="1989"/>
      <c r="Y22" s="1989">
        <f>Y19*W22</f>
        <v>8937</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3103</v>
      </c>
      <c r="U23" s="1989">
        <v>1.5</v>
      </c>
      <c r="V23" s="1989"/>
      <c r="W23" s="1989">
        <f>(W19+W20)/2</f>
        <v>0.9</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3104</v>
      </c>
      <c r="U24" s="1989">
        <f>ROUND((U19+U20+U21+U22)/4,2)</f>
        <v>1.29</v>
      </c>
      <c r="V24" s="1989"/>
      <c r="W24" s="1989"/>
      <c r="X24" s="1989"/>
      <c r="Y24" s="1989">
        <f>ROUND((Y19+Y20+Y21+Y22)/4,2)</f>
        <v>11543.63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170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1664</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28248</v>
      </c>
      <c r="C5" s="3021">
        <f ca="1">ROUND(B5*10000/$B$1,0)</f>
        <v>3210</v>
      </c>
      <c r="D5" s="3021">
        <f ca="1">ROUND(B5*10000/$B$2,0)</f>
        <v>8393</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28248</v>
      </c>
      <c r="E14" s="3025">
        <f ca="1">ROUND(D14*10000/B14,0)</f>
        <v>3210</v>
      </c>
      <c r="F14" s="3025">
        <f ca="1">ROUND(D14*10000/C14,0)</f>
        <v>8393</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3209</v>
      </c>
      <c r="G1" s="311"/>
      <c r="H1" s="311"/>
      <c r="I1" s="311"/>
      <c r="J1" s="2029"/>
      <c r="K1" s="2029"/>
      <c r="L1" s="2029"/>
      <c r="M1" s="2029"/>
      <c r="N1" s="2029"/>
      <c r="O1" s="2029"/>
      <c r="P1" s="2029"/>
      <c r="Q1" s="2029"/>
      <c r="R1" s="2029"/>
      <c r="S1" s="2029"/>
      <c r="T1" s="2029"/>
      <c r="U1" s="2029"/>
      <c r="V1" s="2029"/>
    </row>
    <row r="2" spans="1:22" ht="21.75" customHeight="1" thickBot="1">
      <c r="A2" s="3349" t="str">
        <f>项目基本情况!K2</f>
        <v>出让国有建设用地使用权</v>
      </c>
      <c r="B2" s="3350"/>
      <c r="C2" s="3351"/>
      <c r="D2" s="3351"/>
      <c r="E2" s="3351"/>
      <c r="F2" s="3351"/>
      <c r="G2" s="3350"/>
      <c r="H2" s="3350"/>
      <c r="I2" s="3352"/>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3053</v>
      </c>
      <c r="D4" s="260" t="s">
        <v>3064</v>
      </c>
      <c r="E4" s="3324" t="s">
        <v>301</v>
      </c>
      <c r="F4" s="3366"/>
      <c r="G4" s="3366"/>
      <c r="H4" s="3366"/>
      <c r="I4" s="332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3" t="s">
        <v>302</v>
      </c>
      <c r="B5" s="3354">
        <v>25</v>
      </c>
      <c r="C5" s="3362"/>
      <c r="D5" s="3365"/>
      <c r="E5" s="261" t="s">
        <v>303</v>
      </c>
      <c r="F5" s="262"/>
      <c r="G5" s="262"/>
      <c r="H5" s="262"/>
      <c r="I5" s="263"/>
      <c r="J5" s="2030"/>
      <c r="K5" s="2029"/>
      <c r="L5" s="2029"/>
      <c r="M5" s="2029"/>
      <c r="N5" s="2029"/>
      <c r="O5" s="2029"/>
      <c r="P5" s="2029"/>
      <c r="Q5" s="2029"/>
      <c r="R5" s="2029"/>
      <c r="S5" s="2029"/>
      <c r="T5" s="2029"/>
      <c r="U5" s="2029"/>
      <c r="V5" s="2029"/>
    </row>
    <row r="6" spans="1:22" ht="14.25">
      <c r="A6" s="3353"/>
      <c r="B6" s="3354"/>
      <c r="C6" s="3363"/>
      <c r="D6" s="3365"/>
      <c r="E6" s="261" t="s">
        <v>304</v>
      </c>
      <c r="F6" s="262"/>
      <c r="G6" s="262"/>
      <c r="H6" s="262"/>
      <c r="I6" s="263"/>
      <c r="J6" s="2030"/>
      <c r="K6" s="2029"/>
      <c r="L6" s="2029"/>
      <c r="M6" s="2029"/>
      <c r="N6" s="2029"/>
      <c r="O6" s="2029"/>
      <c r="P6" s="2029"/>
      <c r="Q6" s="2029"/>
      <c r="R6" s="2029"/>
      <c r="S6" s="2029"/>
      <c r="T6" s="2029"/>
      <c r="U6" s="2029"/>
      <c r="V6" s="2029"/>
    </row>
    <row r="7" spans="1:22" ht="14.25">
      <c r="A7" s="3353"/>
      <c r="B7" s="3354"/>
      <c r="C7" s="3364"/>
      <c r="D7" s="3365"/>
      <c r="E7" s="261" t="s">
        <v>305</v>
      </c>
      <c r="F7" s="262"/>
      <c r="G7" s="262"/>
      <c r="H7" s="262"/>
      <c r="I7" s="263"/>
      <c r="J7" s="2030"/>
      <c r="K7" s="2029"/>
      <c r="L7" s="2029"/>
      <c r="M7" s="2029"/>
      <c r="N7" s="2029"/>
      <c r="O7" s="2029"/>
      <c r="P7" s="2029"/>
      <c r="Q7" s="2029"/>
      <c r="R7" s="2029"/>
      <c r="S7" s="2029"/>
      <c r="T7" s="2029"/>
      <c r="U7" s="2029"/>
      <c r="V7" s="2029"/>
    </row>
    <row r="8" spans="1:22" ht="14.25">
      <c r="A8" s="3353" t="s">
        <v>306</v>
      </c>
      <c r="B8" s="3354">
        <v>15</v>
      </c>
      <c r="C8" s="3362"/>
      <c r="D8" s="3365"/>
      <c r="E8" s="261" t="s">
        <v>307</v>
      </c>
      <c r="F8" s="262"/>
      <c r="G8" s="262"/>
      <c r="H8" s="262"/>
      <c r="I8" s="263"/>
      <c r="J8" s="2030"/>
      <c r="K8" s="2029"/>
      <c r="L8" s="2029"/>
      <c r="M8" s="2029"/>
      <c r="N8" s="2029"/>
      <c r="O8" s="2029"/>
      <c r="P8" s="2029"/>
      <c r="Q8" s="2029"/>
      <c r="R8" s="2029"/>
      <c r="S8" s="2029"/>
      <c r="T8" s="2029"/>
      <c r="U8" s="2029"/>
      <c r="V8" s="2029"/>
    </row>
    <row r="9" spans="1:22" ht="14.25">
      <c r="A9" s="3353"/>
      <c r="B9" s="3354"/>
      <c r="C9" s="3364"/>
      <c r="D9" s="3365"/>
      <c r="E9" s="261" t="s">
        <v>308</v>
      </c>
      <c r="F9" s="262"/>
      <c r="G9" s="262"/>
      <c r="H9" s="262"/>
      <c r="I9" s="263"/>
      <c r="J9" s="2030"/>
      <c r="K9" s="2029"/>
      <c r="L9" s="2029"/>
      <c r="M9" s="2029"/>
      <c r="N9" s="2029"/>
      <c r="O9" s="2029"/>
      <c r="P9" s="2029"/>
      <c r="Q9" s="2029"/>
      <c r="R9" s="2029"/>
      <c r="S9" s="2029"/>
      <c r="T9" s="2029"/>
      <c r="U9" s="2029"/>
      <c r="V9" s="2029"/>
    </row>
    <row r="10" spans="1:22" ht="14.25">
      <c r="A10" s="3353" t="s">
        <v>309</v>
      </c>
      <c r="B10" s="3354">
        <v>15</v>
      </c>
      <c r="C10" s="3362"/>
      <c r="D10" s="336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3"/>
      <c r="B11" s="3354"/>
      <c r="C11" s="3364"/>
      <c r="D11" s="336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3" t="s">
        <v>312</v>
      </c>
      <c r="B12" s="3354">
        <v>15</v>
      </c>
      <c r="C12" s="3362"/>
      <c r="D12" s="336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3"/>
      <c r="B13" s="3354"/>
      <c r="C13" s="3364"/>
      <c r="D13" s="336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3" t="s">
        <v>315</v>
      </c>
      <c r="B14" s="3354">
        <v>30</v>
      </c>
      <c r="C14" s="3362">
        <v>40</v>
      </c>
      <c r="D14" s="3365">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3"/>
      <c r="B15" s="3354"/>
      <c r="C15" s="3363"/>
      <c r="D15" s="336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3"/>
      <c r="B16" s="3354"/>
      <c r="C16" s="3364"/>
      <c r="D16" s="336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23431</v>
      </c>
      <c r="D19" s="271">
        <f ca="1">SUMIF(INDIRECT("'"&amp;D4&amp;"'"&amp;"!A:A"),结果表!B19,INDIRECT("'"&amp;D4&amp;"'"&amp;"!B:B"))</f>
        <v>31460</v>
      </c>
      <c r="E19" s="268" t="s">
        <v>323</v>
      </c>
      <c r="F19" s="269" t="s">
        <v>322</v>
      </c>
      <c r="G19" s="272">
        <f ca="1">ROUND(C19*$C$18+D19*$D$18,0)</f>
        <v>28248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2663</v>
      </c>
      <c r="D20" s="277">
        <f ca="1">SUMIF(INDIRECT("'"&amp;D4&amp;"'"&amp;"!A:A"),结果表!B20,INDIRECT("'"&amp;D4&amp;"'"&amp;"!B:B"))</f>
        <v>3575</v>
      </c>
      <c r="E20" s="274"/>
      <c r="F20" s="275" t="s">
        <v>325</v>
      </c>
      <c r="G20" s="278">
        <f ca="1">ROUND(C20*$C$18+D20*$D$18,0)</f>
        <v>3210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6962</v>
      </c>
      <c r="D21" s="151">
        <f ca="1">SUMIF(INDIRECT("'"&amp;D4&amp;"'"&amp;"!A:A"),结果表!B21,INDIRECT("'"&amp;D4&amp;"'"&amp;"!B:B"))</f>
        <v>9347</v>
      </c>
      <c r="E21" s="274"/>
      <c r="F21" s="280" t="s">
        <v>327</v>
      </c>
      <c r="G21" s="282">
        <f ca="1">ROUND(C21*$C$18+D21*$D$18,0)</f>
        <v>8393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0.34266569928726898</v>
      </c>
      <c r="E22" s="284"/>
      <c r="F22" s="285"/>
      <c r="G22" s="286">
        <f ca="1">ROUND(G19/('数据-汇总表'!D3/666.67),0)</f>
        <v>560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出让国有建设用地使用权价格：28248万元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大写金额：人民币贰亿捌仟贰佰肆拾捌万元整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单位面积地价：8393元/平方米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楼面地价：3210元/平方米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28248</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3210</v>
      </c>
      <c r="D33" s="1386" t="s">
        <v>1692</v>
      </c>
      <c r="E33" s="332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8393</v>
      </c>
      <c r="D34" s="1388" t="s">
        <v>1692</v>
      </c>
      <c r="E34" s="332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560</v>
      </c>
      <c r="D35" s="1391" t="s">
        <v>1694</v>
      </c>
      <c r="E35" s="3328"/>
      <c r="F35" s="301" t="s">
        <v>342</v>
      </c>
      <c r="G35" s="982"/>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c r="C37" s="294"/>
      <c r="D37" s="294"/>
      <c r="E37" s="295"/>
      <c r="F37" s="311"/>
      <c r="G37" s="311"/>
      <c r="H37" s="311"/>
      <c r="I37" s="311"/>
      <c r="J37" s="2031"/>
      <c r="K37" s="3334"/>
      <c r="L37" s="3334"/>
      <c r="M37" s="1267"/>
      <c r="N37" s="3334"/>
      <c r="O37" s="3334"/>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8393</v>
      </c>
      <c r="N38" s="1269">
        <f ca="1">C33</f>
        <v>3210</v>
      </c>
      <c r="O38" s="1270">
        <f ca="1">C32</f>
        <v>28248</v>
      </c>
      <c r="P38" s="2029"/>
      <c r="V38" s="2029"/>
    </row>
    <row r="39" spans="1:26" ht="16.5" customHeight="1" thickBot="1">
      <c r="A39" s="1265"/>
      <c r="B39" s="308"/>
      <c r="C39" s="309"/>
      <c r="D39" s="309"/>
      <c r="E39" s="310"/>
      <c r="F39" s="311"/>
      <c r="G39" s="311"/>
      <c r="H39" s="311"/>
      <c r="I39" s="311"/>
      <c r="J39" s="2031"/>
      <c r="K39" s="3309" t="str">
        <f>MID(A44,3,LEN(A44)-2)</f>
        <v/>
      </c>
      <c r="L39" s="3310"/>
      <c r="M39" s="3310"/>
      <c r="N39" s="3311"/>
      <c r="O39" s="1393" t="str">
        <f>C44</f>
        <v>——</v>
      </c>
      <c r="P39" s="2029"/>
      <c r="V39" s="2029"/>
    </row>
    <row r="40" spans="1:26" ht="19.5" thickBot="1">
      <c r="A40" s="104" t="s">
        <v>873</v>
      </c>
      <c r="B40" s="311"/>
      <c r="C40" s="311"/>
      <c r="D40" s="311"/>
      <c r="E40" s="311"/>
      <c r="F40" s="311"/>
      <c r="G40" s="311"/>
      <c r="H40" s="311"/>
      <c r="I40" s="311"/>
      <c r="J40" s="2031"/>
      <c r="K40" s="3309" t="str">
        <f t="shared" ref="K40:K41" si="0">MID(A45,3,LEN(A45)-2)</f>
        <v/>
      </c>
      <c r="L40" s="3310"/>
      <c r="M40" s="3310"/>
      <c r="N40" s="331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09" t="str">
        <f t="shared" si="0"/>
        <v/>
      </c>
      <c r="L41" s="3310"/>
      <c r="M41" s="3310"/>
      <c r="N41" s="3311"/>
      <c r="O41" s="1393" t="str">
        <f>C46</f>
        <v>——</v>
      </c>
      <c r="P41" s="2029"/>
      <c r="V41" s="2029"/>
    </row>
    <row r="42" spans="1:26" ht="29.25">
      <c r="A42" s="3369" t="s">
        <v>2068</v>
      </c>
      <c r="B42" s="3370"/>
      <c r="C42" s="264">
        <f ca="1">C32</f>
        <v>28248</v>
      </c>
      <c r="D42" s="317">
        <f ca="1">C33</f>
        <v>3210</v>
      </c>
      <c r="E42" s="317">
        <f ca="1">C34</f>
        <v>8393</v>
      </c>
      <c r="F42" s="318">
        <f ca="1">C35</f>
        <v>560</v>
      </c>
      <c r="G42" s="311"/>
      <c r="H42" s="311"/>
      <c r="I42" s="319"/>
      <c r="J42" s="2031"/>
      <c r="K42" s="1271" t="s">
        <v>361</v>
      </c>
      <c r="L42" s="2048" t="s">
        <v>362</v>
      </c>
      <c r="M42" s="1272" t="s">
        <v>363</v>
      </c>
      <c r="N42" s="2049" t="s">
        <v>364</v>
      </c>
      <c r="O42" s="2050" t="s">
        <v>365</v>
      </c>
      <c r="P42" s="2029"/>
      <c r="V42" s="2029"/>
    </row>
    <row r="43" spans="1:26" ht="30">
      <c r="A43" s="3379" t="s">
        <v>2731</v>
      </c>
      <c r="B43" s="3380"/>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23431</v>
      </c>
      <c r="M43" s="1275">
        <f>C18</f>
        <v>0.4</v>
      </c>
      <c r="N43" s="1276">
        <f ca="1">IF(N42="测算结果/万元",G19,G20)</f>
        <v>28248</v>
      </c>
      <c r="O43" s="1277">
        <f ca="1">IF(O42="最终结果/万元",C32,C33)</f>
        <v>28248</v>
      </c>
      <c r="P43" s="2029"/>
      <c r="V43" s="2029"/>
    </row>
    <row r="44" spans="1:26" ht="30.75" thickBot="1">
      <c r="A44" s="3369" t="str">
        <f>IF(OR(项目基本情况!E8="抵押价格",项目基本情况!E8="已注销及未注销"),"3.抵押价格","——")</f>
        <v>——</v>
      </c>
      <c r="B44" s="337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31460</v>
      </c>
      <c r="M44" s="1280">
        <f>D18</f>
        <v>0.6</v>
      </c>
      <c r="N44" s="1281"/>
      <c r="O44" s="1282"/>
      <c r="P44" s="2029"/>
      <c r="V44" s="2029"/>
    </row>
    <row r="45" spans="1:26" ht="15">
      <c r="A45" s="3374" t="str">
        <f>IF(项目基本情况!E8="已注销及未注销","4.抵押担保权已注销时的抵押价格",IF(项目基本情况!E8="已注销","3.抵押担保权已注销时的抵押价格","——"))</f>
        <v>——</v>
      </c>
      <c r="B45" s="337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374</v>
      </c>
      <c r="B63" s="3338"/>
      <c r="C63" s="3339"/>
      <c r="D63" s="341">
        <f ca="1">ROUND(C42*F63,0)</f>
        <v>16949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6" t="s">
        <v>378</v>
      </c>
      <c r="B64" s="3377"/>
      <c r="C64" s="3377"/>
      <c r="D64" s="3377"/>
      <c r="E64" s="3377"/>
      <c r="F64" s="3377"/>
      <c r="G64" s="337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3" t="s">
        <v>386</v>
      </c>
      <c r="B66" s="3344"/>
      <c r="C66" s="3344"/>
      <c r="D66" s="261">
        <f ca="1">IF(H66="情况1",0,IF(H66="情况2",D70,IF(H66="情况3",D71,IF(H66="情况4",D72))))</f>
        <v>888</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13" t="s">
        <v>385</v>
      </c>
      <c r="M66" s="3314"/>
      <c r="N66" s="2438"/>
      <c r="O66" s="2439"/>
      <c r="P66" s="2440"/>
      <c r="Q66" s="2029"/>
      <c r="R66" s="2029"/>
      <c r="S66" s="2029"/>
      <c r="T66" s="2029"/>
      <c r="U66" s="2029"/>
      <c r="V66" s="2029"/>
    </row>
    <row r="67" spans="1:22" ht="25.5" customHeight="1">
      <c r="A67" s="352" t="s">
        <v>390</v>
      </c>
      <c r="B67" s="3356" t="s">
        <v>391</v>
      </c>
      <c r="C67" s="3356"/>
      <c r="D67" s="353">
        <v>0</v>
      </c>
      <c r="E67" s="41" t="s">
        <v>392</v>
      </c>
      <c r="F67" s="62" t="s">
        <v>21</v>
      </c>
      <c r="G67" s="3340"/>
      <c r="H67" s="311"/>
      <c r="I67" s="1292"/>
      <c r="J67" s="2036"/>
      <c r="K67" s="1977">
        <v>2</v>
      </c>
      <c r="L67" s="3312" t="s">
        <v>389</v>
      </c>
      <c r="M67" s="3312"/>
      <c r="N67" s="1325">
        <f>'数据-取费表'!B2</f>
        <v>43550</v>
      </c>
      <c r="O67" s="1325"/>
      <c r="P67" s="1325"/>
      <c r="Q67" s="2029"/>
      <c r="R67" s="2029"/>
      <c r="S67" s="2029"/>
      <c r="T67" s="2029"/>
      <c r="U67" s="2029"/>
      <c r="V67" s="2029"/>
    </row>
    <row r="68" spans="1:22" ht="25.5" customHeight="1">
      <c r="A68" s="354"/>
      <c r="B68" s="3356" t="s">
        <v>394</v>
      </c>
      <c r="C68" s="3356"/>
      <c r="D68" s="355"/>
      <c r="E68" s="77"/>
      <c r="F68" s="356"/>
      <c r="G68" s="3341"/>
      <c r="H68" s="311"/>
      <c r="I68" s="1292"/>
      <c r="J68" s="2036"/>
      <c r="K68" s="1977">
        <v>3</v>
      </c>
      <c r="L68" s="3312" t="s">
        <v>393</v>
      </c>
      <c r="M68" s="3312"/>
      <c r="N68" s="1293">
        <f ca="1">C42</f>
        <v>28248</v>
      </c>
      <c r="O68" s="1293"/>
      <c r="P68" s="1293"/>
      <c r="Q68" s="2029"/>
      <c r="R68" s="2029"/>
      <c r="S68" s="2029"/>
      <c r="T68" s="2029"/>
      <c r="U68" s="2029"/>
      <c r="V68" s="2029"/>
    </row>
    <row r="69" spans="1:22" ht="12" customHeight="1">
      <c r="A69" s="357"/>
      <c r="B69" s="3356" t="s">
        <v>395</v>
      </c>
      <c r="C69" s="3356"/>
      <c r="D69" s="358"/>
      <c r="E69" s="73"/>
      <c r="F69" s="356"/>
      <c r="G69" s="3342"/>
      <c r="H69" s="311"/>
      <c r="I69" s="1292"/>
      <c r="J69" s="2036"/>
      <c r="K69" s="1294">
        <v>4</v>
      </c>
      <c r="L69" s="3318" t="s">
        <v>2883</v>
      </c>
      <c r="M69" s="3319"/>
      <c r="N69" s="1295" t="str">
        <f>C44</f>
        <v>——</v>
      </c>
      <c r="O69" s="1295"/>
      <c r="P69" s="1295"/>
      <c r="Q69" s="2029"/>
      <c r="R69" s="2029"/>
      <c r="S69" s="2029"/>
      <c r="T69" s="2029"/>
      <c r="U69" s="2029"/>
      <c r="V69" s="2029"/>
    </row>
    <row r="70" spans="1:22" ht="24" customHeight="1">
      <c r="A70" s="359" t="s">
        <v>396</v>
      </c>
      <c r="B70" s="3356" t="s">
        <v>397</v>
      </c>
      <c r="C70" s="3356"/>
      <c r="D70" s="358">
        <f ca="1">ROUND(D63*'数据-取费表'!B41/(1+'数据-取费表'!C42),0)</f>
        <v>888</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55" t="s">
        <v>405</v>
      </c>
      <c r="C71" s="3367"/>
      <c r="D71" s="358">
        <f ca="1">ROUND(D63*'数据-取费表'!B41/(1+'数据-取费表'!C42),0)</f>
        <v>888</v>
      </c>
      <c r="E71" s="17" t="s">
        <v>398</v>
      </c>
      <c r="F71" s="360">
        <f>'数据-取费表'!B41</f>
        <v>5.5000000000000007E-2</v>
      </c>
      <c r="G71" s="361"/>
      <c r="H71" s="311"/>
      <c r="I71" s="1292"/>
      <c r="J71" s="2036"/>
      <c r="K71" s="3037" t="s">
        <v>399</v>
      </c>
      <c r="L71" s="3320" t="s">
        <v>400</v>
      </c>
      <c r="M71" s="3320"/>
      <c r="N71" s="3037" t="s">
        <v>401</v>
      </c>
      <c r="O71" s="3037" t="s">
        <v>402</v>
      </c>
      <c r="P71" s="3037" t="s">
        <v>403</v>
      </c>
      <c r="Q71" s="2029"/>
      <c r="R71" s="2029"/>
      <c r="S71" s="2029"/>
      <c r="T71" s="2029"/>
      <c r="U71" s="2029"/>
      <c r="V71" s="2029"/>
    </row>
    <row r="72" spans="1:22" ht="12" customHeight="1">
      <c r="A72" s="359" t="s">
        <v>407</v>
      </c>
      <c r="B72" s="3355" t="s">
        <v>408</v>
      </c>
      <c r="C72" s="3367"/>
      <c r="D72" s="358">
        <f ca="1">C86</f>
        <v>778</v>
      </c>
      <c r="E72" s="73" t="s">
        <v>409</v>
      </c>
      <c r="F72" s="360">
        <f>'数据-取费表'!B41</f>
        <v>5.5000000000000007E-2</v>
      </c>
      <c r="G72" s="361"/>
      <c r="H72" s="1298"/>
      <c r="I72" s="1292"/>
      <c r="J72" s="2036"/>
      <c r="K72" s="1977">
        <v>1</v>
      </c>
      <c r="L72" s="3317" t="s">
        <v>406</v>
      </c>
      <c r="M72" s="3317"/>
      <c r="N72" s="1296">
        <f ca="1">D66</f>
        <v>888</v>
      </c>
      <c r="O72" s="1860" t="str">
        <f>E66</f>
        <v>销售额×税（费）率</v>
      </c>
      <c r="P72" s="1297">
        <f>F66</f>
        <v>5.5000000000000007E-2</v>
      </c>
      <c r="Q72" s="2029"/>
      <c r="R72" s="2029"/>
      <c r="S72" s="2029"/>
      <c r="T72" s="2029"/>
      <c r="U72" s="2029"/>
      <c r="V72" s="2029"/>
    </row>
    <row r="73" spans="1:22" ht="24" customHeight="1">
      <c r="A73" s="3343" t="s">
        <v>411</v>
      </c>
      <c r="B73" s="3344"/>
      <c r="C73" s="3344"/>
      <c r="D73" s="362">
        <f>IF(H73="个人住宅",0,ROUND(D63*I73,0))</f>
        <v>0</v>
      </c>
      <c r="E73" s="17" t="s">
        <v>412</v>
      </c>
      <c r="F73" s="360" t="str">
        <f>IF(H73="正常",I73,"免征")</f>
        <v>免征</v>
      </c>
      <c r="G73" s="361"/>
      <c r="H73" s="191" t="s">
        <v>2456</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44"/>
      <c r="C74" s="3344"/>
      <c r="D74" s="362">
        <f ca="1">IF(H74="个人住宅",D75,D76)</f>
        <v>8953</v>
      </c>
      <c r="E74" s="17" t="s">
        <v>416</v>
      </c>
      <c r="F74" s="360" t="str">
        <f>IF(H74="正常",F76,"免征")</f>
        <v>——</v>
      </c>
      <c r="G74" s="983" t="s">
        <v>417</v>
      </c>
      <c r="H74" s="363" t="s">
        <v>413</v>
      </c>
      <c r="I74" s="42"/>
      <c r="J74" s="2036"/>
      <c r="K74" s="1977">
        <v>3</v>
      </c>
      <c r="L74" s="3317" t="s">
        <v>414</v>
      </c>
      <c r="M74" s="3317"/>
      <c r="N74" s="1296">
        <f t="shared" ca="1" si="1"/>
        <v>8953</v>
      </c>
      <c r="O74" s="1860" t="str">
        <f t="shared" si="1"/>
        <v>增值额×税（费）率</v>
      </c>
      <c r="P74" s="1299" t="str">
        <f t="shared" si="1"/>
        <v>——</v>
      </c>
      <c r="Q74" s="2029"/>
      <c r="R74" s="2029"/>
      <c r="S74" s="2029"/>
      <c r="T74" s="2029"/>
      <c r="U74" s="2029"/>
      <c r="V74" s="2029"/>
    </row>
    <row r="75" spans="1:22" ht="24">
      <c r="A75" s="359" t="s">
        <v>418</v>
      </c>
      <c r="B75" s="3324" t="s">
        <v>419</v>
      </c>
      <c r="C75" s="3325"/>
      <c r="D75" s="364">
        <v>0</v>
      </c>
      <c r="E75" s="41" t="s">
        <v>420</v>
      </c>
      <c r="F75" s="365"/>
      <c r="G75" s="361"/>
      <c r="H75" s="42"/>
      <c r="I75" s="42"/>
      <c r="J75" s="2036"/>
      <c r="K75" s="3030">
        <f>IF(H77="非个人房产","",4)</f>
        <v>4</v>
      </c>
      <c r="L75" s="3317" t="str">
        <f>IF(H77="非个人房产","——","个人所得税")</f>
        <v>个人所得税</v>
      </c>
      <c r="M75" s="3317"/>
      <c r="N75" s="1300">
        <f ca="1">D77</f>
        <v>169</v>
      </c>
      <c r="O75" s="1873" t="str">
        <f>E77</f>
        <v>销售额×税（费）率</v>
      </c>
      <c r="P75" s="1301">
        <f>F77</f>
        <v>0.01</v>
      </c>
      <c r="Q75" s="2029"/>
      <c r="R75" s="2029"/>
      <c r="S75" s="2029"/>
      <c r="T75" s="2029"/>
      <c r="U75" s="2029"/>
      <c r="V75" s="2029"/>
    </row>
    <row r="76" spans="1:22" ht="24.75">
      <c r="A76" s="359" t="s">
        <v>396</v>
      </c>
      <c r="B76" s="3324" t="s">
        <v>422</v>
      </c>
      <c r="C76" s="3366"/>
      <c r="D76" s="362">
        <f ca="1">IF(H76="转让取得",C99,C115)</f>
        <v>8953</v>
      </c>
      <c r="E76" s="17" t="s">
        <v>423</v>
      </c>
      <c r="F76" s="53" t="s">
        <v>21</v>
      </c>
      <c r="G76" s="361"/>
      <c r="H76" s="363" t="s">
        <v>424</v>
      </c>
      <c r="I76" s="42"/>
      <c r="J76" s="2036"/>
      <c r="K76" s="3030"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29"/>
      <c r="R76" s="2029"/>
      <c r="S76" s="2029"/>
      <c r="T76" s="2029"/>
      <c r="U76" s="2029"/>
      <c r="V76" s="2029"/>
    </row>
    <row r="77" spans="1:22" ht="26.25" thickBot="1">
      <c r="A77" s="3335" t="s">
        <v>426</v>
      </c>
      <c r="B77" s="3336"/>
      <c r="C77" s="3336"/>
      <c r="D77" s="366">
        <f ca="1">IF(H77="非个人房产","——",IF(H77="个人住宅",0,ROUND(D63*I77,0)))</f>
        <v>169</v>
      </c>
      <c r="E77" s="367" t="str">
        <f>IF(H77="非个人房产","——","销售额×税（费）率")</f>
        <v>销售额×税（费）率</v>
      </c>
      <c r="F77" s="368">
        <f>IF(H77="非个人房产","——",IF(H77="个人住宅","免征",I77))</f>
        <v>0.01</v>
      </c>
      <c r="G77" s="984" t="s">
        <v>417</v>
      </c>
      <c r="H77" s="363" t="s">
        <v>2884</v>
      </c>
      <c r="I77" s="369">
        <v>0.01</v>
      </c>
      <c r="J77" s="2036"/>
      <c r="K77" s="3331">
        <f>IF(AND(K75="",K76=""),4,IF(项目基本情况!K6="上海银行",K76+1,K75+1))</f>
        <v>5</v>
      </c>
      <c r="L77" s="3317" t="s">
        <v>2885</v>
      </c>
      <c r="M77" s="3036" t="s">
        <v>421</v>
      </c>
      <c r="N77" s="1302"/>
      <c r="O77" s="1303">
        <f ca="1">SUMIF(N72:N76,"&lt;9e307")</f>
        <v>10010</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31"/>
      <c r="L78" s="3317"/>
      <c r="M78" s="3036" t="s">
        <v>425</v>
      </c>
      <c r="N78" s="1302"/>
      <c r="O78" s="1303" t="str">
        <f ca="1">NUMBERSTRING(INT(O77*10000),2)&amp;"元整"</f>
        <v>壹亿零壹拾万元整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15">
        <f>K77+1</f>
        <v>6</v>
      </c>
      <c r="L79" s="3317" t="s">
        <v>2886</v>
      </c>
      <c r="M79" s="3036" t="s">
        <v>421</v>
      </c>
      <c r="N79" s="1302"/>
      <c r="O79" s="1303" t="e">
        <f ca="1">N69-O77</f>
        <v>#VALUE!</v>
      </c>
      <c r="P79" s="1304"/>
      <c r="Q79" s="2029"/>
      <c r="R79" s="2029"/>
      <c r="S79" s="2029"/>
      <c r="T79" s="2029"/>
      <c r="U79" s="2029"/>
      <c r="V79" s="2029"/>
    </row>
    <row r="80" spans="1:22" ht="12.75">
      <c r="A80" s="3322" t="s">
        <v>428</v>
      </c>
      <c r="B80" s="3323"/>
      <c r="C80" s="994"/>
      <c r="D80" s="994" t="s">
        <v>429</v>
      </c>
      <c r="E80" s="370" t="s">
        <v>430</v>
      </c>
      <c r="F80" s="42"/>
      <c r="G80" s="42"/>
      <c r="H80" s="1003"/>
      <c r="I80" s="311"/>
      <c r="J80" s="2029"/>
      <c r="K80" s="3316"/>
      <c r="L80" s="3317"/>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16142</v>
      </c>
      <c r="D81" s="373"/>
      <c r="E81" s="374"/>
      <c r="F81" s="42"/>
      <c r="G81" s="42"/>
      <c r="H81" s="1003"/>
      <c r="I81" s="311"/>
      <c r="J81" s="2029"/>
      <c r="K81" s="3030">
        <f>K79+1</f>
        <v>7</v>
      </c>
      <c r="L81" s="3329" t="s">
        <v>2887</v>
      </c>
      <c r="M81" s="3330"/>
      <c r="N81" s="1306"/>
      <c r="O81" s="1307" t="e">
        <f ca="1">ROUND(O79*10000/'数据-汇总表'!E3,0)</f>
        <v>#VALUE!</v>
      </c>
      <c r="P81" s="1308"/>
      <c r="Q81" s="2029"/>
      <c r="R81" s="2029"/>
      <c r="S81" s="2029"/>
      <c r="T81" s="2029"/>
      <c r="U81" s="2029"/>
      <c r="V81" s="2029"/>
    </row>
    <row r="82" spans="1:26" ht="13.5" thickTop="1">
      <c r="A82" s="375" t="s">
        <v>1825</v>
      </c>
      <c r="B82" s="376" t="s">
        <v>432</v>
      </c>
      <c r="C82" s="377">
        <f ca="1">D63</f>
        <v>16949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4"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04"/>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14142</v>
      </c>
      <c r="D85" s="378" t="s">
        <v>19</v>
      </c>
      <c r="E85" s="379"/>
      <c r="F85" s="42"/>
      <c r="G85" s="42"/>
      <c r="H85" s="1003"/>
      <c r="I85" s="311"/>
      <c r="J85" s="2029"/>
      <c r="K85" s="3304"/>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778</v>
      </c>
      <c r="D86" s="389">
        <f>'数据-取费表'!B41</f>
        <v>5.5000000000000007E-2</v>
      </c>
      <c r="E86" s="390"/>
      <c r="F86" s="42"/>
      <c r="G86" s="42"/>
      <c r="H86" s="1003"/>
      <c r="I86" s="311"/>
      <c r="J86" s="2029"/>
      <c r="K86" s="3304"/>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4"/>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58" t="s">
        <v>437</v>
      </c>
      <c r="B88" s="3359"/>
      <c r="C88" s="3359"/>
      <c r="D88" s="3359"/>
      <c r="E88" s="3359"/>
      <c r="F88" s="3359"/>
      <c r="G88" s="3359"/>
      <c r="H88" s="3359"/>
      <c r="I88" s="1315"/>
      <c r="J88" s="2037"/>
      <c r="K88" s="3304"/>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22" t="s">
        <v>428</v>
      </c>
      <c r="B89" s="3323"/>
      <c r="C89" s="994"/>
      <c r="D89" s="994" t="s">
        <v>429</v>
      </c>
      <c r="E89" s="391" t="s">
        <v>438</v>
      </c>
      <c r="F89" s="392"/>
      <c r="G89" s="392"/>
      <c r="H89" s="393"/>
      <c r="I89" s="1316"/>
      <c r="J89" s="2039"/>
      <c r="K89" s="3304"/>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16142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2642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5" t="s">
        <v>447</v>
      </c>
      <c r="F94" s="3356"/>
      <c r="G94" s="3356"/>
      <c r="H94" s="335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v>
      </c>
      <c r="D96" s="406">
        <f>'数据-取费表'!B43</f>
        <v>5.000000000000001E-3</v>
      </c>
      <c r="E96" s="3345" t="s">
        <v>2429</v>
      </c>
      <c r="F96" s="3346"/>
      <c r="G96" s="3346"/>
      <c r="H96" s="33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13500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5.1097653292959881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7175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8" t="s">
        <v>454</v>
      </c>
      <c r="B101" s="3359"/>
      <c r="C101" s="3359"/>
      <c r="D101" s="3359"/>
      <c r="E101" s="3359"/>
      <c r="F101" s="3359"/>
      <c r="G101" s="3359"/>
      <c r="H101" s="335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16142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771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8" t="s">
        <v>462</v>
      </c>
      <c r="F109" s="3346"/>
      <c r="G109" s="334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8" t="s">
        <v>464</v>
      </c>
      <c r="F110" s="3346"/>
      <c r="G110" s="3346"/>
      <c r="H110" s="33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v>
      </c>
      <c r="D111" s="406">
        <f>'数据-取费表'!B43</f>
        <v>5.000000000000001E-3</v>
      </c>
      <c r="E111" s="3345" t="s">
        <v>2429</v>
      </c>
      <c r="F111" s="3346"/>
      <c r="G111" s="3346"/>
      <c r="H111" s="33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8" t="s">
        <v>2454</v>
      </c>
      <c r="F112" s="3346"/>
      <c r="G112" s="3346"/>
      <c r="H112" s="33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15371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19.93644617380026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8953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A19" sqref="A19:X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31460</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3575</v>
      </c>
      <c r="C3" s="2105"/>
      <c r="D3" s="2105"/>
      <c r="E3" s="2105"/>
      <c r="F3" s="2105"/>
      <c r="G3" s="2105"/>
      <c r="H3" s="2105"/>
      <c r="I3" s="2105"/>
      <c r="J3" s="2105"/>
      <c r="K3" s="2105"/>
    </row>
    <row r="4" spans="1:31" s="2042" customFormat="1" ht="18" customHeight="1">
      <c r="A4" s="426" t="s">
        <v>468</v>
      </c>
      <c r="B4" s="427">
        <f ca="1">ROUND(B2*10000/IF(B1="",'数据-汇总表'!D3,INDIRECT("'数据-取费表'!R"&amp;$K$1)),0)</f>
        <v>9347</v>
      </c>
      <c r="C4" s="428"/>
      <c r="D4" s="422"/>
      <c r="E4" s="422"/>
      <c r="F4" s="422"/>
      <c r="G4" s="422"/>
      <c r="H4" s="422"/>
      <c r="I4" s="422"/>
      <c r="J4" s="422"/>
      <c r="K4" s="422"/>
    </row>
    <row r="5" spans="1:31" s="2042" customFormat="1" ht="18" customHeight="1" thickBot="1">
      <c r="A5" s="429"/>
      <c r="B5" s="430">
        <f ca="1">ROUND(B2/(IF(B1="",'数据-汇总表'!D3,INDIRECT("'数据-取费表'!R"&amp;$K$1))/666.67),0)</f>
        <v>623</v>
      </c>
      <c r="C5" s="431" t="s">
        <v>469</v>
      </c>
      <c r="D5" s="422"/>
      <c r="E5" s="422"/>
      <c r="F5" s="422"/>
      <c r="G5" s="422"/>
      <c r="H5" s="422"/>
      <c r="I5" s="422"/>
      <c r="J5" s="422"/>
      <c r="K5" s="422"/>
    </row>
    <row r="6" spans="1:31" s="2112" customFormat="1" ht="16.5" customHeight="1">
      <c r="A6" s="2807" t="s">
        <v>1843</v>
      </c>
      <c r="B6" s="2808"/>
      <c r="C6" s="2809">
        <f ca="1">SUM(C10:K10)</f>
        <v>66543.508999999991</v>
      </c>
      <c r="D6" s="2808"/>
      <c r="E6" s="2808"/>
      <c r="F6" s="2808"/>
      <c r="G6" s="2808"/>
      <c r="H6" s="2808"/>
      <c r="I6" s="2808"/>
      <c r="J6" s="2808"/>
      <c r="K6" s="2810"/>
    </row>
    <row r="7" spans="1:31" s="2114" customFormat="1" ht="15">
      <c r="A7" s="2811" t="s">
        <v>470</v>
      </c>
      <c r="B7" s="2812" t="s">
        <v>471</v>
      </c>
      <c r="C7" s="3192" t="s">
        <v>3096</v>
      </c>
      <c r="D7" s="436" t="s">
        <v>3098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7646</v>
      </c>
      <c r="D8" s="2813">
        <f>'不动产比较法-商业'!C49</f>
        <v>14895</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30584</v>
      </c>
      <c r="D10" s="3005">
        <f>D8*D9/10000</f>
        <v>35959.508999999998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3206">
        <f ca="1">IF(B1="",'数据-取费表'!P16,INDIRECT("'数据-取费表'!p"&amp;$K$1)+INDIRECT("'数据-取费表'!t"&amp;$K$1))</f>
        <v>11546</v>
      </c>
      <c r="D13" s="2823"/>
      <c r="E13" s="2824"/>
      <c r="F13" s="2825"/>
      <c r="G13" s="2791"/>
      <c r="H13" s="2792"/>
      <c r="I13" s="2792"/>
      <c r="J13" s="2792"/>
      <c r="K13" s="2793"/>
    </row>
    <row r="14" spans="1:31" s="2117" customFormat="1" ht="13.5" customHeight="1">
      <c r="A14" s="2821" t="s">
        <v>1850</v>
      </c>
      <c r="B14" s="2822" t="s">
        <v>480</v>
      </c>
      <c r="C14" s="3207">
        <f ca="1">ROUND(C13*F14,0)</f>
        <v>346</v>
      </c>
      <c r="D14" s="2823"/>
      <c r="E14" s="2824"/>
      <c r="F14" s="2826">
        <f>'数据-取费表'!B33</f>
        <v>0.03</v>
      </c>
      <c r="G14" s="2791" t="s">
        <v>481</v>
      </c>
      <c r="H14" s="2792"/>
      <c r="I14" s="2792"/>
      <c r="J14" s="2792"/>
      <c r="K14" s="2793"/>
    </row>
    <row r="15" spans="1:31" s="2117" customFormat="1" ht="13.5" customHeight="1">
      <c r="A15" s="2821" t="s">
        <v>1851</v>
      </c>
      <c r="B15" s="2822" t="s">
        <v>482</v>
      </c>
      <c r="C15" s="3207">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1496</v>
      </c>
      <c r="D16" s="2823">
        <f ca="1">IF(B1="",'数据-汇总表'!E3,INDIRECT("'数据-取费表'!K"&amp;$K$1)+INDIRECT("'数据-取费表'!S"&amp;$K$1))</f>
        <v>88003</v>
      </c>
      <c r="E16" s="53">
        <f>'数据-取费表'!B35</f>
        <v>170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173</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13561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290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1331</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765</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765</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3486</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20357</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20357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3543</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3543</v>
      </c>
      <c r="D35" s="1630"/>
      <c r="E35" s="2843"/>
      <c r="F35" s="1631"/>
      <c r="G35" s="2801"/>
      <c r="H35" s="2802"/>
      <c r="I35" s="2802"/>
      <c r="J35" s="2802"/>
      <c r="K35" s="2803"/>
    </row>
    <row r="36" spans="1:11" s="2086" customFormat="1" ht="13.5" customHeight="1" thickBot="1">
      <c r="A36" s="284" t="s">
        <v>1845</v>
      </c>
      <c r="B36" s="2805"/>
      <c r="C36" s="2844">
        <f ca="1">ROUND((C6-C30-C33)/(1+D30+D33),0)</f>
        <v>31460</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1496</v>
      </c>
      <c r="D16" s="451">
        <f ca="1">IF(B1="",'数据-汇总表'!E3,INDIRECT("'数据-取费表'!K"&amp;$K$1)+INDIRECT("'数据-取费表'!S"&amp;$K$1))</f>
        <v>88003</v>
      </c>
      <c r="E16" s="53">
        <f>'数据-取费表'!B35</f>
        <v>170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13561</v>
      </c>
      <c r="D18" s="461"/>
      <c r="E18" s="462"/>
      <c r="F18" s="462"/>
      <c r="G18" s="1327" t="s">
        <v>2433</v>
      </c>
      <c r="H18" s="447"/>
      <c r="I18" s="447"/>
      <c r="J18" s="447"/>
      <c r="K18" s="448"/>
    </row>
    <row r="19" spans="1:14" s="2120" customFormat="1" ht="13.5" customHeight="1">
      <c r="A19" s="1635" t="s">
        <v>1855</v>
      </c>
      <c r="B19" s="459" t="s">
        <v>493</v>
      </c>
      <c r="C19" s="460">
        <f ca="1">ROUND(C18*F19,0)</f>
        <v>271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657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657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3043</v>
      </c>
      <c r="D24" s="489">
        <f ca="1">C26</f>
        <v>4.4000000000000003E-3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3043</v>
      </c>
      <c r="D25" s="472"/>
      <c r="E25" s="473"/>
      <c r="F25" s="480"/>
      <c r="G25" s="1326" t="s">
        <v>2434</v>
      </c>
      <c r="H25" s="457"/>
      <c r="I25" s="457"/>
      <c r="J25" s="457"/>
      <c r="K25" s="458"/>
    </row>
    <row r="26" spans="1:14" s="2121" customFormat="1" ht="13.5" customHeight="1">
      <c r="A26" s="1634" t="s">
        <v>1850</v>
      </c>
      <c r="B26" s="1328" t="s">
        <v>509</v>
      </c>
      <c r="C26" s="491">
        <f ca="1">ROUND(F20*F24,4)</f>
        <v>4.4000000000000003E-3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19011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K18" sqref="K1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23431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2663</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6962</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464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3" t="s">
        <v>522</v>
      </c>
      <c r="D6" s="3404"/>
      <c r="E6" s="3403" t="s">
        <v>523</v>
      </c>
      <c r="F6" s="3404"/>
      <c r="G6" s="3403" t="s">
        <v>524</v>
      </c>
      <c r="H6" s="3404"/>
      <c r="I6" s="3403" t="s">
        <v>525</v>
      </c>
      <c r="J6" s="3404"/>
      <c r="K6" s="514" t="s">
        <v>526</v>
      </c>
      <c r="L6" s="2134"/>
      <c r="M6" s="2133"/>
      <c r="N6" s="2133"/>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30" ht="20.25">
      <c r="A7" s="515"/>
      <c r="B7" s="516"/>
      <c r="C7" s="3414" t="s">
        <v>2931</v>
      </c>
      <c r="D7" s="3415"/>
      <c r="E7" s="3414" t="str">
        <f>土地案例!A11</f>
        <v>淮海西路南侧、北京北路东侧</v>
      </c>
      <c r="F7" s="3415"/>
      <c r="G7" s="3414" t="str">
        <f>土地案例!A19</f>
        <v>枚皋路北侧、承恩大道西侧</v>
      </c>
      <c r="H7" s="3415"/>
      <c r="I7" s="3414" t="str">
        <f>土地案例!A21</f>
        <v>翔宇大道东侧、深圳路北侧</v>
      </c>
      <c r="J7" s="3415"/>
      <c r="K7" s="514"/>
      <c r="L7" s="2134"/>
      <c r="M7" s="2133"/>
      <c r="N7" s="2133"/>
      <c r="O7" s="2135"/>
      <c r="P7" s="3407"/>
      <c r="Q7" s="3408"/>
      <c r="R7" s="3393"/>
      <c r="S7" s="3394"/>
      <c r="T7" s="3393"/>
      <c r="U7" s="3394"/>
      <c r="V7" s="3411"/>
      <c r="W7" s="3411"/>
      <c r="X7" s="1568"/>
      <c r="Y7" s="3393"/>
      <c r="Z7" s="3394"/>
      <c r="AA7" s="3387"/>
      <c r="AB7" s="3387"/>
      <c r="AC7" s="3387"/>
    </row>
    <row r="8" spans="1:30" ht="21" thickBot="1">
      <c r="A8" s="515"/>
      <c r="B8" s="516"/>
      <c r="C8" s="3416" t="s">
        <v>2935</v>
      </c>
      <c r="D8" s="3417"/>
      <c r="E8" s="3416" t="s">
        <v>2935</v>
      </c>
      <c r="F8" s="3417"/>
      <c r="G8" s="3412" t="s">
        <v>2935</v>
      </c>
      <c r="H8" s="3413"/>
      <c r="I8" s="3412">
        <f>Sheet1!A32</f>
        <v>0</v>
      </c>
      <c r="J8" s="3413"/>
      <c r="K8" s="514" t="s">
        <v>528</v>
      </c>
      <c r="L8" s="2134"/>
      <c r="M8" s="2133"/>
      <c r="N8" s="2133"/>
      <c r="O8" s="2135"/>
      <c r="P8" s="3409"/>
      <c r="Q8" s="3410"/>
      <c r="R8" s="3393"/>
      <c r="S8" s="3394"/>
      <c r="T8" s="3395"/>
      <c r="U8" s="3396"/>
      <c r="V8" s="3411"/>
      <c r="W8" s="3411"/>
      <c r="X8" s="1568"/>
      <c r="Y8" s="3395"/>
      <c r="Z8" s="3396"/>
      <c r="AA8" s="3388"/>
      <c r="AB8" s="3388"/>
      <c r="AC8" s="3388"/>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389" t="s">
        <v>530</v>
      </c>
      <c r="Q9" s="3398"/>
      <c r="R9" s="1569" t="s">
        <v>8</v>
      </c>
      <c r="S9" s="1570">
        <f t="shared" ref="S9:S17" si="0">F9</f>
        <v>94</v>
      </c>
      <c r="T9" s="1569" t="s">
        <v>8</v>
      </c>
      <c r="U9" s="1570">
        <f t="shared" ref="U9:U17" si="1">H9</f>
        <v>96</v>
      </c>
      <c r="V9" s="1569" t="s">
        <v>8</v>
      </c>
      <c r="W9" s="1570">
        <f t="shared" ref="W9:W17" si="2">J9</f>
        <v>94</v>
      </c>
      <c r="X9" s="1571"/>
      <c r="Y9" s="3389" t="s">
        <v>530</v>
      </c>
      <c r="Z9" s="3390"/>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3057</v>
      </c>
      <c r="F10" s="522">
        <f>SUMIF(75:75,E10,76:76)-SUMIF(75:75,C10,76:76)+100</f>
        <v>100</v>
      </c>
      <c r="G10" s="525" t="s">
        <v>3057</v>
      </c>
      <c r="H10" s="520">
        <f>SUMIF(75:75,G10,76:76)-SUMIF(75:75,C10,76:76)+100</f>
        <v>100</v>
      </c>
      <c r="I10" s="525" t="s">
        <v>3057</v>
      </c>
      <c r="J10" s="520">
        <f>SUMIF(75:75,I10,76:76)-SUMIF(75:75,C10,76:76)+100</f>
        <v>100</v>
      </c>
      <c r="K10" s="524"/>
      <c r="L10" s="2136"/>
      <c r="M10" s="2133"/>
      <c r="N10" s="2133"/>
      <c r="O10" s="2137"/>
      <c r="P10" s="3389" t="s">
        <v>533</v>
      </c>
      <c r="Q10" s="3390"/>
      <c r="R10" s="1569" t="s">
        <v>8</v>
      </c>
      <c r="S10" s="1570">
        <f t="shared" si="0"/>
        <v>100</v>
      </c>
      <c r="T10" s="1569" t="s">
        <v>8</v>
      </c>
      <c r="U10" s="1570">
        <f t="shared" si="1"/>
        <v>100</v>
      </c>
      <c r="V10" s="1569" t="s">
        <v>8</v>
      </c>
      <c r="W10" s="1570">
        <f t="shared" si="2"/>
        <v>100</v>
      </c>
      <c r="X10" s="1571"/>
      <c r="Y10" s="3389" t="s">
        <v>533</v>
      </c>
      <c r="Z10" s="3390"/>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30" s="1338" customFormat="1" ht="27">
      <c r="A12" s="2894"/>
      <c r="B12" s="2899" t="s">
        <v>2758</v>
      </c>
      <c r="C12" s="910" t="s">
        <v>3108</v>
      </c>
      <c r="D12" s="255">
        <v>100</v>
      </c>
      <c r="E12" s="529" t="s">
        <v>3107</v>
      </c>
      <c r="F12" s="255">
        <f>ROUND(100/'数据-取费表'!G16,0)</f>
        <v>105</v>
      </c>
      <c r="G12" s="529" t="s">
        <v>3107</v>
      </c>
      <c r="H12" s="255">
        <f>ROUND(100/'数据-取费表'!G16,0)</f>
        <v>105</v>
      </c>
      <c r="I12" s="529" t="s">
        <v>3107</v>
      </c>
      <c r="J12" s="255">
        <f>ROUND(100/'数据-取费表'!G16,0)</f>
        <v>105</v>
      </c>
      <c r="K12" s="531"/>
      <c r="L12" s="2139"/>
      <c r="M12" s="2133"/>
      <c r="N12" s="2133"/>
      <c r="O12" s="529" t="s">
        <v>3107</v>
      </c>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3209">
        <v>1.9</v>
      </c>
      <c r="D13" s="255">
        <v>100</v>
      </c>
      <c r="E13" s="533">
        <v>3.7</v>
      </c>
      <c r="F13" s="255">
        <f>LOOKUP(E13,82:82,83:83)-LOOKUP(C13,82:82,83:83)+100</f>
        <v>80</v>
      </c>
      <c r="G13" s="534">
        <v>2</v>
      </c>
      <c r="H13" s="255">
        <f>LOOKUP(G13,82:82,83:83)-LOOKUP(C13,82:82,83:83)+100</f>
        <v>95</v>
      </c>
      <c r="I13" s="533">
        <v>3</v>
      </c>
      <c r="J13" s="255">
        <f>LOOKUP(I13,82:82,83:83)-LOOKUP(C13,82:82,83:83)+100</f>
        <v>85</v>
      </c>
      <c r="K13" s="535">
        <v>5</v>
      </c>
      <c r="L13" s="2141"/>
      <c r="M13" s="2133"/>
      <c r="N13" s="2133"/>
      <c r="O13" s="2142"/>
      <c r="P13" s="3397"/>
      <c r="Q13" s="1151" t="str">
        <f t="shared" si="6"/>
        <v>容积率</v>
      </c>
      <c r="R13" s="1569" t="s">
        <v>8</v>
      </c>
      <c r="S13" s="1570">
        <f t="shared" si="0"/>
        <v>80</v>
      </c>
      <c r="T13" s="1569" t="s">
        <v>8</v>
      </c>
      <c r="U13" s="1570">
        <f t="shared" si="1"/>
        <v>95</v>
      </c>
      <c r="V13" s="1569" t="s">
        <v>8</v>
      </c>
      <c r="W13" s="1570">
        <f t="shared" si="2"/>
        <v>85</v>
      </c>
      <c r="X13" s="1571"/>
      <c r="Y13" s="3354"/>
      <c r="Z13" s="1150" t="str">
        <f t="shared" si="7"/>
        <v>容积率</v>
      </c>
      <c r="AA13" s="1572">
        <f t="shared" si="3"/>
        <v>1.25</v>
      </c>
      <c r="AB13" s="1572">
        <f t="shared" si="4"/>
        <v>1.0526315789473684</v>
      </c>
      <c r="AC13" s="1572">
        <f t="shared" si="5"/>
        <v>1.1764705882352942</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7"/>
      <c r="Q14" s="1151" t="str">
        <f t="shared" si="6"/>
        <v>配建</v>
      </c>
      <c r="R14" s="1569" t="s">
        <v>8</v>
      </c>
      <c r="S14" s="1570">
        <f t="shared" si="0"/>
        <v>100</v>
      </c>
      <c r="T14" s="1569" t="s">
        <v>8</v>
      </c>
      <c r="U14" s="1570">
        <f t="shared" si="1"/>
        <v>100</v>
      </c>
      <c r="V14" s="1569" t="s">
        <v>8</v>
      </c>
      <c r="W14" s="1570">
        <f t="shared" si="2"/>
        <v>100</v>
      </c>
      <c r="X14" s="1571"/>
      <c r="Y14" s="3354"/>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96</v>
      </c>
      <c r="I17" s="552"/>
      <c r="J17" s="549">
        <f>SUMIF(90:90,I18,91:91)-SUMIF(90:90,C18,91:91)+100</f>
        <v>100</v>
      </c>
      <c r="K17" s="535">
        <v>4</v>
      </c>
      <c r="L17" s="2143"/>
      <c r="M17" s="2133"/>
      <c r="N17" s="2133"/>
      <c r="O17" s="2142"/>
      <c r="P17" s="3399" t="s">
        <v>540</v>
      </c>
      <c r="Q17" s="1573" t="str">
        <f t="shared" si="6"/>
        <v>居住社区成熟度</v>
      </c>
      <c r="R17" s="1574" t="s">
        <v>8</v>
      </c>
      <c r="S17" s="1575">
        <f t="shared" si="0"/>
        <v>104</v>
      </c>
      <c r="T17" s="1574" t="s">
        <v>8</v>
      </c>
      <c r="U17" s="1575">
        <f t="shared" si="1"/>
        <v>96</v>
      </c>
      <c r="V17" s="1574" t="s">
        <v>8</v>
      </c>
      <c r="W17" s="1575">
        <f t="shared" si="2"/>
        <v>100</v>
      </c>
      <c r="X17" s="1568"/>
      <c r="Y17" s="3399" t="s">
        <v>540</v>
      </c>
      <c r="Z17" s="1576" t="str">
        <f t="shared" si="7"/>
        <v>居住社区成熟度</v>
      </c>
      <c r="AA17" s="1577">
        <f t="shared" si="3"/>
        <v>0.96153846153846156</v>
      </c>
      <c r="AB17" s="1577">
        <f t="shared" si="4"/>
        <v>1.0416666666666667</v>
      </c>
      <c r="AC17" s="1577">
        <f t="shared" si="5"/>
        <v>1</v>
      </c>
    </row>
    <row r="18" spans="1:29" ht="20.25">
      <c r="A18" s="532"/>
      <c r="B18" s="553"/>
      <c r="C18" s="554" t="s">
        <v>3055</v>
      </c>
      <c r="D18" s="557"/>
      <c r="E18" s="558" t="s">
        <v>3133</v>
      </c>
      <c r="F18" s="555"/>
      <c r="G18" s="556" t="s">
        <v>3054</v>
      </c>
      <c r="H18" s="559"/>
      <c r="I18" s="558" t="s">
        <v>3055</v>
      </c>
      <c r="J18" s="555"/>
      <c r="K18" s="531"/>
      <c r="L18" s="2143"/>
      <c r="M18" s="2133"/>
      <c r="N18" s="2133"/>
      <c r="O18" s="2142"/>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97</v>
      </c>
      <c r="I19" s="564"/>
      <c r="J19" s="565">
        <f>SUMIF(92:92,I20,93:93)-SUMIF(92:92,C20,93:93)+100</f>
        <v>100</v>
      </c>
      <c r="K19" s="535">
        <v>3</v>
      </c>
      <c r="L19" s="2143"/>
      <c r="M19" s="2133"/>
      <c r="N19" s="2133"/>
      <c r="O19" s="2142"/>
      <c r="P19" s="3400"/>
      <c r="Q19" s="1573" t="str">
        <f>B19</f>
        <v>商业繁华度</v>
      </c>
      <c r="R19" s="1574" t="s">
        <v>8</v>
      </c>
      <c r="S19" s="1575">
        <f>F19</f>
        <v>103</v>
      </c>
      <c r="T19" s="1574" t="s">
        <v>8</v>
      </c>
      <c r="U19" s="1575">
        <f>H19</f>
        <v>97</v>
      </c>
      <c r="V19" s="1574" t="s">
        <v>8</v>
      </c>
      <c r="W19" s="1575">
        <f>J19</f>
        <v>100</v>
      </c>
      <c r="X19" s="1568"/>
      <c r="Y19" s="3400"/>
      <c r="Z19" s="1576" t="str">
        <f>Q19</f>
        <v>商业繁华度</v>
      </c>
      <c r="AA19" s="1577">
        <f t="shared" si="3"/>
        <v>0.970873786407767</v>
      </c>
      <c r="AB19" s="1577">
        <f t="shared" si="4"/>
        <v>1.0309278350515463</v>
      </c>
      <c r="AC19" s="1577">
        <f t="shared" si="5"/>
        <v>1</v>
      </c>
    </row>
    <row r="20" spans="1:29" ht="20.25">
      <c r="A20" s="532"/>
      <c r="B20" s="566"/>
      <c r="C20" s="567" t="s">
        <v>3055</v>
      </c>
      <c r="D20" s="563"/>
      <c r="E20" s="569" t="s">
        <v>3133</v>
      </c>
      <c r="F20" s="559"/>
      <c r="G20" s="568" t="s">
        <v>3054</v>
      </c>
      <c r="H20" s="555"/>
      <c r="I20" s="569" t="s">
        <v>3055</v>
      </c>
      <c r="J20" s="555"/>
      <c r="K20" s="531"/>
      <c r="L20" s="2143"/>
      <c r="M20" s="2133"/>
      <c r="N20" s="2133"/>
      <c r="O20" s="2142"/>
      <c r="P20" s="3400"/>
      <c r="Q20" s="1573"/>
      <c r="R20" s="1574"/>
      <c r="S20" s="1575"/>
      <c r="T20" s="1574"/>
      <c r="U20" s="1575"/>
      <c r="V20" s="1574"/>
      <c r="W20" s="1575"/>
      <c r="X20" s="1568"/>
      <c r="Y20" s="340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400"/>
      <c r="Q23" s="1573" t="str">
        <f>B23</f>
        <v>交通便捷度</v>
      </c>
      <c r="R23" s="1574" t="s">
        <v>8</v>
      </c>
      <c r="S23" s="1575">
        <f>F23</f>
        <v>103</v>
      </c>
      <c r="T23" s="1574" t="s">
        <v>8</v>
      </c>
      <c r="U23" s="1575">
        <f>H23</f>
        <v>100</v>
      </c>
      <c r="V23" s="1574" t="s">
        <v>8</v>
      </c>
      <c r="W23" s="1575">
        <f>J23</f>
        <v>100</v>
      </c>
      <c r="X23" s="1568"/>
      <c r="Y23" s="3400"/>
      <c r="Z23" s="1576" t="str">
        <f>Q23</f>
        <v>交通便捷度</v>
      </c>
      <c r="AA23" s="1577">
        <f t="shared" si="3"/>
        <v>0.970873786407767</v>
      </c>
      <c r="AB23" s="1577">
        <f t="shared" si="4"/>
        <v>1</v>
      </c>
      <c r="AC23" s="1577">
        <f t="shared" si="5"/>
        <v>1</v>
      </c>
    </row>
    <row r="24" spans="1:29" ht="20.25">
      <c r="A24" s="532"/>
      <c r="B24" s="578"/>
      <c r="C24" s="554" t="s">
        <v>3055</v>
      </c>
      <c r="D24" s="557"/>
      <c r="E24" s="558" t="s">
        <v>3133</v>
      </c>
      <c r="F24" s="555"/>
      <c r="G24" s="556" t="s">
        <v>3055</v>
      </c>
      <c r="H24" s="555"/>
      <c r="I24" s="558" t="s">
        <v>3055</v>
      </c>
      <c r="J24" s="555"/>
      <c r="K24" s="531"/>
      <c r="L24" s="2143"/>
      <c r="M24" s="2133"/>
      <c r="N24" s="2133"/>
      <c r="O24" s="2142"/>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00"/>
      <c r="Q27" s="1573" t="str">
        <f t="shared" si="8"/>
        <v>自然及人文环境状况</v>
      </c>
      <c r="R27" s="1574" t="s">
        <v>8</v>
      </c>
      <c r="S27" s="1575">
        <f>F27</f>
        <v>100</v>
      </c>
      <c r="T27" s="1574" t="s">
        <v>8</v>
      </c>
      <c r="U27" s="1575">
        <f>H27</f>
        <v>100</v>
      </c>
      <c r="V27" s="1574" t="s">
        <v>8</v>
      </c>
      <c r="W27" s="1575">
        <f>J27</f>
        <v>100</v>
      </c>
      <c r="X27" s="1568"/>
      <c r="Y27" s="3400"/>
      <c r="Z27" s="1576" t="str">
        <f>Q27</f>
        <v>自然及人文环境状况</v>
      </c>
      <c r="AA27" s="1577">
        <f t="shared" si="3"/>
        <v>1</v>
      </c>
      <c r="AB27" s="1577">
        <f t="shared" si="4"/>
        <v>1</v>
      </c>
      <c r="AC27" s="1577">
        <f t="shared" si="5"/>
        <v>1</v>
      </c>
    </row>
    <row r="28" spans="1:29" ht="20.25">
      <c r="A28" s="515"/>
      <c r="B28" s="566"/>
      <c r="C28" s="554" t="s">
        <v>3055</v>
      </c>
      <c r="D28" s="557"/>
      <c r="E28" s="576" t="s">
        <v>3055</v>
      </c>
      <c r="F28" s="555"/>
      <c r="G28" s="554" t="s">
        <v>3055</v>
      </c>
      <c r="H28" s="555"/>
      <c r="I28" s="576" t="s">
        <v>3055</v>
      </c>
      <c r="J28" s="555"/>
      <c r="K28" s="531"/>
      <c r="L28" s="2143"/>
      <c r="M28" s="2133"/>
      <c r="N28" s="2133"/>
      <c r="O28" s="2142"/>
      <c r="P28" s="3400"/>
      <c r="Q28" s="1573"/>
      <c r="R28" s="1574"/>
      <c r="S28" s="1575"/>
      <c r="T28" s="1574"/>
      <c r="U28" s="1575"/>
      <c r="V28" s="1574"/>
      <c r="W28" s="1575"/>
      <c r="X28" s="1568"/>
      <c r="Y28" s="3400"/>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400"/>
      <c r="Q29" s="1151" t="str">
        <f t="shared" si="8"/>
        <v>公共配套设施</v>
      </c>
      <c r="R29" s="1569" t="s">
        <v>8</v>
      </c>
      <c r="S29" s="1570">
        <f>F29</f>
        <v>103</v>
      </c>
      <c r="T29" s="1569" t="s">
        <v>8</v>
      </c>
      <c r="U29" s="1570">
        <f>H29</f>
        <v>97</v>
      </c>
      <c r="V29" s="1569" t="s">
        <v>8</v>
      </c>
      <c r="W29" s="1570">
        <f>J29</f>
        <v>100</v>
      </c>
      <c r="X29" s="1571"/>
      <c r="Y29" s="3400"/>
      <c r="Z29" s="1150" t="str">
        <f>Q29</f>
        <v>公共配套设施</v>
      </c>
      <c r="AA29" s="1577">
        <f>D29/F29</f>
        <v>0.970873786407767</v>
      </c>
      <c r="AB29" s="1577">
        <f>D29/H29</f>
        <v>1.0309278350515463</v>
      </c>
      <c r="AC29" s="1577">
        <f>D29/J29</f>
        <v>1</v>
      </c>
    </row>
    <row r="30" spans="1:29" s="1220" customFormat="1" ht="20.25">
      <c r="A30" s="577"/>
      <c r="B30" s="566"/>
      <c r="C30" s="579" t="s">
        <v>3055</v>
      </c>
      <c r="D30" s="557"/>
      <c r="E30" s="576" t="s">
        <v>3133</v>
      </c>
      <c r="F30" s="555"/>
      <c r="G30" s="554" t="s">
        <v>3054</v>
      </c>
      <c r="H30" s="555"/>
      <c r="I30" s="576" t="s">
        <v>3055</v>
      </c>
      <c r="J30" s="555"/>
      <c r="K30" s="531"/>
      <c r="L30" s="2136"/>
      <c r="M30" s="2133"/>
      <c r="N30" s="2133"/>
      <c r="O30" s="2138"/>
      <c r="P30" s="3400"/>
      <c r="Q30" s="1151"/>
      <c r="R30" s="1569"/>
      <c r="S30" s="1570"/>
      <c r="T30" s="1569"/>
      <c r="U30" s="1570"/>
      <c r="V30" s="1569"/>
      <c r="W30" s="1570"/>
      <c r="X30" s="1571"/>
      <c r="Y30" s="3400"/>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0"/>
      <c r="Q31" s="2558" t="str">
        <f t="shared" ref="Q31" si="9">B31</f>
        <v>基础设施水平</v>
      </c>
      <c r="R31" s="1569" t="s">
        <v>8</v>
      </c>
      <c r="S31" s="1570">
        <f>F31</f>
        <v>100</v>
      </c>
      <c r="T31" s="1569" t="s">
        <v>8</v>
      </c>
      <c r="U31" s="1570">
        <f>H31</f>
        <v>100</v>
      </c>
      <c r="V31" s="1569" t="s">
        <v>8</v>
      </c>
      <c r="W31" s="1570">
        <f>J31</f>
        <v>100</v>
      </c>
      <c r="X31" s="1571"/>
      <c r="Y31" s="3400"/>
      <c r="Z31" s="2555" t="str">
        <f>Q31</f>
        <v>基础设施水平</v>
      </c>
      <c r="AA31" s="1577">
        <f>D31/F31</f>
        <v>1</v>
      </c>
      <c r="AB31" s="1577">
        <f>D31/H31</f>
        <v>1</v>
      </c>
      <c r="AC31" s="1577">
        <f>D31/J31</f>
        <v>1</v>
      </c>
    </row>
    <row r="32" spans="1:29" s="1220" customFormat="1" ht="20.25">
      <c r="A32" s="577"/>
      <c r="B32" s="566"/>
      <c r="C32" s="579" t="s">
        <v>3122</v>
      </c>
      <c r="D32" s="557"/>
      <c r="E32" s="2572" t="s">
        <v>3122</v>
      </c>
      <c r="F32" s="555"/>
      <c r="G32" s="579" t="s">
        <v>3122</v>
      </c>
      <c r="H32" s="555"/>
      <c r="I32" s="579" t="s">
        <v>3122</v>
      </c>
      <c r="J32" s="555"/>
      <c r="K32" s="531"/>
      <c r="L32" s="2136"/>
      <c r="M32" s="2133"/>
      <c r="N32" s="2133"/>
      <c r="O32" s="2138"/>
      <c r="P32" s="3400"/>
      <c r="Q32" s="2558"/>
      <c r="R32" s="1569"/>
      <c r="S32" s="1570"/>
      <c r="T32" s="1569"/>
      <c r="U32" s="1570"/>
      <c r="V32" s="1569"/>
      <c r="W32" s="1570"/>
      <c r="X32" s="1571"/>
      <c r="Y32" s="3400"/>
      <c r="Z32" s="2555"/>
      <c r="AA32" s="1577">
        <v>1</v>
      </c>
      <c r="AB32" s="1577">
        <v>1</v>
      </c>
      <c r="AC32" s="1577">
        <v>1</v>
      </c>
    </row>
    <row r="33" spans="1:29" ht="20.25">
      <c r="A33" s="532"/>
      <c r="B33" s="566" t="s">
        <v>547</v>
      </c>
      <c r="C33" s="3204" t="s">
        <v>3211</v>
      </c>
      <c r="D33" s="575">
        <v>100</v>
      </c>
      <c r="E33" s="583" t="s">
        <v>3131</v>
      </c>
      <c r="F33" s="540">
        <f>SUMIF(106:106,E33,107:107)-SUMIF(106:106,C33,107:107)+100</f>
        <v>95</v>
      </c>
      <c r="G33" s="580" t="s">
        <v>3131</v>
      </c>
      <c r="H33" s="540">
        <f>SUMIF(106:106,G33,107:107)-SUMIF(106:106,C33,107:107)+100</f>
        <v>95</v>
      </c>
      <c r="I33" s="580" t="s">
        <v>3131</v>
      </c>
      <c r="J33" s="540">
        <f>SUMIF(106:106,I33,107:107)-SUMIF(106:106,C33,107:107)+100</f>
        <v>95</v>
      </c>
      <c r="K33" s="535">
        <v>5</v>
      </c>
      <c r="L33" s="2143"/>
      <c r="M33" s="2133"/>
      <c r="N33" s="2133"/>
      <c r="O33" s="2142"/>
      <c r="P33" s="3400"/>
      <c r="Q33" s="1573" t="str">
        <f t="shared" si="8"/>
        <v>临街状况</v>
      </c>
      <c r="R33" s="1574" t="s">
        <v>8</v>
      </c>
      <c r="S33" s="1575">
        <f t="shared" ref="S33:S47" si="10">F33</f>
        <v>95</v>
      </c>
      <c r="T33" s="1574" t="s">
        <v>8</v>
      </c>
      <c r="U33" s="1575">
        <f t="shared" ref="U33:U47" si="11">H33</f>
        <v>95</v>
      </c>
      <c r="V33" s="1574" t="s">
        <v>8</v>
      </c>
      <c r="W33" s="1575">
        <f t="shared" ref="W33:W47" si="12">J33</f>
        <v>95</v>
      </c>
      <c r="X33" s="1568"/>
      <c r="Y33" s="3400"/>
      <c r="Z33" s="1576" t="str">
        <f t="shared" ref="Z33:Z47" si="13">Q33</f>
        <v>临街状况</v>
      </c>
      <c r="AA33" s="1577">
        <f t="shared" si="3"/>
        <v>1.0526315789473684</v>
      </c>
      <c r="AB33" s="1577">
        <f t="shared" si="4"/>
        <v>1.0526315789473684</v>
      </c>
      <c r="AC33" s="1577">
        <f t="shared" si="5"/>
        <v>1.0526315789473684</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0"/>
      <c r="Q34" s="1573" t="str">
        <f t="shared" si="8"/>
        <v>毗邻道路的类型与等级</v>
      </c>
      <c r="R34" s="1574" t="s">
        <v>8</v>
      </c>
      <c r="S34" s="1575">
        <f t="shared" si="10"/>
        <v>100</v>
      </c>
      <c r="T34" s="1574" t="s">
        <v>8</v>
      </c>
      <c r="U34" s="1575">
        <f t="shared" si="11"/>
        <v>100</v>
      </c>
      <c r="V34" s="1574" t="s">
        <v>8</v>
      </c>
      <c r="W34" s="1575">
        <f t="shared" si="12"/>
        <v>100</v>
      </c>
      <c r="X34" s="1568"/>
      <c r="Y34" s="340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402"/>
      <c r="Q40" s="1573" t="str">
        <f>B40</f>
        <v>宗地面积</v>
      </c>
      <c r="R40" s="1574" t="s">
        <v>8</v>
      </c>
      <c r="S40" s="1575">
        <f t="shared" si="10"/>
        <v>99</v>
      </c>
      <c r="T40" s="1574" t="s">
        <v>8</v>
      </c>
      <c r="U40" s="1575">
        <f t="shared" si="11"/>
        <v>103</v>
      </c>
      <c r="V40" s="1574" t="s">
        <v>8</v>
      </c>
      <c r="W40" s="1575">
        <f t="shared" si="12"/>
        <v>98</v>
      </c>
      <c r="X40" s="1568"/>
      <c r="Y40" s="3402"/>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2"/>
      <c r="Q43" s="1573" t="str">
        <f t="shared" si="14"/>
        <v>宗地开发程度</v>
      </c>
      <c r="R43" s="1569" t="s">
        <v>8</v>
      </c>
      <c r="S43" s="1570">
        <f t="shared" si="10"/>
        <v>100</v>
      </c>
      <c r="T43" s="1569" t="s">
        <v>8</v>
      </c>
      <c r="U43" s="1570">
        <f t="shared" si="11"/>
        <v>100</v>
      </c>
      <c r="V43" s="1569" t="s">
        <v>8</v>
      </c>
      <c r="W43" s="1570">
        <f t="shared" si="12"/>
        <v>100</v>
      </c>
      <c r="X43" s="1571"/>
      <c r="Y43" s="340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3063</v>
      </c>
      <c r="C48" s="609" t="s">
        <v>1</v>
      </c>
      <c r="D48" s="610"/>
      <c r="E48" s="611">
        <f>土地案例!K11</f>
        <v>3128.96</v>
      </c>
      <c r="F48" s="612"/>
      <c r="G48" s="613">
        <f>土地案例!K19</f>
        <v>2805.23</v>
      </c>
      <c r="H48" s="614"/>
      <c r="I48" s="611">
        <f>土地案例!K21</f>
        <v>3075.86</v>
      </c>
      <c r="J48" s="614"/>
      <c r="K48" s="1340"/>
      <c r="L48" s="2145"/>
      <c r="M48" s="2133"/>
      <c r="N48" s="2133"/>
      <c r="O48" s="2146"/>
      <c r="P48" s="3397" t="str">
        <f>A48</f>
        <v>成交单价</v>
      </c>
      <c r="Q48" s="3397"/>
      <c r="R48" s="3411">
        <f>E48</f>
        <v>3128.96</v>
      </c>
      <c r="S48" s="3411"/>
      <c r="T48" s="3411">
        <f>G48</f>
        <v>2805.23</v>
      </c>
      <c r="U48" s="3411"/>
      <c r="V48" s="3411">
        <f>I48</f>
        <v>3075.86</v>
      </c>
      <c r="W48" s="3411"/>
      <c r="X48" s="1560"/>
      <c r="Y48" s="1582"/>
      <c r="Z48" s="1560"/>
      <c r="AA48" s="1560"/>
      <c r="AB48" s="1560"/>
      <c r="AC48" s="1560"/>
    </row>
    <row r="49" spans="1:29" ht="21" thickBot="1">
      <c r="A49" s="615" t="s">
        <v>2694</v>
      </c>
      <c r="B49" s="616"/>
      <c r="C49" s="617">
        <f>R50</f>
        <v>3653</v>
      </c>
      <c r="D49" s="618"/>
      <c r="E49" s="617">
        <f>R49</f>
        <v>3708</v>
      </c>
      <c r="F49" s="619"/>
      <c r="G49" s="620">
        <f>T49</f>
        <v>3314</v>
      </c>
      <c r="H49" s="618"/>
      <c r="I49" s="617">
        <f>V49</f>
        <v>3938</v>
      </c>
      <c r="J49" s="618"/>
      <c r="K49" s="1341"/>
      <c r="L49" s="2145"/>
      <c r="M49" s="2133"/>
      <c r="N49" s="2133"/>
      <c r="O49" s="2146"/>
      <c r="P49" s="3397" t="str">
        <f>A49</f>
        <v>比较价格（元/平方米）</v>
      </c>
      <c r="Q49" s="3397"/>
      <c r="R49" s="3421">
        <f>ROUND(PRODUCT(R48,AA9:AA47),0)</f>
        <v>3708</v>
      </c>
      <c r="S49" s="3421"/>
      <c r="T49" s="3421">
        <f>ROUND(PRODUCT(T48,AB9:AB47),0)</f>
        <v>3314</v>
      </c>
      <c r="U49" s="3421"/>
      <c r="V49" s="3421">
        <f>ROUND(PRODUCT(V48,AC9:AC47),0)</f>
        <v>3938</v>
      </c>
      <c r="W49" s="3421"/>
      <c r="X49" s="1560"/>
      <c r="Y49" s="1560"/>
      <c r="Z49" s="1560"/>
      <c r="AA49" s="1560"/>
      <c r="AB49" s="1560"/>
      <c r="AC49" s="1560"/>
    </row>
    <row r="50" spans="1:29" ht="21" thickBot="1">
      <c r="A50" s="621" t="s">
        <v>2937</v>
      </c>
      <c r="B50" s="622"/>
      <c r="C50" s="623">
        <f>R50</f>
        <v>3653</v>
      </c>
      <c r="D50" s="623"/>
      <c r="E50" s="623"/>
      <c r="F50" s="623"/>
      <c r="G50" s="623"/>
      <c r="H50" s="623"/>
      <c r="I50" s="623"/>
      <c r="J50" s="623"/>
      <c r="K50" s="1342"/>
      <c r="L50" s="2145"/>
      <c r="M50" s="2133"/>
      <c r="N50" s="2133"/>
      <c r="O50" s="2146"/>
      <c r="P50" s="3418" t="str">
        <f>A50</f>
        <v>估价对象XX用房的比较价格（楼面单价，元/平方米）</v>
      </c>
      <c r="Q50" s="3419"/>
      <c r="R50" s="3420">
        <f>ROUND(AVERAGE(R49:V49),0)</f>
        <v>3653</v>
      </c>
      <c r="S50" s="3420"/>
      <c r="T50" s="3420"/>
      <c r="U50" s="3420"/>
      <c r="V50" s="3420"/>
      <c r="W50" s="342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0.18505829412967878</v>
      </c>
      <c r="F53" s="627" t="str">
        <f>IF(OR(E53&gt;=0.3,E53&lt;=-0.3),"超过30%","")</f>
        <v/>
      </c>
      <c r="G53" s="626">
        <f>IF(G48&lt;G49,G49/G48-1,G48/G49-1)</f>
        <v>0.18136480787671605</v>
      </c>
      <c r="H53" s="627" t="str">
        <f>IF(OR(G53&gt;=0.3,G53&lt;=-0.3),"超过30%","")</f>
        <v/>
      </c>
      <c r="I53" s="626">
        <f>IF(I48&lt;I49,I49/I48-1,I48/I49-1)</f>
        <v>0.28029234100381673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0.11888955944477964</v>
      </c>
      <c r="F54" s="627" t="str">
        <f>IF(OR(E54&gt;=0.2,E54&lt;=-0.2),"超过20%","")</f>
        <v/>
      </c>
      <c r="G54" s="626">
        <f>IF(G49&lt;I49,I49/G49-1,G49/I49-1)</f>
        <v>0.18829209414604708</v>
      </c>
      <c r="H54" s="627" t="str">
        <f>IF(OR(G54&gt;=0.2,G54&lt;=-0.2),"超过20%","")</f>
        <v/>
      </c>
      <c r="I54" s="626">
        <f>IF(I49&lt;E49,E49/I49-1,I49/E49-1)</f>
        <v>6.2028047464940617E-2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81" t="s">
        <v>2282</v>
      </c>
      <c r="H57" s="3382"/>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3653</v>
      </c>
      <c r="C58" s="635">
        <v>1</v>
      </c>
      <c r="D58" s="2229">
        <v>1</v>
      </c>
      <c r="E58" s="635">
        <f>'数据-汇总表'!E8+'数据-汇总表'!E9</f>
        <v>64142</v>
      </c>
      <c r="F58" s="636">
        <f t="shared" ref="F58:F67" si="15">ROUND(B58*E58/10000,0)</f>
        <v>23431</v>
      </c>
      <c r="G58" s="3383"/>
      <c r="H58" s="338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23431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96</v>
      </c>
      <c r="E91" s="679">
        <f>D91-$K17</f>
        <v>92</v>
      </c>
      <c r="F91" s="679">
        <f>E91-$K17</f>
        <v>88</v>
      </c>
      <c r="G91" s="679">
        <f>F91-$K17</f>
        <v>84</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3" t="s">
        <v>522</v>
      </c>
      <c r="D6" s="3404"/>
      <c r="E6" s="3427" t="s">
        <v>523</v>
      </c>
      <c r="F6" s="3428"/>
      <c r="G6" s="3403" t="s">
        <v>524</v>
      </c>
      <c r="H6" s="3404"/>
      <c r="I6" s="3403" t="s">
        <v>525</v>
      </c>
      <c r="J6" s="3404"/>
      <c r="K6" s="514" t="s">
        <v>526</v>
      </c>
      <c r="L6" s="2134"/>
      <c r="M6" s="2135"/>
      <c r="N6" s="2135"/>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29" ht="15">
      <c r="A7" s="515"/>
      <c r="B7" s="516"/>
      <c r="C7" s="3414" t="s">
        <v>2931</v>
      </c>
      <c r="D7" s="3415"/>
      <c r="E7" s="3429" t="s">
        <v>2932</v>
      </c>
      <c r="F7" s="3430"/>
      <c r="G7" s="3414" t="s">
        <v>2933</v>
      </c>
      <c r="H7" s="3415"/>
      <c r="I7" s="3414" t="s">
        <v>2934</v>
      </c>
      <c r="J7" s="3415"/>
      <c r="K7" s="514"/>
      <c r="L7" s="2134"/>
      <c r="M7" s="2135"/>
      <c r="N7" s="2135"/>
      <c r="O7" s="2135"/>
      <c r="P7" s="3407"/>
      <c r="Q7" s="3408"/>
      <c r="R7" s="3393"/>
      <c r="S7" s="3394"/>
      <c r="T7" s="3393"/>
      <c r="U7" s="3394"/>
      <c r="V7" s="3411"/>
      <c r="W7" s="3411"/>
      <c r="X7" s="1568"/>
      <c r="Y7" s="3393"/>
      <c r="Z7" s="3394"/>
      <c r="AA7" s="3387"/>
      <c r="AB7" s="3387"/>
      <c r="AC7" s="3387"/>
    </row>
    <row r="8" spans="1:29" ht="15.75" thickBot="1">
      <c r="A8" s="517"/>
      <c r="B8" s="518"/>
      <c r="C8" s="3412" t="s">
        <v>2935</v>
      </c>
      <c r="D8" s="3413"/>
      <c r="E8" s="3431" t="s">
        <v>2935</v>
      </c>
      <c r="F8" s="3432"/>
      <c r="G8" s="3412" t="s">
        <v>2935</v>
      </c>
      <c r="H8" s="3413"/>
      <c r="I8" s="3412" t="s">
        <v>2935</v>
      </c>
      <c r="J8" s="3413"/>
      <c r="K8" s="514" t="s">
        <v>528</v>
      </c>
      <c r="L8" s="2134"/>
      <c r="M8" s="2135"/>
      <c r="N8" s="2135"/>
      <c r="O8" s="2135"/>
      <c r="P8" s="3409"/>
      <c r="Q8" s="3410"/>
      <c r="R8" s="3393"/>
      <c r="S8" s="3394"/>
      <c r="T8" s="3395"/>
      <c r="U8" s="3396"/>
      <c r="V8" s="3411"/>
      <c r="W8" s="3411"/>
      <c r="X8" s="1568"/>
      <c r="Y8" s="3395"/>
      <c r="Z8" s="3396"/>
      <c r="AA8" s="3388"/>
      <c r="AB8" s="3388"/>
      <c r="AC8" s="3388"/>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9" t="s">
        <v>530</v>
      </c>
      <c r="Q9" s="3398"/>
      <c r="R9" s="1569" t="s">
        <v>8</v>
      </c>
      <c r="S9" s="1570">
        <f t="shared" ref="S9:S17" si="0">F9</f>
        <v>0</v>
      </c>
      <c r="T9" s="1569" t="s">
        <v>8</v>
      </c>
      <c r="U9" s="1570">
        <f t="shared" ref="U9:U17" si="1">H9</f>
        <v>0</v>
      </c>
      <c r="V9" s="1569" t="s">
        <v>8</v>
      </c>
      <c r="W9" s="1570">
        <f t="shared" ref="W9:W17" si="2">J9</f>
        <v>0</v>
      </c>
      <c r="X9" s="1571"/>
      <c r="Y9" s="3389" t="s">
        <v>530</v>
      </c>
      <c r="Z9" s="3390"/>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9" t="s">
        <v>533</v>
      </c>
      <c r="Q10" s="3390"/>
      <c r="R10" s="1569" t="s">
        <v>8</v>
      </c>
      <c r="S10" s="1570">
        <f t="shared" si="0"/>
        <v>0</v>
      </c>
      <c r="T10" s="1569" t="s">
        <v>8</v>
      </c>
      <c r="U10" s="1570">
        <f t="shared" si="1"/>
        <v>0</v>
      </c>
      <c r="V10" s="1569" t="s">
        <v>8</v>
      </c>
      <c r="W10" s="1570">
        <f t="shared" si="2"/>
        <v>0</v>
      </c>
      <c r="X10" s="1571"/>
      <c r="Y10" s="3389" t="s">
        <v>533</v>
      </c>
      <c r="Z10" s="3390"/>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7"/>
      <c r="Q13" s="1151" t="str">
        <f t="shared" si="6"/>
        <v>容积率</v>
      </c>
      <c r="R13" s="1569" t="s">
        <v>8</v>
      </c>
      <c r="S13" s="1570" t="e">
        <f t="shared" si="0"/>
        <v>#N/A</v>
      </c>
      <c r="T13" s="1569" t="s">
        <v>8</v>
      </c>
      <c r="U13" s="1570" t="e">
        <f t="shared" si="1"/>
        <v>#N/A</v>
      </c>
      <c r="V13" s="1569" t="s">
        <v>8</v>
      </c>
      <c r="W13" s="1570" t="e">
        <f t="shared" si="2"/>
        <v>#N/A</v>
      </c>
      <c r="X13" s="1571"/>
      <c r="Y13" s="3354"/>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0"/>
      <c r="Q24" s="1573"/>
      <c r="R24" s="1574"/>
      <c r="S24" s="1575"/>
      <c r="T24" s="1574"/>
      <c r="U24" s="1575"/>
      <c r="V24" s="1574"/>
      <c r="W24" s="1575"/>
      <c r="X24" s="1568"/>
      <c r="Y24" s="3400"/>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0"/>
      <c r="Q26" s="1151"/>
      <c r="R26" s="1569"/>
      <c r="S26" s="1570"/>
      <c r="T26" s="1569"/>
      <c r="U26" s="1570"/>
      <c r="V26" s="1569"/>
      <c r="W26" s="1570"/>
      <c r="X26" s="1571"/>
      <c r="Y26" s="3400"/>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58" t="str">
        <f t="shared" ref="Q27" si="9">B27</f>
        <v>基础设施水平</v>
      </c>
      <c r="R27" s="1569" t="s">
        <v>8</v>
      </c>
      <c r="S27" s="1570">
        <f>F27</f>
        <v>100</v>
      </c>
      <c r="T27" s="1569" t="s">
        <v>8</v>
      </c>
      <c r="U27" s="1570">
        <f>H27</f>
        <v>100</v>
      </c>
      <c r="V27" s="1569" t="s">
        <v>8</v>
      </c>
      <c r="W27" s="1570">
        <f>J27</f>
        <v>100</v>
      </c>
      <c r="X27" s="1571"/>
      <c r="Y27" s="340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0"/>
      <c r="Q28" s="2558"/>
      <c r="R28" s="1569"/>
      <c r="S28" s="1570"/>
      <c r="T28" s="1569"/>
      <c r="U28" s="1570"/>
      <c r="V28" s="1569"/>
      <c r="W28" s="1570"/>
      <c r="X28" s="1571"/>
      <c r="Y28" s="340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0"/>
      <c r="Q31" s="1573"/>
      <c r="R31" s="1574"/>
      <c r="S31" s="1575"/>
      <c r="T31" s="1574"/>
      <c r="U31" s="1575"/>
      <c r="V31" s="1574"/>
      <c r="W31" s="1575"/>
      <c r="X31" s="1568"/>
      <c r="Y31" s="340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97" t="str">
        <f>A43</f>
        <v>成交单价</v>
      </c>
      <c r="Q43" s="3397"/>
      <c r="R43" s="3411">
        <f>E43</f>
        <v>0</v>
      </c>
      <c r="S43" s="3411"/>
      <c r="T43" s="3411">
        <f>G43</f>
        <v>0</v>
      </c>
      <c r="U43" s="3411"/>
      <c r="V43" s="3411">
        <f>I43</f>
        <v>0</v>
      </c>
      <c r="W43" s="341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7" t="str">
        <f>A44</f>
        <v>比较价格（元/平方米）</v>
      </c>
      <c r="Q44" s="3397"/>
      <c r="R44" s="3421" t="e">
        <f>ROUND(PRODUCT(R43,AA9:AA42),0)</f>
        <v>#DIV/0!</v>
      </c>
      <c r="S44" s="3421"/>
      <c r="T44" s="3421" t="e">
        <f>ROUND(PRODUCT(T43,AB9:AB42),0)</f>
        <v>#DIV/0!</v>
      </c>
      <c r="U44" s="3421"/>
      <c r="V44" s="3421" t="e">
        <f>ROUND(PRODUCT(V43,AC9:AC42),0)</f>
        <v>#DIV/0!</v>
      </c>
      <c r="W44" s="342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418" t="str">
        <f>A45</f>
        <v>估价对象XX用房的比较价格（楼面单价，元/平方米）</v>
      </c>
      <c r="Q45" s="3419"/>
      <c r="R45" s="3420" t="e">
        <f>ROUND(AVERAGE(R44:V44),0)</f>
        <v>#DIV/0!</v>
      </c>
      <c r="S45" s="3420"/>
      <c r="T45" s="3420"/>
      <c r="U45" s="3420"/>
      <c r="V45" s="3420"/>
      <c r="W45" s="342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2" t="s">
        <v>2285</v>
      </c>
      <c r="H52" s="3423"/>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24"/>
      <c r="H53" s="342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6"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34"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35"/>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44" t="s">
        <v>2784</v>
      </c>
      <c r="X8" s="3445"/>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35"/>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43"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5"/>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4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5"/>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43"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34"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43"/>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6"/>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43"/>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36"/>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3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3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0"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8" t="s">
        <v>1634</v>
      </c>
      <c r="B90" s="3438"/>
      <c r="C90" s="3438"/>
      <c r="D90" s="3438"/>
      <c r="E90" s="3438"/>
      <c r="F90" s="3438"/>
      <c r="G90" s="3438"/>
      <c r="H90" s="3438"/>
      <c r="I90" s="3438"/>
      <c r="J90" s="3438"/>
      <c r="K90" s="2430"/>
      <c r="L90" s="2430"/>
      <c r="M90" s="2430"/>
      <c r="N90" s="2430"/>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6"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47"/>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47"/>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47"/>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47"/>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47"/>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47"/>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47"/>
      <c r="B108" s="344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8"/>
      <c r="B109" s="3450"/>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33" t="s">
        <v>1640</v>
      </c>
      <c r="B110" s="3433"/>
      <c r="C110" s="3433"/>
      <c r="D110" s="3433"/>
      <c r="E110" s="3433"/>
      <c r="F110" s="3433"/>
      <c r="G110" s="3433"/>
      <c r="H110" s="3433"/>
      <c r="I110" s="3433"/>
      <c r="J110" s="3433"/>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9" t="s">
        <v>1008</v>
      </c>
      <c r="B18" s="1154" t="s">
        <v>1447</v>
      </c>
      <c r="C18" s="1131" t="s">
        <v>1448</v>
      </c>
      <c r="D18" s="1132"/>
      <c r="E18" s="1154">
        <v>1</v>
      </c>
      <c r="F18" s="1133" t="s">
        <v>1449</v>
      </c>
      <c r="G18" s="1134"/>
      <c r="H18" s="1105"/>
      <c r="I18" s="1105"/>
    </row>
    <row r="19" spans="1:9" s="1600" customFormat="1" ht="19.5" customHeight="1">
      <c r="A19" s="3439"/>
      <c r="B19" s="3439" t="s">
        <v>1450</v>
      </c>
      <c r="C19" s="1131" t="s">
        <v>1451</v>
      </c>
      <c r="D19" s="1132"/>
      <c r="E19" s="1154">
        <v>0.9</v>
      </c>
      <c r="F19" s="1133" t="s">
        <v>1452</v>
      </c>
      <c r="G19" s="1134"/>
      <c r="H19" s="1105"/>
      <c r="I19" s="1105"/>
    </row>
    <row r="20" spans="1:9" s="1600" customFormat="1" ht="19.5" customHeight="1">
      <c r="A20" s="3439"/>
      <c r="B20" s="3439"/>
      <c r="C20" s="1131" t="s">
        <v>1453</v>
      </c>
      <c r="D20" s="1132"/>
      <c r="E20" s="1154">
        <v>1.1000000000000001</v>
      </c>
      <c r="F20" s="1133" t="s">
        <v>1454</v>
      </c>
      <c r="G20" s="1134"/>
      <c r="H20" s="1105"/>
      <c r="I20" s="1105"/>
    </row>
    <row r="21" spans="1:9" s="1600" customFormat="1" ht="19.5" customHeight="1">
      <c r="A21" s="3439"/>
      <c r="B21" s="3439"/>
      <c r="C21" s="1131" t="s">
        <v>1455</v>
      </c>
      <c r="D21" s="1132"/>
      <c r="E21" s="1154">
        <v>0.8</v>
      </c>
      <c r="F21" s="1133" t="s">
        <v>1456</v>
      </c>
      <c r="G21" s="1134"/>
      <c r="H21" s="1105"/>
      <c r="I21" s="1105"/>
    </row>
    <row r="22" spans="1:9" s="1600" customFormat="1" ht="19.5" customHeight="1">
      <c r="A22" s="3439"/>
      <c r="B22" s="3439"/>
      <c r="C22" s="1131" t="s">
        <v>1457</v>
      </c>
      <c r="D22" s="1132"/>
      <c r="E22" s="1154">
        <v>0.5</v>
      </c>
      <c r="F22" s="1133"/>
      <c r="G22" s="1134"/>
      <c r="H22" s="1105"/>
      <c r="I22" s="1105"/>
    </row>
    <row r="23" spans="1:9" s="1600" customFormat="1" ht="19.5" customHeight="1">
      <c r="A23" s="3439" t="s">
        <v>1030</v>
      </c>
      <c r="B23" s="1154" t="s">
        <v>1447</v>
      </c>
      <c r="C23" s="1131" t="s">
        <v>1458</v>
      </c>
      <c r="D23" s="1132"/>
      <c r="E23" s="1154">
        <v>1</v>
      </c>
      <c r="F23" s="1133" t="s">
        <v>1459</v>
      </c>
      <c r="G23" s="1134"/>
      <c r="H23" s="1105"/>
      <c r="I23" s="1105"/>
    </row>
    <row r="24" spans="1:9" s="1600" customFormat="1" ht="19.5" customHeight="1">
      <c r="A24" s="3439"/>
      <c r="B24" s="3439" t="s">
        <v>1450</v>
      </c>
      <c r="C24" s="1131" t="s">
        <v>1460</v>
      </c>
      <c r="D24" s="1132"/>
      <c r="E24" s="1154">
        <v>0.5</v>
      </c>
      <c r="F24" s="1133"/>
      <c r="G24" s="1134"/>
      <c r="H24" s="1105"/>
      <c r="I24" s="1105"/>
    </row>
    <row r="25" spans="1:9" s="1600" customFormat="1" ht="19.5" customHeight="1">
      <c r="A25" s="3439"/>
      <c r="B25" s="3439"/>
      <c r="C25" s="1131" t="s">
        <v>1461</v>
      </c>
      <c r="D25" s="1132"/>
      <c r="E25" s="1154">
        <v>1.1000000000000001</v>
      </c>
      <c r="F25" s="1133"/>
      <c r="G25" s="1134"/>
      <c r="H25" s="1105"/>
      <c r="I25" s="1105"/>
    </row>
    <row r="26" spans="1:9" s="1600" customFormat="1" ht="19.5" customHeight="1">
      <c r="A26" s="3439"/>
      <c r="B26" s="3439"/>
      <c r="C26" s="1131" t="s">
        <v>1462</v>
      </c>
      <c r="D26" s="1132"/>
      <c r="E26" s="1154">
        <v>1.1000000000000001</v>
      </c>
      <c r="F26" s="1133"/>
      <c r="G26" s="1134"/>
      <c r="H26" s="1105"/>
      <c r="I26" s="1105"/>
    </row>
    <row r="27" spans="1:9" s="1600" customFormat="1" ht="19.5" customHeight="1">
      <c r="A27" s="3439"/>
      <c r="B27" s="3439"/>
      <c r="C27" s="1131" t="s">
        <v>1463</v>
      </c>
      <c r="D27" s="1132"/>
      <c r="E27" s="1154">
        <v>0.9</v>
      </c>
      <c r="F27" s="1133" t="s">
        <v>1464</v>
      </c>
      <c r="G27" s="1134"/>
      <c r="H27" s="1105"/>
      <c r="I27" s="1105"/>
    </row>
    <row r="28" spans="1:9" s="1600" customFormat="1" ht="19.5" customHeight="1">
      <c r="A28" s="3439"/>
      <c r="B28" s="3439"/>
      <c r="C28" s="1131" t="s">
        <v>1465</v>
      </c>
      <c r="D28" s="1132"/>
      <c r="E28" s="1154">
        <v>0.9</v>
      </c>
      <c r="F28" s="1133" t="s">
        <v>1466</v>
      </c>
      <c r="G28" s="1134"/>
      <c r="H28" s="1105"/>
      <c r="I28" s="1105"/>
    </row>
    <row r="29" spans="1:9" s="1600" customFormat="1" ht="19.5" customHeight="1">
      <c r="A29" s="3439"/>
      <c r="B29" s="3439"/>
      <c r="C29" s="1131" t="s">
        <v>1467</v>
      </c>
      <c r="D29" s="1132"/>
      <c r="E29" s="1154">
        <v>0.9</v>
      </c>
      <c r="F29" s="1133" t="s">
        <v>1468</v>
      </c>
      <c r="G29" s="1134"/>
      <c r="H29" s="1105"/>
      <c r="I29" s="1105"/>
    </row>
    <row r="30" spans="1:9" s="1600" customFormat="1" ht="19.5" customHeight="1">
      <c r="A30" s="3439"/>
      <c r="B30" s="3439"/>
      <c r="C30" s="1131" t="s">
        <v>1469</v>
      </c>
      <c r="D30" s="1132"/>
      <c r="E30" s="1154">
        <v>0.9</v>
      </c>
      <c r="F30" s="1133" t="s">
        <v>1470</v>
      </c>
      <c r="G30" s="1134"/>
      <c r="H30" s="1105"/>
      <c r="I30" s="1105"/>
    </row>
    <row r="31" spans="1:9" s="1600" customFormat="1" ht="19.5" customHeight="1">
      <c r="A31" s="3439"/>
      <c r="B31" s="3439"/>
      <c r="C31" s="1131" t="s">
        <v>1471</v>
      </c>
      <c r="D31" s="1132"/>
      <c r="E31" s="1154">
        <v>0.8</v>
      </c>
      <c r="F31" s="1133" t="s">
        <v>1472</v>
      </c>
      <c r="G31" s="1134"/>
      <c r="H31" s="1105"/>
      <c r="I31" s="1105"/>
    </row>
    <row r="32" spans="1:9" s="1600" customFormat="1" ht="19.5" customHeight="1">
      <c r="A32" s="3439"/>
      <c r="B32" s="3439"/>
      <c r="C32" s="1131" t="s">
        <v>1473</v>
      </c>
      <c r="D32" s="1132"/>
      <c r="E32" s="1154">
        <v>0.8</v>
      </c>
      <c r="F32" s="1133" t="s">
        <v>1474</v>
      </c>
      <c r="G32" s="1134"/>
      <c r="H32" s="1105"/>
      <c r="I32" s="1105"/>
    </row>
    <row r="33" spans="1:9" s="1600" customFormat="1" ht="19.5" customHeight="1">
      <c r="A33" s="3439" t="s">
        <v>1475</v>
      </c>
      <c r="B33" s="1154" t="s">
        <v>1447</v>
      </c>
      <c r="C33" s="1131" t="s">
        <v>1476</v>
      </c>
      <c r="D33" s="1132"/>
      <c r="E33" s="1154">
        <v>1</v>
      </c>
      <c r="F33" s="1133" t="s">
        <v>1477</v>
      </c>
      <c r="G33" s="1134"/>
      <c r="H33" s="1105"/>
      <c r="I33" s="1105"/>
    </row>
    <row r="34" spans="1:9" s="1600" customFormat="1" ht="19.5" customHeight="1">
      <c r="A34" s="3439"/>
      <c r="B34" s="1154" t="s">
        <v>1450</v>
      </c>
      <c r="C34" s="1131" t="s">
        <v>1478</v>
      </c>
      <c r="D34" s="1132"/>
      <c r="E34" s="1154">
        <v>1.5</v>
      </c>
      <c r="F34" s="1133" t="s">
        <v>1479</v>
      </c>
      <c r="G34" s="1134"/>
      <c r="H34" s="1105"/>
      <c r="I34" s="1105"/>
    </row>
    <row r="35" spans="1:9" s="1600" customFormat="1" ht="19.5" customHeight="1">
      <c r="A35" s="3439" t="s">
        <v>1433</v>
      </c>
      <c r="B35" s="1154" t="s">
        <v>1447</v>
      </c>
      <c r="C35" s="1131" t="s">
        <v>1480</v>
      </c>
      <c r="D35" s="1132"/>
      <c r="E35" s="1154">
        <v>1</v>
      </c>
      <c r="F35" s="1133" t="s">
        <v>1481</v>
      </c>
      <c r="G35" s="1134"/>
      <c r="H35" s="1105"/>
      <c r="I35" s="1105"/>
    </row>
    <row r="36" spans="1:9" s="1600" customFormat="1" ht="19.5" customHeight="1">
      <c r="A36" s="3439"/>
      <c r="B36" s="3439" t="s">
        <v>1450</v>
      </c>
      <c r="C36" s="1131" t="s">
        <v>1482</v>
      </c>
      <c r="D36" s="1132"/>
      <c r="E36" s="1154">
        <v>1</v>
      </c>
      <c r="F36" s="1133" t="s">
        <v>1483</v>
      </c>
      <c r="G36" s="1134"/>
      <c r="H36" s="1105"/>
      <c r="I36" s="1105"/>
    </row>
    <row r="37" spans="1:9" s="1600" customFormat="1" ht="19.5" customHeight="1">
      <c r="A37" s="3439"/>
      <c r="B37" s="3439"/>
      <c r="C37" s="1131" t="s">
        <v>1484</v>
      </c>
      <c r="D37" s="1132"/>
      <c r="E37" s="1154">
        <v>1.5</v>
      </c>
      <c r="F37" s="1133" t="s">
        <v>1485</v>
      </c>
      <c r="G37" s="1134"/>
      <c r="H37" s="1105"/>
      <c r="I37" s="1105"/>
    </row>
    <row r="38" spans="1:9" s="1600" customFormat="1" ht="19.5" customHeight="1">
      <c r="A38" s="3439"/>
      <c r="B38" s="3439"/>
      <c r="C38" s="1131" t="s">
        <v>1486</v>
      </c>
      <c r="D38" s="1132"/>
      <c r="E38" s="1154">
        <v>1</v>
      </c>
      <c r="F38" s="1133" t="s">
        <v>1487</v>
      </c>
      <c r="G38" s="1134"/>
      <c r="H38" s="1105"/>
      <c r="I38" s="1105"/>
    </row>
    <row r="39" spans="1:9" s="1600" customFormat="1" ht="19.5" customHeight="1">
      <c r="A39" s="3439"/>
      <c r="B39" s="343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5" t="s">
        <v>2080</v>
      </c>
      <c r="B1" s="3455"/>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81" t="s">
        <v>2464</v>
      </c>
      <c r="C8" s="1826">
        <f ca="1">ROUND(F8*F10*F9*(1-F11)/10000,0)</f>
        <v>0</v>
      </c>
      <c r="D8" s="1823" t="s">
        <v>2535</v>
      </c>
      <c r="E8" s="61" t="s">
        <v>637</v>
      </c>
      <c r="F8" s="785">
        <f ca="1">INDIRECT("'数据-取费表'!u"&amp;$G$1)</f>
        <v>0</v>
      </c>
      <c r="G8" s="1593"/>
      <c r="H8" s="2484" t="s">
        <v>1825</v>
      </c>
      <c r="I8" s="3281" t="s">
        <v>2464</v>
      </c>
      <c r="J8" s="783">
        <f ca="1">ROUND(M8*M10*M9*(1-M11)/10000,0)</f>
        <v>0</v>
      </c>
      <c r="K8" s="341" t="s">
        <v>2535</v>
      </c>
      <c r="L8" s="784" t="s">
        <v>1739</v>
      </c>
      <c r="M8" s="785">
        <f ca="1">INDIRECT("'数据-取费表'!z"&amp;$G$1)</f>
        <v>0</v>
      </c>
    </row>
    <row r="9" spans="1:25" ht="18" customHeight="1">
      <c r="A9" s="2480"/>
      <c r="B9" s="3282"/>
      <c r="C9" s="1827"/>
      <c r="D9" s="1824"/>
      <c r="E9" s="61" t="s">
        <v>638</v>
      </c>
      <c r="F9" s="785">
        <f ca="1">IF(INDIRECT("'数据-取费表'!ah"&amp;$G$1)="",INDIRECT("'数据-取费表'!k"&amp;$G$1),INDIRECT("'数据-取费表'!ah"&amp;$G$1))</f>
        <v>0</v>
      </c>
      <c r="G9" s="1593"/>
      <c r="H9" s="2469"/>
      <c r="I9" s="3282"/>
      <c r="J9" s="788"/>
      <c r="K9" s="789"/>
      <c r="L9" s="784" t="s">
        <v>1740</v>
      </c>
      <c r="M9" s="785">
        <f ca="1">F9</f>
        <v>0</v>
      </c>
    </row>
    <row r="10" spans="1:25" ht="18" customHeight="1">
      <c r="A10" s="2473"/>
      <c r="B10" s="3283"/>
      <c r="C10" s="1827"/>
      <c r="D10" s="1824"/>
      <c r="E10" s="61" t="s">
        <v>639</v>
      </c>
      <c r="F10" s="785">
        <f ca="1">INDIRECT("'数据-取费表'!ai"&amp;$G$1)</f>
        <v>365</v>
      </c>
      <c r="G10" s="1593"/>
      <c r="H10" s="2469"/>
      <c r="I10" s="3283"/>
      <c r="J10" s="788"/>
      <c r="K10" s="789"/>
      <c r="L10" s="784" t="s">
        <v>1741</v>
      </c>
      <c r="M10" s="785">
        <f ca="1">INDIRECT("'数据-取费表'!ai"&amp;$G$1)</f>
        <v>365</v>
      </c>
    </row>
    <row r="11" spans="1:25" ht="18" customHeight="1">
      <c r="A11" s="786"/>
      <c r="B11" s="3284"/>
      <c r="C11" s="1827"/>
      <c r="D11" s="1824"/>
      <c r="E11" s="61" t="s">
        <v>640</v>
      </c>
      <c r="F11" s="794">
        <f ca="1">INDIRECT("'数据-取费表'!w"&amp;$G$1)</f>
        <v>0.1</v>
      </c>
      <c r="G11" s="1593"/>
      <c r="H11" s="2485"/>
      <c r="I11" s="3283"/>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170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6"/>
      <c r="J36" s="2080"/>
      <c r="K36" s="2081"/>
      <c r="L36" s="2080"/>
      <c r="M36" s="2080"/>
    </row>
    <row r="37" spans="1:18" ht="18" customHeight="1">
      <c r="A37" s="815"/>
      <c r="B37" s="793"/>
      <c r="C37" s="69"/>
      <c r="D37" s="816"/>
      <c r="E37" s="784" t="s">
        <v>674</v>
      </c>
      <c r="F37" s="785">
        <f ca="1">INDIRECT("'数据-取费表'!r"&amp;$G$1)</f>
        <v>0</v>
      </c>
      <c r="G37" s="2063"/>
      <c r="H37" s="2066"/>
      <c r="I37" s="3456"/>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7"/>
      <c r="L54" s="3458"/>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1" t="s">
        <v>2577</v>
      </c>
      <c r="C1" s="3461"/>
      <c r="D1" s="3461"/>
      <c r="E1" s="3461"/>
      <c r="F1" s="3461"/>
      <c r="G1" s="3460" t="s">
        <v>2578</v>
      </c>
      <c r="H1" s="3460"/>
      <c r="I1" s="3460"/>
      <c r="J1" s="3460"/>
      <c r="K1" s="3460"/>
      <c r="L1" s="3460"/>
      <c r="N1" s="3460" t="s">
        <v>2579</v>
      </c>
      <c r="O1" s="3460"/>
      <c r="P1" s="3460"/>
      <c r="Q1" s="3460"/>
      <c r="R1" s="2634"/>
      <c r="S1" s="3460" t="s">
        <v>2580</v>
      </c>
      <c r="T1" s="3460"/>
      <c r="U1" s="3460"/>
      <c r="V1" s="3460"/>
      <c r="X1" s="3459" t="s">
        <v>2640</v>
      </c>
      <c r="Y1" s="3460"/>
      <c r="Z1" s="3460"/>
      <c r="AA1" s="3460"/>
      <c r="AB1" s="3460"/>
      <c r="AD1" s="3459" t="s">
        <v>2644</v>
      </c>
      <c r="AE1" s="3460"/>
      <c r="AF1" s="3460"/>
      <c r="AG1" s="3460"/>
      <c r="AH1" s="346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3">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9"/>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6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6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69"/>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65">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6"/>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6"/>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7"/>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6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6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6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6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6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6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6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6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6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6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6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6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6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6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6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6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6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6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6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6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6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6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6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6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6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6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6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6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6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6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6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6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6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6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6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6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3096</v>
      </c>
      <c r="D1" s="3102" t="s">
        <v>3058</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30585</v>
      </c>
      <c r="C2" s="2058"/>
      <c r="D2" s="2056"/>
      <c r="E2" s="2057"/>
      <c r="F2" s="2057"/>
      <c r="G2" s="1591"/>
      <c r="H2" s="2058"/>
      <c r="I2" s="2058"/>
      <c r="J2" s="2058"/>
      <c r="K2" s="2059"/>
      <c r="L2" s="2058"/>
      <c r="M2" s="2058"/>
    </row>
    <row r="3" spans="1:33" ht="18" customHeight="1" thickBot="1">
      <c r="A3" s="833" t="s">
        <v>519</v>
      </c>
      <c r="B3" s="834">
        <f ca="1">IF(ISERROR(B2*10000/F43),0,ROUND(B2*10000/F43,0))</f>
        <v>7646</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1842</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1840</v>
      </c>
      <c r="D6" s="2477" t="s">
        <v>2463</v>
      </c>
      <c r="E6" s="784" t="s">
        <v>637</v>
      </c>
      <c r="F6" s="785">
        <f ca="1">INDIRECT("'数据-取费表'!u"&amp;$G$1)</f>
        <v>1.4</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40000</v>
      </c>
      <c r="G7" s="1593"/>
      <c r="H7" s="2469"/>
      <c r="I7" s="3282"/>
      <c r="J7" s="788"/>
      <c r="K7" s="789"/>
      <c r="L7" s="784" t="s">
        <v>638</v>
      </c>
      <c r="M7" s="785">
        <f ca="1">F7</f>
        <v>40000</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11664</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11664</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1189</v>
      </c>
      <c r="K16" s="1822" t="s">
        <v>652</v>
      </c>
      <c r="L16" s="3181"/>
      <c r="M16" s="2471"/>
    </row>
    <row r="17" spans="1:33" s="2065" customFormat="1" ht="18" customHeight="1">
      <c r="A17" s="1649" t="s">
        <v>1888</v>
      </c>
      <c r="B17" s="784" t="s">
        <v>653</v>
      </c>
      <c r="C17" s="53">
        <f ca="1">ROUND(F17*(F43+INDIRECT("'数据-取费表'!S"&amp;$G$1))/10000,0)</f>
        <v>933</v>
      </c>
      <c r="D17" s="784" t="s">
        <v>654</v>
      </c>
      <c r="E17" s="784" t="s">
        <v>655</v>
      </c>
      <c r="F17" s="56">
        <f>'数据-取费表'!B35</f>
        <v>170</v>
      </c>
      <c r="G17" s="1594"/>
      <c r="H17" s="1650" t="s">
        <v>1825</v>
      </c>
      <c r="I17" s="784" t="s">
        <v>656</v>
      </c>
      <c r="J17" s="53">
        <f ca="1">ROUND(IF(项目基本情况!B11="自然人",J5*M17,J18+J19+J20),0)</f>
        <v>1014</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8457</v>
      </c>
      <c r="D19" s="261" t="s">
        <v>663</v>
      </c>
      <c r="E19" s="3183"/>
      <c r="F19" s="56"/>
      <c r="G19" s="1593"/>
      <c r="H19" s="1649" t="s">
        <v>1833</v>
      </c>
      <c r="I19" s="784" t="s">
        <v>664</v>
      </c>
      <c r="J19" s="53">
        <f ca="1">IF(K19="按租金收入计税",ROUND(J5*M19,1),ROUND(C29*F33*0.7,1))</f>
        <v>979.8</v>
      </c>
      <c r="K19" s="811" t="s">
        <v>665</v>
      </c>
      <c r="L19" s="784" t="s">
        <v>649</v>
      </c>
      <c r="M19" s="809">
        <f>IF(K19="按租金收入计税",'数据-取费表'!B51,'数据-取费表'!B50)</f>
        <v>1.2E-2</v>
      </c>
    </row>
    <row r="20" spans="1:33" s="2065" customFormat="1" ht="18" customHeight="1">
      <c r="A20" s="1650" t="s">
        <v>1890</v>
      </c>
      <c r="B20" s="784" t="s">
        <v>666</v>
      </c>
      <c r="C20" s="53">
        <f ca="1">ROUND(C19*F20,0)</f>
        <v>169</v>
      </c>
      <c r="D20" s="812" t="s">
        <v>667</v>
      </c>
      <c r="E20" s="784" t="s">
        <v>649</v>
      </c>
      <c r="F20" s="809">
        <f>'数据-取费表'!B37</f>
        <v>0.02</v>
      </c>
      <c r="G20" s="1594"/>
      <c r="H20" s="1652" t="s">
        <v>1834</v>
      </c>
      <c r="I20" s="341" t="s">
        <v>668</v>
      </c>
      <c r="J20" s="54">
        <f ca="1">ROUND(M20*M21/10000,0)</f>
        <v>34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20988.989999999998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175</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410</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-1189</v>
      </c>
      <c r="K25" s="2528" t="s">
        <v>700</v>
      </c>
      <c r="L25" s="2529"/>
      <c r="M25" s="2530"/>
    </row>
    <row r="26" spans="1:33" ht="18" customHeight="1">
      <c r="A26" s="1649" t="s">
        <v>1832</v>
      </c>
      <c r="B26" s="784" t="s">
        <v>2439</v>
      </c>
      <c r="C26" s="53">
        <f ca="1">ROUND((C19+C20)*F26,0)</f>
        <v>1725</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4.0000000000000001E-3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11664</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562</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351.1</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96.5</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221</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33.6</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20988.989999999998</v>
      </c>
      <c r="G35" s="2063"/>
      <c r="H35" s="2066"/>
      <c r="I35" s="837" t="s">
        <v>1815</v>
      </c>
      <c r="J35" s="838">
        <f ca="1">ROUND(C13*J36,0)</f>
        <v>933</v>
      </c>
      <c r="K35" s="2079"/>
      <c r="L35" s="2078"/>
      <c r="M35" s="2078"/>
    </row>
    <row r="36" spans="1:18" ht="18" customHeight="1">
      <c r="A36" s="1650" t="s">
        <v>1890</v>
      </c>
      <c r="B36" s="784" t="s">
        <v>676</v>
      </c>
      <c r="C36" s="53">
        <f ca="1">ROUND(C29*F36,1)</f>
        <v>175</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17.5</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18.399999999999999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1280</v>
      </c>
      <c r="D39" s="2528" t="s">
        <v>700</v>
      </c>
      <c r="E39" s="2529"/>
      <c r="F39" s="2530"/>
      <c r="G39" s="2063"/>
      <c r="H39" s="2078"/>
      <c r="I39" s="837" t="s">
        <v>1819</v>
      </c>
      <c r="J39" s="845">
        <f ca="1">ROUND(J35/C39,3)</f>
        <v>0.72899999999999998</v>
      </c>
      <c r="K39" s="2084"/>
      <c r="L39" s="2078"/>
      <c r="M39" s="2078"/>
    </row>
    <row r="40" spans="1:18" ht="18" customHeight="1">
      <c r="A40" s="781" t="s">
        <v>1781</v>
      </c>
      <c r="B40" s="2233" t="s">
        <v>2302</v>
      </c>
      <c r="C40" s="783">
        <f ca="1">ROUND(C39*(1-((1+F42)/(1+F40))^F41)/(F40-F42),0)</f>
        <v>30585</v>
      </c>
      <c r="D40" s="814" t="s">
        <v>704</v>
      </c>
      <c r="E40" s="784" t="s">
        <v>2420</v>
      </c>
      <c r="F40" s="794">
        <f ca="1">INDIRECT("'数据-取费表'!I"&amp;$G$1)</f>
        <v>4.4999999999999998E-2</v>
      </c>
      <c r="G40" s="2063"/>
      <c r="H40" s="2063"/>
      <c r="I40" s="837" t="s">
        <v>1820</v>
      </c>
      <c r="J40" s="845">
        <f ca="1">1-J39</f>
        <v>0.27100000000000002</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2.5000000000000001E-2</v>
      </c>
      <c r="G42" s="2063"/>
      <c r="H42" s="1989"/>
      <c r="I42" s="847" t="s">
        <v>1822</v>
      </c>
      <c r="J42" s="845">
        <f ca="1">ROUND(C13/C40,3)</f>
        <v>0.38100000000000001</v>
      </c>
      <c r="K42" s="2083"/>
      <c r="L42" s="1989"/>
      <c r="M42" s="1989"/>
    </row>
    <row r="43" spans="1:18" ht="18" customHeight="1" thickBot="1">
      <c r="A43" s="823" t="s">
        <v>1788</v>
      </c>
      <c r="B43" s="824" t="s">
        <v>1811</v>
      </c>
      <c r="C43" s="825">
        <f ca="1">ROUND(C40*10000/F43,0)</f>
        <v>7646</v>
      </c>
      <c r="D43" s="826" t="s">
        <v>1812</v>
      </c>
      <c r="E43" s="827" t="s">
        <v>1813</v>
      </c>
      <c r="F43" s="828">
        <f ca="1">INDIRECT("'数据-取费表'!k"&amp;$G$1)</f>
        <v>40000</v>
      </c>
      <c r="G43" s="2063"/>
      <c r="H43" s="1989"/>
      <c r="I43" s="847" t="s">
        <v>1823</v>
      </c>
      <c r="J43" s="848">
        <f ca="1">1-J42</f>
        <v>0.61899999999999999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-34464</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30585</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317</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11664</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6528</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30902</v>
      </c>
      <c r="R54" s="2383" t="s">
        <v>2393</v>
      </c>
    </row>
    <row r="55" spans="1:18" s="2060" customFormat="1" ht="18" customHeight="1" thickTop="1" thickBot="1">
      <c r="A55" s="797">
        <v>2</v>
      </c>
      <c r="B55" s="798" t="s">
        <v>644</v>
      </c>
      <c r="C55" s="799">
        <f ca="1">C13</f>
        <v>11664</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11664</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226</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30585</v>
      </c>
      <c r="R57" s="2379" t="s">
        <v>2381</v>
      </c>
    </row>
    <row r="58" spans="1:18" s="2060" customFormat="1" ht="28.5" customHeight="1" thickBot="1">
      <c r="A58" s="1650" t="s">
        <v>1825</v>
      </c>
      <c r="B58" s="784" t="s">
        <v>656</v>
      </c>
      <c r="C58" s="53">
        <f ca="1">ROUND(IF(项目基本情况!B11="自然人",C47*F58,C59+C60+C61),1)</f>
        <v>33.6</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4934</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317</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33.6</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20988.989999999998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175</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30585</v>
      </c>
      <c r="R63" s="2383" t="s">
        <v>2393</v>
      </c>
    </row>
    <row r="64" spans="1:18" s="2060" customFormat="1" ht="16.5" thickBot="1">
      <c r="A64" s="1650" t="s">
        <v>1891</v>
      </c>
      <c r="B64" s="784" t="s">
        <v>679</v>
      </c>
      <c r="C64" s="53">
        <f ca="1">ROUND(C55*F64,1)</f>
        <v>17.5</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-226</v>
      </c>
      <c r="D66" s="3179" t="s">
        <v>700</v>
      </c>
      <c r="E66" s="3182"/>
      <c r="F66" s="820"/>
      <c r="K66" s="2087"/>
      <c r="O66" s="2378" t="s">
        <v>2380</v>
      </c>
      <c r="P66" s="2379" t="s">
        <v>2406</v>
      </c>
      <c r="Q66" s="2380">
        <f ca="1">C40+J29</f>
        <v>30585</v>
      </c>
      <c r="R66" s="2379" t="s">
        <v>2381</v>
      </c>
    </row>
    <row r="67" spans="1:18" s="2060" customFormat="1" ht="20.25" thickBot="1">
      <c r="A67" s="781" t="s">
        <v>1781</v>
      </c>
      <c r="B67" s="2233" t="s">
        <v>2302</v>
      </c>
      <c r="C67" s="783">
        <f ca="1">ROUND(C66*(1-((1+F69)/(1+F67))^F68)/(F67-F69),0)</f>
        <v>-3879</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6528</v>
      </c>
      <c r="R68" s="2386" t="s">
        <v>2417</v>
      </c>
    </row>
    <row r="69" spans="1:18" ht="20.25" thickBot="1">
      <c r="A69" s="790"/>
      <c r="B69" s="791"/>
      <c r="C69" s="792"/>
      <c r="D69" s="816"/>
      <c r="E69" s="784" t="s">
        <v>710</v>
      </c>
      <c r="F69" s="2351"/>
      <c r="O69" s="2381" t="s">
        <v>2385</v>
      </c>
      <c r="P69" s="2387" t="s">
        <v>2399</v>
      </c>
      <c r="Q69" s="2380">
        <f ca="1">ROUND(Q70-Q71*Q72,0)</f>
        <v>347</v>
      </c>
      <c r="R69" s="2383"/>
    </row>
    <row r="70" spans="1:18" ht="15.75" thickBot="1">
      <c r="A70" s="823" t="s">
        <v>1788</v>
      </c>
      <c r="B70" s="824" t="s">
        <v>1811</v>
      </c>
      <c r="C70" s="825">
        <f ca="1">ROUND(C67*10000/F70,0)</f>
        <v>-970</v>
      </c>
      <c r="D70" s="826" t="s">
        <v>1812</v>
      </c>
      <c r="E70" s="827" t="s">
        <v>1813</v>
      </c>
      <c r="F70" s="828">
        <f ca="1">F43</f>
        <v>40000</v>
      </c>
      <c r="O70" s="2381" t="s">
        <v>2400</v>
      </c>
      <c r="P70" s="2387" t="s">
        <v>2401</v>
      </c>
      <c r="Q70" s="2380">
        <f ca="1">C39</f>
        <v>1280</v>
      </c>
      <c r="R70" s="2379" t="s">
        <v>2381</v>
      </c>
    </row>
    <row r="71" spans="1:18" ht="15.75" thickBot="1">
      <c r="O71" s="2381" t="s">
        <v>2402</v>
      </c>
      <c r="P71" s="2387" t="s">
        <v>2403</v>
      </c>
      <c r="Q71" s="2380">
        <f ca="1">C13</f>
        <v>11664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30585</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16574</v>
      </c>
      <c r="C2" s="2058"/>
      <c r="D2" s="2056"/>
      <c r="E2" s="2057"/>
      <c r="F2" s="2057"/>
      <c r="G2" s="1591"/>
      <c r="H2" s="2058"/>
      <c r="I2" s="2058"/>
      <c r="J2" s="2058"/>
      <c r="K2" s="2059"/>
      <c r="L2" s="2058"/>
      <c r="M2" s="2058"/>
    </row>
    <row r="3" spans="1:33" ht="18" customHeight="1" thickBot="1">
      <c r="A3" s="833" t="s">
        <v>1728</v>
      </c>
      <c r="B3" s="834">
        <f ca="1">IF(ISERROR(B2*10000/F43),0,ROUND(B2*10000/F43,0))</f>
        <v>6865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1739</v>
      </c>
      <c r="F6" s="785">
        <f ca="1">INDIRECT("'数据-取费表'!u"&amp;$G$1)</f>
        <v>1.29</v>
      </c>
      <c r="G6" s="1593"/>
      <c r="H6" s="2484" t="s">
        <v>2469</v>
      </c>
      <c r="I6" s="3281" t="s">
        <v>2464</v>
      </c>
      <c r="J6" s="783">
        <f ca="1">ROUND(M6*M8*M7*(1-M9)/10000,0)</f>
        <v>0</v>
      </c>
      <c r="K6" s="341" t="s">
        <v>1738</v>
      </c>
      <c r="L6" s="784" t="s">
        <v>1739</v>
      </c>
      <c r="M6" s="785">
        <f ca="1">INDIRECT("'数据-取费表'!z"&amp;$G$1)</f>
        <v>0</v>
      </c>
    </row>
    <row r="7" spans="1:33" ht="18" customHeight="1">
      <c r="A7" s="2480"/>
      <c r="B7" s="3282"/>
      <c r="C7" s="788"/>
      <c r="D7" s="789"/>
      <c r="E7" s="784" t="s">
        <v>1740</v>
      </c>
      <c r="F7" s="785">
        <f ca="1">IF(INDIRECT("'数据-取费表'!ah"&amp;$G$1)="",INDIRECT("'数据-取费表'!k"&amp;$G$1),INDIRECT("'数据-取费表'!ah"&amp;$G$1))</f>
        <v>24142</v>
      </c>
      <c r="G7" s="1593"/>
      <c r="H7" s="2469"/>
      <c r="I7" s="3282"/>
      <c r="J7" s="788"/>
      <c r="K7" s="789"/>
      <c r="L7" s="784" t="s">
        <v>1740</v>
      </c>
      <c r="M7" s="785">
        <f ca="1">F7</f>
        <v>24142</v>
      </c>
    </row>
    <row r="8" spans="1:33" ht="18" customHeight="1">
      <c r="A8" s="2473"/>
      <c r="B8" s="3283"/>
      <c r="C8" s="788"/>
      <c r="D8" s="789"/>
      <c r="E8" s="784" t="s">
        <v>1741</v>
      </c>
      <c r="F8" s="785">
        <f ca="1">INDIRECT("'数据-取费表'!ai"&amp;$G$1)</f>
        <v>365</v>
      </c>
      <c r="G8" s="1593"/>
      <c r="H8" s="2469"/>
      <c r="I8" s="3283"/>
      <c r="J8" s="788"/>
      <c r="K8" s="789"/>
      <c r="L8" s="784" t="s">
        <v>1741</v>
      </c>
      <c r="M8" s="785">
        <f ca="1">INDIRECT("'数据-取费表'!ai"&amp;$G$1)</f>
        <v>365</v>
      </c>
    </row>
    <row r="9" spans="1:33" ht="18" customHeight="1">
      <c r="A9" s="786"/>
      <c r="B9" s="3284"/>
      <c r="C9" s="788"/>
      <c r="D9" s="789"/>
      <c r="E9" s="784" t="s">
        <v>1742</v>
      </c>
      <c r="F9" s="794">
        <f ca="1">INDIRECT("'数据-取费表'!w"&amp;$G$1)</f>
        <v>0.1</v>
      </c>
      <c r="G9" s="1593"/>
      <c r="H9" s="2485"/>
      <c r="I9" s="3283"/>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3062</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7330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7330</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746</v>
      </c>
      <c r="K16" s="1822" t="s">
        <v>1751</v>
      </c>
      <c r="L16" s="2466"/>
      <c r="M16" s="2471"/>
    </row>
    <row r="17" spans="1:33" s="2065" customFormat="1" ht="18" customHeight="1">
      <c r="A17" s="1649" t="s">
        <v>1888</v>
      </c>
      <c r="B17" s="784" t="s">
        <v>653</v>
      </c>
      <c r="C17" s="53">
        <f ca="1">ROUND(F17*(F43+INDIRECT("'数据-取费表'!S"&amp;$G$1))/10000,0)</f>
        <v>563</v>
      </c>
      <c r="D17" s="784" t="s">
        <v>1752</v>
      </c>
      <c r="E17" s="784" t="s">
        <v>1753</v>
      </c>
      <c r="F17" s="56">
        <f>'数据-取费表'!B35</f>
        <v>170</v>
      </c>
      <c r="G17" s="1594"/>
      <c r="H17" s="1650" t="s">
        <v>1831</v>
      </c>
      <c r="I17" s="784" t="s">
        <v>656</v>
      </c>
      <c r="J17" s="53">
        <f ca="1">ROUND(IF(项目基本情况!B11="自然人",J5*M17,J18+J19+J20),0)</f>
        <v>636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5104</v>
      </c>
      <c r="D19" s="261" t="s">
        <v>1758</v>
      </c>
      <c r="E19" s="1983"/>
      <c r="F19" s="56"/>
      <c r="G19" s="1593"/>
      <c r="H19" s="1649" t="s">
        <v>1886</v>
      </c>
      <c r="I19" s="784" t="s">
        <v>1759</v>
      </c>
      <c r="J19" s="53">
        <f ca="1">IF(K19="按租金收入计税",ROUND(J5*M19,1),ROUND(C29*F33*0.7,1))</f>
        <v>615.70000000000005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102</v>
      </c>
      <c r="D20" s="812" t="s">
        <v>1760</v>
      </c>
      <c r="E20" s="784" t="s">
        <v>1748</v>
      </c>
      <c r="F20" s="809">
        <f>'数据-取费表'!B37</f>
        <v>0.02</v>
      </c>
      <c r="G20" s="1594"/>
      <c r="H20" s="1652" t="s">
        <v>1881</v>
      </c>
      <c r="I20" s="341" t="s">
        <v>1761</v>
      </c>
      <c r="J20" s="54">
        <f ca="1">ROUND(M20*M21/10000,0)</f>
        <v>20</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247</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-746</v>
      </c>
      <c r="K25" s="2528" t="s">
        <v>1778</v>
      </c>
      <c r="L25" s="2529"/>
      <c r="M25" s="2530"/>
    </row>
    <row r="26" spans="1:33" ht="18" customHeight="1">
      <c r="A26" s="1649" t="s">
        <v>1832</v>
      </c>
      <c r="B26" s="784" t="s">
        <v>2439</v>
      </c>
      <c r="C26" s="53">
        <f ca="1">ROUND((C19+C20)*F26,0)</f>
        <v>1302</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196.8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53.6</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122.9</v>
      </c>
      <c r="D33" s="811" t="s">
        <v>3059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20.3</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12667.91</v>
      </c>
      <c r="G35" s="2063"/>
      <c r="H35" s="2066"/>
      <c r="I35" s="837" t="s">
        <v>1815</v>
      </c>
      <c r="J35" s="838">
        <f ca="1">ROUND(C13*J36,0)</f>
        <v>623</v>
      </c>
      <c r="K35" s="2079"/>
      <c r="L35" s="2078"/>
      <c r="M35" s="2078"/>
    </row>
    <row r="36" spans="1:18" ht="18" customHeight="1">
      <c r="A36" s="1650" t="s">
        <v>1890</v>
      </c>
      <c r="B36" s="784" t="s">
        <v>1803</v>
      </c>
      <c r="C36" s="53">
        <f ca="1">ROUND(C29*F36,1)</f>
        <v>110</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696</v>
      </c>
      <c r="D39" s="2528" t="s">
        <v>1807</v>
      </c>
      <c r="E39" s="2529"/>
      <c r="F39" s="2530"/>
      <c r="G39" s="2063"/>
      <c r="H39" s="2078"/>
      <c r="I39" s="837" t="s">
        <v>1819</v>
      </c>
      <c r="J39" s="845">
        <f ca="1">ROUND(J35/C39,3)</f>
        <v>0.89500000000000002</v>
      </c>
      <c r="K39" s="2084"/>
      <c r="L39" s="2078"/>
      <c r="M39" s="2078"/>
    </row>
    <row r="40" spans="1:18" ht="18" customHeight="1">
      <c r="A40" s="781" t="s">
        <v>1896</v>
      </c>
      <c r="B40" s="2233" t="s">
        <v>2302</v>
      </c>
      <c r="C40" s="783">
        <f ca="1">ROUND(C39*(1-((1+F42)/(1+F40))^F41)/(F40-F42),0)</f>
        <v>16574</v>
      </c>
      <c r="D40" s="814" t="s">
        <v>1808</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7330</v>
      </c>
      <c r="D56" s="2619"/>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16574</v>
      </c>
      <c r="R57" s="2379" t="s">
        <v>2381</v>
      </c>
    </row>
    <row r="58" spans="1:18" s="2060" customFormat="1" ht="28.5" customHeight="1" thickBot="1">
      <c r="A58" s="1650" t="s">
        <v>1825</v>
      </c>
      <c r="B58" s="784" t="s">
        <v>656</v>
      </c>
      <c r="C58" s="53">
        <f ca="1">ROUND(IF(项目基本情况!B11="自然人",C47*F58,C59+C60+C61),1)</f>
        <v>20.3</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2618" t="s">
        <v>700</v>
      </c>
      <c r="E66" s="2617"/>
      <c r="F66" s="820"/>
      <c r="K66" s="2087"/>
      <c r="O66" s="2378" t="s">
        <v>2380</v>
      </c>
      <c r="P66" s="2379" t="s">
        <v>2410</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2472</v>
      </c>
      <c r="B1" s="3487"/>
      <c r="C1" s="3488"/>
      <c r="D1" s="3489">
        <f>SUM(I10,I15,I20,I21,I23)</f>
        <v>0</v>
      </c>
      <c r="E1" s="3489"/>
      <c r="F1" s="3489"/>
      <c r="G1" s="3489"/>
      <c r="H1" s="3489"/>
      <c r="I1" s="3490"/>
    </row>
    <row r="2" spans="1:9">
      <c r="A2" s="3476" t="s">
        <v>2473</v>
      </c>
      <c r="B2" s="3477" t="s">
        <v>2474</v>
      </c>
      <c r="C2" s="3477"/>
      <c r="D2" s="2487" t="s">
        <v>2475</v>
      </c>
      <c r="E2" s="2487" t="s">
        <v>2476</v>
      </c>
      <c r="F2" s="2487" t="s">
        <v>2477</v>
      </c>
      <c r="G2" s="2487" t="s">
        <v>2478</v>
      </c>
      <c r="H2" s="2487" t="s">
        <v>2479</v>
      </c>
      <c r="I2" s="2488" t="s">
        <v>2480</v>
      </c>
    </row>
    <row r="3" spans="1:9">
      <c r="A3" s="3476"/>
      <c r="B3" s="3477" t="s">
        <v>2481</v>
      </c>
      <c r="C3" s="3477"/>
      <c r="D3" s="2489"/>
      <c r="E3" s="2487"/>
      <c r="F3" s="2490"/>
      <c r="G3" s="2490"/>
      <c r="H3" s="2491"/>
      <c r="I3" s="2492">
        <f>ROUND(D3*E3*F3*G3*H3/10000,0)</f>
        <v>0</v>
      </c>
    </row>
    <row r="4" spans="1:9">
      <c r="A4" s="3476"/>
      <c r="B4" s="3477" t="s">
        <v>2482</v>
      </c>
      <c r="C4" s="3477"/>
      <c r="D4" s="2489"/>
      <c r="E4" s="2487"/>
      <c r="F4" s="2490"/>
      <c r="G4" s="2490"/>
      <c r="H4" s="2491"/>
      <c r="I4" s="2492">
        <f t="shared" ref="I4:I9" si="0">ROUND(D4*E4*F4*G4*H4/10000,0)</f>
        <v>0</v>
      </c>
    </row>
    <row r="5" spans="1:9">
      <c r="A5" s="3476"/>
      <c r="B5" s="3477" t="s">
        <v>2483</v>
      </c>
      <c r="C5" s="3477"/>
      <c r="D5" s="2489"/>
      <c r="E5" s="2487"/>
      <c r="F5" s="2490"/>
      <c r="G5" s="2490"/>
      <c r="H5" s="2491"/>
      <c r="I5" s="2492">
        <f t="shared" si="0"/>
        <v>0</v>
      </c>
    </row>
    <row r="6" spans="1:9">
      <c r="A6" s="3476"/>
      <c r="B6" s="3477" t="s">
        <v>2484</v>
      </c>
      <c r="C6" s="3477"/>
      <c r="D6" s="2489"/>
      <c r="E6" s="2487"/>
      <c r="F6" s="2490"/>
      <c r="G6" s="2490"/>
      <c r="H6" s="2491"/>
      <c r="I6" s="2492">
        <f t="shared" si="0"/>
        <v>0</v>
      </c>
    </row>
    <row r="7" spans="1:9">
      <c r="A7" s="3476"/>
      <c r="B7" s="3477" t="s">
        <v>2485</v>
      </c>
      <c r="C7" s="3477"/>
      <c r="D7" s="2489"/>
      <c r="E7" s="2487"/>
      <c r="F7" s="2490"/>
      <c r="G7" s="2490"/>
      <c r="H7" s="2491"/>
      <c r="I7" s="2492">
        <f t="shared" si="0"/>
        <v>0</v>
      </c>
    </row>
    <row r="8" spans="1:9">
      <c r="A8" s="3476"/>
      <c r="B8" s="3477" t="s">
        <v>2486</v>
      </c>
      <c r="C8" s="3477"/>
      <c r="D8" s="2489"/>
      <c r="E8" s="2487"/>
      <c r="F8" s="2490"/>
      <c r="G8" s="2490"/>
      <c r="H8" s="2491"/>
      <c r="I8" s="2492">
        <f t="shared" si="0"/>
        <v>0</v>
      </c>
    </row>
    <row r="9" spans="1:9">
      <c r="A9" s="3476"/>
      <c r="B9" s="3477" t="s">
        <v>2487</v>
      </c>
      <c r="C9" s="3477"/>
      <c r="D9" s="2489"/>
      <c r="E9" s="2487"/>
      <c r="F9" s="2490"/>
      <c r="G9" s="2490"/>
      <c r="H9" s="2491"/>
      <c r="I9" s="2492">
        <f t="shared" si="0"/>
        <v>0</v>
      </c>
    </row>
    <row r="10" spans="1:9">
      <c r="A10" s="3476"/>
      <c r="B10" s="3478" t="s">
        <v>2488</v>
      </c>
      <c r="C10" s="3478"/>
      <c r="D10" s="2493">
        <v>527</v>
      </c>
      <c r="E10" s="2493" t="e">
        <f>ROUND(D1*10000/D10/H9,0)</f>
        <v>#DIV/0!</v>
      </c>
      <c r="F10" s="2494"/>
      <c r="G10" s="2494"/>
      <c r="H10" s="2495"/>
      <c r="I10" s="2496">
        <f>SUM(I3:I9)</f>
        <v>0</v>
      </c>
    </row>
    <row r="11" spans="1:9" ht="14.25">
      <c r="A11" s="3476" t="s">
        <v>2489</v>
      </c>
      <c r="B11" s="3477" t="s">
        <v>2490</v>
      </c>
      <c r="C11" s="3477"/>
      <c r="D11" s="2489" t="s">
        <v>2491</v>
      </c>
      <c r="E11" s="2489" t="s">
        <v>2492</v>
      </c>
      <c r="F11" s="2490" t="s">
        <v>2493</v>
      </c>
      <c r="G11" s="2490" t="s">
        <v>2494</v>
      </c>
      <c r="H11" s="2497" t="s">
        <v>2495</v>
      </c>
      <c r="I11" s="2488" t="s">
        <v>2496</v>
      </c>
    </row>
    <row r="12" spans="1:9">
      <c r="A12" s="3476"/>
      <c r="B12" s="3477" t="s">
        <v>2497</v>
      </c>
      <c r="C12" s="3477"/>
      <c r="D12" s="2489"/>
      <c r="E12" s="2489"/>
      <c r="F12" s="2490"/>
      <c r="G12" s="2491"/>
      <c r="H12" s="2498"/>
      <c r="I12" s="2488">
        <f>ROUND(D12*E12*F12*G12/10000,0)</f>
        <v>0</v>
      </c>
    </row>
    <row r="13" spans="1:9">
      <c r="A13" s="3476"/>
      <c r="B13" s="3477" t="s">
        <v>2498</v>
      </c>
      <c r="C13" s="3477"/>
      <c r="D13" s="2489"/>
      <c r="E13" s="2489"/>
      <c r="F13" s="2490"/>
      <c r="G13" s="2491"/>
      <c r="H13" s="2498"/>
      <c r="I13" s="2488">
        <f>ROUND(D13*E13*F13*G13/10000,0)</f>
        <v>0</v>
      </c>
    </row>
    <row r="14" spans="1:9">
      <c r="A14" s="3476"/>
      <c r="B14" s="3477" t="s">
        <v>2499</v>
      </c>
      <c r="C14" s="3477"/>
      <c r="D14" s="2489"/>
      <c r="E14" s="2489"/>
      <c r="F14" s="2490"/>
      <c r="G14" s="2491"/>
      <c r="H14" s="2498"/>
      <c r="I14" s="2488">
        <f>ROUND(D14*E14*F14*G14/10000,0)</f>
        <v>0</v>
      </c>
    </row>
    <row r="15" spans="1:9">
      <c r="A15" s="3476"/>
      <c r="B15" s="3478" t="s">
        <v>2488</v>
      </c>
      <c r="C15" s="3478"/>
      <c r="D15" s="2493"/>
      <c r="E15" s="2493">
        <f>SUM(E12:E14)</f>
        <v>0</v>
      </c>
      <c r="F15" s="2494"/>
      <c r="G15" s="2491"/>
      <c r="H15" s="2498"/>
      <c r="I15" s="2499">
        <f>SUM(I12:I14)</f>
        <v>0</v>
      </c>
    </row>
    <row r="16" spans="1:9" ht="24">
      <c r="A16" s="3476" t="s">
        <v>2500</v>
      </c>
      <c r="B16" s="3477" t="s">
        <v>2501</v>
      </c>
      <c r="C16" s="3477"/>
      <c r="D16" s="2489" t="s">
        <v>2502</v>
      </c>
      <c r="E16" s="2500" t="s">
        <v>2503</v>
      </c>
      <c r="F16" s="2490" t="s">
        <v>2504</v>
      </c>
      <c r="G16" s="2491" t="s">
        <v>2494</v>
      </c>
      <c r="H16" s="2497" t="s">
        <v>2495</v>
      </c>
      <c r="I16" s="2488" t="s">
        <v>2496</v>
      </c>
    </row>
    <row r="17" spans="1:9" ht="14.25">
      <c r="A17" s="3476"/>
      <c r="B17" s="3477" t="s">
        <v>2505</v>
      </c>
      <c r="C17" s="3477"/>
      <c r="D17" s="2489"/>
      <c r="E17" s="2489"/>
      <c r="F17" s="2490"/>
      <c r="G17" s="2491"/>
      <c r="H17" s="2501"/>
      <c r="I17" s="2502">
        <f>ROUND(D17*E17*F17*G17/10000,0)</f>
        <v>0</v>
      </c>
    </row>
    <row r="18" spans="1:9" ht="14.25">
      <c r="A18" s="3476"/>
      <c r="B18" s="3477" t="s">
        <v>2506</v>
      </c>
      <c r="C18" s="3477"/>
      <c r="D18" s="2489"/>
      <c r="E18" s="2489"/>
      <c r="F18" s="2490"/>
      <c r="G18" s="2491"/>
      <c r="H18" s="2501"/>
      <c r="I18" s="2502">
        <f>ROUND(D18*E18*F18*G18/10000,0)</f>
        <v>0</v>
      </c>
    </row>
    <row r="19" spans="1:9" ht="14.25">
      <c r="A19" s="3476"/>
      <c r="B19" s="3477" t="s">
        <v>2507</v>
      </c>
      <c r="C19" s="3477"/>
      <c r="D19" s="2489"/>
      <c r="E19" s="2489"/>
      <c r="F19" s="2490"/>
      <c r="G19" s="2491"/>
      <c r="H19" s="2501"/>
      <c r="I19" s="2502">
        <f>ROUND(D19*E19*F19*G19/10000,0)</f>
        <v>0</v>
      </c>
    </row>
    <row r="20" spans="1:9">
      <c r="A20" s="3476"/>
      <c r="B20" s="3478" t="s">
        <v>2488</v>
      </c>
      <c r="C20" s="3478"/>
      <c r="D20" s="2493">
        <f>SUM(D17:D19)</f>
        <v>0</v>
      </c>
      <c r="E20" s="2493"/>
      <c r="F20" s="2494"/>
      <c r="G20" s="2491"/>
      <c r="H20" s="2498"/>
      <c r="I20" s="2499">
        <f>SUM(I17:I19)</f>
        <v>0</v>
      </c>
    </row>
    <row r="21" spans="1:9">
      <c r="A21" s="3476" t="s">
        <v>2508</v>
      </c>
      <c r="B21" s="3479"/>
      <c r="C21" s="3479"/>
      <c r="D21" s="3479"/>
      <c r="E21" s="3479"/>
      <c r="F21" s="3479"/>
      <c r="G21" s="3479"/>
      <c r="H21" s="2503">
        <v>0.1</v>
      </c>
      <c r="I21" s="2496">
        <f>ROUND(I10*H21,0)</f>
        <v>0</v>
      </c>
    </row>
    <row r="22" spans="1:9" ht="14.25">
      <c r="A22" s="3480" t="s">
        <v>2509</v>
      </c>
      <c r="B22" s="3481"/>
      <c r="C22" s="3482"/>
      <c r="D22" s="2504" t="s">
        <v>2510</v>
      </c>
      <c r="E22" s="2504" t="s">
        <v>2511</v>
      </c>
      <c r="F22" s="2505" t="s">
        <v>2512</v>
      </c>
      <c r="G22" s="2505" t="s">
        <v>2513</v>
      </c>
      <c r="H22" s="2497" t="s">
        <v>2514</v>
      </c>
      <c r="I22" s="2488" t="s">
        <v>2515</v>
      </c>
    </row>
    <row r="23" spans="1:9" ht="14.25" thickBot="1">
      <c r="A23" s="3483"/>
      <c r="B23" s="3484"/>
      <c r="C23" s="3485"/>
      <c r="D23" s="2506"/>
      <c r="E23" s="2506"/>
      <c r="F23" s="2506"/>
      <c r="G23" s="2507"/>
      <c r="H23" s="2508"/>
      <c r="I23" s="2509">
        <f>ROUND(E23*D23*F23*(1-G23)/10000,0)</f>
        <v>0</v>
      </c>
    </row>
    <row r="26" spans="1:9">
      <c r="A26" s="2510" t="s">
        <v>2516</v>
      </c>
      <c r="B26" s="2510"/>
      <c r="C26" s="2510"/>
      <c r="D26" s="2510"/>
      <c r="E26" s="3473">
        <f>C27-C30-C31-C32</f>
        <v>0</v>
      </c>
      <c r="F26" s="3473"/>
      <c r="G26" s="3473"/>
      <c r="H26" s="3020" t="s">
        <v>2843</v>
      </c>
    </row>
    <row r="27" spans="1:9">
      <c r="A27" s="2511">
        <v>1</v>
      </c>
      <c r="B27" s="2512" t="s">
        <v>2517</v>
      </c>
      <c r="C27" s="2512"/>
      <c r="D27" s="2512"/>
      <c r="E27" s="3474"/>
      <c r="F27" s="3474"/>
      <c r="G27" s="3474"/>
    </row>
    <row r="28" spans="1:9">
      <c r="A28" s="2513" t="s">
        <v>2518</v>
      </c>
      <c r="B28" s="2512" t="s">
        <v>2519</v>
      </c>
      <c r="C28" s="2512"/>
      <c r="D28" s="2512"/>
      <c r="E28" s="3474"/>
      <c r="F28" s="3474"/>
      <c r="G28" s="3474"/>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75"/>
      <c r="F32" s="3475"/>
      <c r="G32" s="3475"/>
    </row>
    <row r="33" spans="1:7" hidden="1">
      <c r="A33" s="3470" t="s">
        <v>2527</v>
      </c>
      <c r="B33" s="3471"/>
      <c r="C33" s="3471"/>
      <c r="D33" s="3472"/>
      <c r="E33" s="3473"/>
      <c r="F33" s="3473"/>
      <c r="G33" s="3473"/>
    </row>
    <row r="34" spans="1:7" hidden="1">
      <c r="A34" s="2515">
        <v>1</v>
      </c>
      <c r="B34" s="2512" t="s">
        <v>2528</v>
      </c>
      <c r="C34" s="2512"/>
      <c r="D34" s="2512"/>
      <c r="E34" s="3474"/>
      <c r="F34" s="3474"/>
      <c r="G34" s="3474"/>
    </row>
    <row r="35" spans="1:7" hidden="1">
      <c r="A35" s="2515">
        <v>2</v>
      </c>
      <c r="B35" s="2512" t="s">
        <v>2529</v>
      </c>
      <c r="C35" s="2512"/>
      <c r="D35" s="2512"/>
      <c r="E35" s="3474"/>
      <c r="F35" s="3474"/>
      <c r="G35" s="3474"/>
    </row>
    <row r="36" spans="1:7" hidden="1">
      <c r="A36" s="2515">
        <v>3</v>
      </c>
      <c r="B36" s="2512" t="s">
        <v>2530</v>
      </c>
      <c r="C36" s="2512"/>
      <c r="D36" s="2512"/>
      <c r="E36" s="3474"/>
      <c r="F36" s="3474"/>
      <c r="G36" s="3474"/>
    </row>
    <row r="37" spans="1:7" hidden="1">
      <c r="A37" s="2515">
        <v>4</v>
      </c>
      <c r="B37" s="2512" t="s">
        <v>2531</v>
      </c>
      <c r="C37" s="2512"/>
      <c r="D37" s="2512"/>
      <c r="E37" s="3474"/>
      <c r="F37" s="3474"/>
      <c r="G37" s="3474"/>
    </row>
    <row r="38" spans="1:7" hidden="1">
      <c r="A38" s="3470" t="s">
        <v>2532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0.76800000000000002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3" t="s">
        <v>522</v>
      </c>
      <c r="D4" s="3404"/>
      <c r="E4" s="3427" t="s">
        <v>523</v>
      </c>
      <c r="F4" s="3428"/>
      <c r="G4" s="3403" t="s">
        <v>524</v>
      </c>
      <c r="H4" s="3404"/>
      <c r="I4" s="3403" t="s">
        <v>525</v>
      </c>
      <c r="J4" s="3404"/>
      <c r="K4" s="853"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85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85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9" t="s">
        <v>530</v>
      </c>
      <c r="Q7" s="3398"/>
      <c r="R7" s="1569" t="s">
        <v>13</v>
      </c>
      <c r="S7" s="1570">
        <f t="shared" ref="S7:S15" si="0">F7</f>
        <v>0</v>
      </c>
      <c r="T7" s="1569" t="s">
        <v>13</v>
      </c>
      <c r="U7" s="1570">
        <f t="shared" ref="U7:U15" si="1">H7</f>
        <v>0</v>
      </c>
      <c r="V7" s="1569" t="s">
        <v>13</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9" t="s">
        <v>533</v>
      </c>
      <c r="Q8" s="3390"/>
      <c r="R8" s="1569" t="s">
        <v>13</v>
      </c>
      <c r="S8" s="1570">
        <f t="shared" si="0"/>
        <v>0</v>
      </c>
      <c r="T8" s="1569" t="s">
        <v>13</v>
      </c>
      <c r="U8" s="1570">
        <f t="shared" si="1"/>
        <v>0</v>
      </c>
      <c r="V8" s="1569" t="s">
        <v>13</v>
      </c>
      <c r="W8" s="1570">
        <f t="shared" si="2"/>
        <v>0</v>
      </c>
      <c r="X8" s="1571"/>
      <c r="Y8" s="3389" t="s">
        <v>533</v>
      </c>
      <c r="Z8" s="339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7"/>
      <c r="Q11" s="1151" t="str">
        <f t="shared" si="6"/>
        <v>容积率</v>
      </c>
      <c r="R11" s="1569" t="s">
        <v>11</v>
      </c>
      <c r="S11" s="1570" t="e">
        <f t="shared" si="0"/>
        <v>#N/A</v>
      </c>
      <c r="T11" s="1569" t="s">
        <v>11</v>
      </c>
      <c r="U11" s="1570" t="e">
        <f t="shared" si="1"/>
        <v>#N/A</v>
      </c>
      <c r="V11" s="1569" t="s">
        <v>11</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7"/>
      <c r="Q12" s="1151">
        <f t="shared" si="6"/>
        <v>111</v>
      </c>
      <c r="R12" s="1569" t="s">
        <v>11</v>
      </c>
      <c r="S12" s="1570">
        <f t="shared" si="0"/>
        <v>100</v>
      </c>
      <c r="T12" s="1569" t="s">
        <v>11</v>
      </c>
      <c r="U12" s="1570">
        <f t="shared" si="1"/>
        <v>100</v>
      </c>
      <c r="V12" s="1569" t="s">
        <v>11</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7"/>
      <c r="Q13" s="1151">
        <f t="shared" si="6"/>
        <v>111</v>
      </c>
      <c r="R13" s="1569" t="s">
        <v>11</v>
      </c>
      <c r="S13" s="1570">
        <f t="shared" si="0"/>
        <v>100</v>
      </c>
      <c r="T13" s="1569" t="s">
        <v>11</v>
      </c>
      <c r="U13" s="1570">
        <f t="shared" si="1"/>
        <v>100</v>
      </c>
      <c r="V13" s="1569" t="s">
        <v>11</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7"/>
      <c r="Q14" s="1151">
        <f t="shared" si="6"/>
        <v>111</v>
      </c>
      <c r="R14" s="1569" t="s">
        <v>11</v>
      </c>
      <c r="S14" s="1570">
        <f t="shared" si="0"/>
        <v>100</v>
      </c>
      <c r="T14" s="1569" t="s">
        <v>11</v>
      </c>
      <c r="U14" s="1570">
        <f t="shared" si="1"/>
        <v>100</v>
      </c>
      <c r="V14" s="1569" t="s">
        <v>11</v>
      </c>
      <c r="W14" s="1570">
        <f t="shared" si="2"/>
        <v>100</v>
      </c>
      <c r="X14" s="1571"/>
      <c r="Y14" s="3354"/>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1573" t="str">
        <f>B19</f>
        <v>公共配套设施</v>
      </c>
      <c r="R19" s="1574" t="s">
        <v>11</v>
      </c>
      <c r="S19" s="1575">
        <f>F19</f>
        <v>100</v>
      </c>
      <c r="T19" s="1574" t="s">
        <v>11</v>
      </c>
      <c r="U19" s="1575">
        <f>H19</f>
        <v>100</v>
      </c>
      <c r="V19" s="1574" t="s">
        <v>11</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2559" t="str">
        <f>B21</f>
        <v>基础设施水平</v>
      </c>
      <c r="R21" s="1574" t="s">
        <v>11</v>
      </c>
      <c r="S21" s="1575">
        <f>F21</f>
        <v>100</v>
      </c>
      <c r="T21" s="1574" t="s">
        <v>11</v>
      </c>
      <c r="U21" s="1575">
        <f>H21</f>
        <v>100</v>
      </c>
      <c r="V21" s="1574" t="s">
        <v>11</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2"/>
      <c r="Q33" s="1606" t="str">
        <f t="shared" si="11"/>
        <v>项目建筑规模</v>
      </c>
      <c r="R33" s="1578" t="s">
        <v>11</v>
      </c>
      <c r="S33" s="1579" t="e">
        <f t="shared" si="12"/>
        <v>#N/A</v>
      </c>
      <c r="T33" s="1578" t="s">
        <v>11</v>
      </c>
      <c r="U33" s="1579" t="e">
        <f t="shared" si="13"/>
        <v>#N/A</v>
      </c>
      <c r="V33" s="1578" t="s">
        <v>11</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2"/>
      <c r="Q37" s="1151" t="str">
        <f t="shared" si="11"/>
        <v>成新度</v>
      </c>
      <c r="R37" s="1569" t="s">
        <v>11</v>
      </c>
      <c r="S37" s="1570" t="e">
        <f t="shared" si="12"/>
        <v>#N/A</v>
      </c>
      <c r="T37" s="1569" t="s">
        <v>11</v>
      </c>
      <c r="U37" s="1570" t="e">
        <f t="shared" si="13"/>
        <v>#N/A</v>
      </c>
      <c r="V37" s="1569" t="s">
        <v>11</v>
      </c>
      <c r="W37" s="1570" t="e">
        <f t="shared" si="14"/>
        <v>#N/A</v>
      </c>
      <c r="X37" s="1571"/>
      <c r="Y37" s="340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3"/>
      <c r="Q46" s="1573">
        <f t="shared" si="11"/>
        <v>111</v>
      </c>
      <c r="R46" s="1574" t="s">
        <v>10</v>
      </c>
      <c r="S46" s="1575">
        <f t="shared" si="12"/>
        <v>100</v>
      </c>
      <c r="T46" s="1574" t="s">
        <v>10</v>
      </c>
      <c r="U46" s="1575">
        <f t="shared" si="13"/>
        <v>100</v>
      </c>
      <c r="V46" s="1574" t="s">
        <v>10</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97" t="str">
        <f>A47</f>
        <v>成交单价（元/平方米）</v>
      </c>
      <c r="Q47" s="3397"/>
      <c r="R47" s="3492">
        <f>E47</f>
        <v>0</v>
      </c>
      <c r="S47" s="3492"/>
      <c r="T47" s="3492">
        <f>G47</f>
        <v>0</v>
      </c>
      <c r="U47" s="3492"/>
      <c r="V47" s="3492">
        <f>I47</f>
        <v>0</v>
      </c>
      <c r="W47" s="3492"/>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97" t="str">
        <f>A48</f>
        <v>比较价格（元/平方米）</v>
      </c>
      <c r="Q48" s="3397"/>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418" t="str">
        <f>A49</f>
        <v>估价对象XX用房的比较价格（楼面单价，元/平方米）</v>
      </c>
      <c r="Q49" s="3419"/>
      <c r="R49" s="3491" t="e">
        <f>IF(F1="售价",ROUND(AVERAGE(R48:V48),0),ROUND(AVERAGE(R48:V48),1))</f>
        <v>#DIV/0!</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8" zoomScale="80" zoomScaleNormal="80" workbookViewId="0">
      <selection activeCell="L51" sqref="L50:L5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3098</v>
      </c>
      <c r="E1" s="506"/>
      <c r="F1" s="2786" t="s">
        <v>3105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35960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14895</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411" t="s">
        <v>524</v>
      </c>
      <c r="AC4" s="3386" t="s">
        <v>525</v>
      </c>
    </row>
    <row r="5" spans="1:29" ht="15">
      <c r="A5" s="515"/>
      <c r="B5" s="516"/>
      <c r="C5" s="3414" t="s">
        <v>2931</v>
      </c>
      <c r="D5" s="3415"/>
      <c r="E5" s="3494" t="s">
        <v>3151</v>
      </c>
      <c r="F5" s="3430"/>
      <c r="G5" s="3495" t="s">
        <v>3152</v>
      </c>
      <c r="H5" s="3415"/>
      <c r="I5" s="3495" t="s">
        <v>3204</v>
      </c>
      <c r="J5" s="3415"/>
      <c r="K5" s="514"/>
      <c r="L5" s="2134"/>
      <c r="M5" s="2135"/>
      <c r="N5" s="2135"/>
      <c r="O5" s="2135"/>
      <c r="P5" s="3407"/>
      <c r="Q5" s="3408"/>
      <c r="R5" s="3393"/>
      <c r="S5" s="3394"/>
      <c r="T5" s="3393"/>
      <c r="U5" s="3394"/>
      <c r="V5" s="3411"/>
      <c r="W5" s="3411"/>
      <c r="X5" s="1568"/>
      <c r="Y5" s="3393"/>
      <c r="Z5" s="3394"/>
      <c r="AA5" s="3387"/>
      <c r="AB5" s="3411"/>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411"/>
      <c r="AC6" s="3388"/>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389" t="s">
        <v>530</v>
      </c>
      <c r="Q7" s="3398"/>
      <c r="R7" s="1569" t="s">
        <v>8</v>
      </c>
      <c r="S7" s="1570">
        <f t="shared" ref="S7:S15" si="0">F7</f>
        <v>100</v>
      </c>
      <c r="T7" s="1569" t="s">
        <v>8</v>
      </c>
      <c r="U7" s="1570">
        <f t="shared" ref="U7:U15" si="1">H7</f>
        <v>100</v>
      </c>
      <c r="V7" s="1569" t="s">
        <v>8</v>
      </c>
      <c r="W7" s="1570">
        <f t="shared" ref="W7:W15" si="2">J7</f>
        <v>100</v>
      </c>
      <c r="X7" s="1571"/>
      <c r="Y7" s="3389" t="s">
        <v>530</v>
      </c>
      <c r="Z7" s="3390"/>
      <c r="AA7" s="1572">
        <f>D7/F7</f>
        <v>1</v>
      </c>
      <c r="AB7" s="1572">
        <f>D7/H7</f>
        <v>1</v>
      </c>
      <c r="AC7" s="1572">
        <f>D7/J7</f>
        <v>1</v>
      </c>
    </row>
    <row r="8" spans="1:29" s="1220" customFormat="1" ht="15.75" thickBot="1">
      <c r="A8" s="2892"/>
      <c r="B8" s="2899" t="s">
        <v>531</v>
      </c>
      <c r="C8" s="525" t="s">
        <v>576</v>
      </c>
      <c r="D8" s="520">
        <v>100</v>
      </c>
      <c r="E8" s="525" t="s">
        <v>3057</v>
      </c>
      <c r="F8" s="522">
        <f>SUMIF(61:61,E8,62:62)-SUMIF(61:61,C8,62:62)+100</f>
        <v>100</v>
      </c>
      <c r="G8" s="525" t="s">
        <v>3057</v>
      </c>
      <c r="H8" s="520">
        <f>SUMIF(61:61,G8,62:62)-SUMIF(61:61,C8,62:62)+100</f>
        <v>100</v>
      </c>
      <c r="I8" s="525" t="s">
        <v>3057</v>
      </c>
      <c r="J8" s="520">
        <f>SUMIF(61:61,I8,62:62)-SUMIF(61:61,C8,62:62)+100</f>
        <v>100</v>
      </c>
      <c r="K8" s="524"/>
      <c r="L8" s="2136"/>
      <c r="M8" s="2137"/>
      <c r="N8" s="2137"/>
      <c r="O8" s="2137"/>
      <c r="P8" s="3389" t="s">
        <v>533</v>
      </c>
      <c r="Q8" s="3390"/>
      <c r="R8" s="1569" t="s">
        <v>8</v>
      </c>
      <c r="S8" s="1570">
        <f t="shared" si="0"/>
        <v>100</v>
      </c>
      <c r="T8" s="1569" t="s">
        <v>8</v>
      </c>
      <c r="U8" s="1570">
        <f t="shared" si="1"/>
        <v>100</v>
      </c>
      <c r="V8" s="1569" t="s">
        <v>8</v>
      </c>
      <c r="W8" s="1570">
        <f t="shared" si="2"/>
        <v>100</v>
      </c>
      <c r="X8" s="1571"/>
      <c r="Y8" s="3389" t="s">
        <v>533</v>
      </c>
      <c r="Z8" s="3390"/>
      <c r="AA8" s="1572">
        <f t="shared" ref="AA8:AA46" si="3">D8/F8</f>
        <v>1</v>
      </c>
      <c r="AB8" s="1572">
        <f t="shared" ref="AB8:AB46" si="4">D8/H8</f>
        <v>1</v>
      </c>
      <c r="AC8" s="1572">
        <f t="shared" ref="AC8:AC46" si="5">D8/J8</f>
        <v>1</v>
      </c>
    </row>
    <row r="9" spans="1:29" s="1220" customFormat="1" ht="15">
      <c r="A9" s="2893"/>
      <c r="B9" s="2900" t="s">
        <v>2757</v>
      </c>
      <c r="C9" s="3193" t="s">
        <v>3109</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97"/>
      <c r="Q11" s="1151" t="str">
        <f t="shared" si="6"/>
        <v>容积率</v>
      </c>
      <c r="R11" s="1569" t="s">
        <v>8</v>
      </c>
      <c r="S11" s="1570">
        <f t="shared" si="0"/>
        <v>100</v>
      </c>
      <c r="T11" s="1569" t="s">
        <v>8</v>
      </c>
      <c r="U11" s="1570">
        <f t="shared" si="1"/>
        <v>100</v>
      </c>
      <c r="V11" s="1569" t="s">
        <v>8</v>
      </c>
      <c r="W11" s="1570">
        <f t="shared" si="2"/>
        <v>100</v>
      </c>
      <c r="X11" s="1571"/>
      <c r="Y11" s="3354"/>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t="s">
        <v>3055</v>
      </c>
      <c r="D16" s="555"/>
      <c r="E16" s="576" t="s">
        <v>3055</v>
      </c>
      <c r="F16" s="557"/>
      <c r="G16" s="576" t="s">
        <v>3055</v>
      </c>
      <c r="H16" s="559"/>
      <c r="I16" s="576" t="s">
        <v>3055</v>
      </c>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t="s">
        <v>3055</v>
      </c>
      <c r="D18" s="559"/>
      <c r="E18" s="568" t="s">
        <v>3055</v>
      </c>
      <c r="F18" s="563"/>
      <c r="G18" s="569" t="s">
        <v>3055</v>
      </c>
      <c r="H18" s="555"/>
      <c r="I18" s="568" t="s">
        <v>3055</v>
      </c>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t="s">
        <v>3055</v>
      </c>
      <c r="D20" s="555"/>
      <c r="E20" s="556" t="s">
        <v>3055</v>
      </c>
      <c r="F20" s="557"/>
      <c r="G20" s="558" t="s">
        <v>3055</v>
      </c>
      <c r="H20" s="555"/>
      <c r="I20" s="556" t="s">
        <v>3055</v>
      </c>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t="s">
        <v>3122</v>
      </c>
      <c r="D22" s="555"/>
      <c r="E22" s="576" t="s">
        <v>3122</v>
      </c>
      <c r="F22" s="557"/>
      <c r="G22" s="576" t="s">
        <v>3122</v>
      </c>
      <c r="H22" s="555"/>
      <c r="I22" s="576" t="s">
        <v>3122</v>
      </c>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527" t="s">
        <v>547</v>
      </c>
      <c r="C25" s="3205" t="s">
        <v>3211</v>
      </c>
      <c r="D25" s="540">
        <v>100</v>
      </c>
      <c r="E25" s="583" t="s">
        <v>3131</v>
      </c>
      <c r="F25" s="575">
        <f>SUMIF(86:86,E25,87:87)-SUMIF(86:86,C25,87:87)+100</f>
        <v>95</v>
      </c>
      <c r="G25" s="583" t="s">
        <v>3131</v>
      </c>
      <c r="H25" s="540">
        <f>SUMIF(86:86,G25,87:87)-SUMIF(86:86,C25,87:87)+100</f>
        <v>95</v>
      </c>
      <c r="I25" s="583" t="s">
        <v>3131</v>
      </c>
      <c r="J25" s="540">
        <f>SUMIF(86:86,I25,87:87)-SUMIF(86:86,C25,87:87)+100</f>
        <v>95</v>
      </c>
      <c r="K25" s="584">
        <v>5</v>
      </c>
      <c r="L25" s="2143"/>
      <c r="M25" s="2135"/>
      <c r="N25" s="2135"/>
      <c r="O25" s="2142"/>
      <c r="P25" s="3400"/>
      <c r="Q25" s="1573" t="str">
        <f t="shared" ref="Q25:Q46" si="11">B25</f>
        <v>临街状况</v>
      </c>
      <c r="R25" s="1574" t="s">
        <v>8</v>
      </c>
      <c r="S25" s="1575">
        <f>F25</f>
        <v>95</v>
      </c>
      <c r="T25" s="1574" t="s">
        <v>8</v>
      </c>
      <c r="U25" s="1575">
        <f>H25</f>
        <v>95</v>
      </c>
      <c r="V25" s="1574" t="s">
        <v>8</v>
      </c>
      <c r="W25" s="1575">
        <f>J25</f>
        <v>95</v>
      </c>
      <c r="X25" s="1568"/>
      <c r="Y25" s="3400"/>
      <c r="Z25" s="1576" t="str">
        <f>Q25</f>
        <v>临街状况</v>
      </c>
      <c r="AA25" s="1577">
        <f t="shared" si="3"/>
        <v>1.0526315789473684</v>
      </c>
      <c r="AB25" s="1577">
        <f t="shared" si="4"/>
        <v>1.0526315789473684</v>
      </c>
      <c r="AC25" s="1577">
        <f t="shared" si="5"/>
        <v>1.0526315789473684</v>
      </c>
    </row>
    <row r="26" spans="1:29" ht="15">
      <c r="A26" s="532"/>
      <c r="B26" s="877" t="s">
        <v>758</v>
      </c>
      <c r="C26" s="3198" t="s">
        <v>3135</v>
      </c>
      <c r="D26" s="540">
        <v>100</v>
      </c>
      <c r="E26" s="3198" t="s">
        <v>3135</v>
      </c>
      <c r="F26" s="575">
        <f>SUMIF(88:88,E26,89:89)-SUMIF(88:88,C26,89:89)+100</f>
        <v>100</v>
      </c>
      <c r="G26" s="3198" t="s">
        <v>3135</v>
      </c>
      <c r="H26" s="540">
        <f>SUMIF(88:88,G26,89:89)-SUMIF(88:88,C26,89:89)+100</f>
        <v>100</v>
      </c>
      <c r="I26" s="3198" t="s">
        <v>3135</v>
      </c>
      <c r="J26" s="540">
        <f>SUMIF(88:88,I26,89:89)-SUMIF(88:88,C26,89:89)+100</f>
        <v>100</v>
      </c>
      <c r="K26" s="581"/>
      <c r="L26" s="2143"/>
      <c r="M26" s="2135"/>
      <c r="N26" s="2135"/>
      <c r="O26" s="2142"/>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t="s">
        <v>3140</v>
      </c>
      <c r="D27" s="875">
        <v>100</v>
      </c>
      <c r="E27" s="901" t="s">
        <v>3140</v>
      </c>
      <c r="F27" s="876">
        <f>SUMIF(90:90,E27,91:91)-SUMIF(90:90,C27,91:91)+100</f>
        <v>100</v>
      </c>
      <c r="G27" s="901" t="s">
        <v>3140</v>
      </c>
      <c r="H27" s="875">
        <f>SUMIF(90:90,G27,91:91)-SUMIF(90:90,C27,91:91)+100</f>
        <v>100</v>
      </c>
      <c r="I27" s="901" t="s">
        <v>3140</v>
      </c>
      <c r="J27" s="875">
        <f>SUMIF(90:90,I27,91:91)-SUMIF(90:90,C27,91:91)+100</f>
        <v>100</v>
      </c>
      <c r="K27" s="584">
        <v>2</v>
      </c>
      <c r="L27" s="2136"/>
      <c r="M27" s="2137"/>
      <c r="N27" s="2137"/>
      <c r="O27" s="2138"/>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3205" t="s">
        <v>3210</v>
      </c>
      <c r="D28" s="540">
        <v>100</v>
      </c>
      <c r="E28" s="583" t="s">
        <v>3144</v>
      </c>
      <c r="F28" s="575">
        <f>SUMIF(92:92,E28,93:93)-SUMIF(92:92,C28,93:93)+100</f>
        <v>112.5</v>
      </c>
      <c r="G28" s="583" t="s">
        <v>3144</v>
      </c>
      <c r="H28" s="540">
        <f>SUMIF(92:92,G28,93:93)-SUMIF(92:92,C28,93:93)+100</f>
        <v>112.5</v>
      </c>
      <c r="I28" s="583" t="s">
        <v>3144</v>
      </c>
      <c r="J28" s="540">
        <f>SUMIF(92:92,I28,93:93)-SUMIF(92:92,C28,93:93)+100</f>
        <v>112.5</v>
      </c>
      <c r="K28" s="581"/>
      <c r="L28" s="2143"/>
      <c r="M28" s="2135"/>
      <c r="N28" s="2135"/>
      <c r="O28" s="2142"/>
      <c r="P28" s="3400"/>
      <c r="Q28" s="1573" t="str">
        <f t="shared" si="11"/>
        <v>楼层</v>
      </c>
      <c r="R28" s="1574" t="s">
        <v>8</v>
      </c>
      <c r="S28" s="1575">
        <f t="shared" ref="S28:S46" si="12">F28</f>
        <v>112.5</v>
      </c>
      <c r="T28" s="1574" t="s">
        <v>8</v>
      </c>
      <c r="U28" s="1575">
        <f t="shared" ref="U28:U46" si="13">H28</f>
        <v>112.5</v>
      </c>
      <c r="V28" s="1574" t="s">
        <v>8</v>
      </c>
      <c r="W28" s="1575">
        <f t="shared" ref="W28:W46" si="14">J28</f>
        <v>112.5</v>
      </c>
      <c r="X28" s="1568"/>
      <c r="Y28" s="3400"/>
      <c r="Z28" s="1576" t="str">
        <f t="shared" ref="Z28:Z46" si="15">Q28</f>
        <v>楼层</v>
      </c>
      <c r="AA28" s="1577">
        <f t="shared" si="3"/>
        <v>0.88888888888888884</v>
      </c>
      <c r="AB28" s="1577">
        <f t="shared" si="4"/>
        <v>0.88888888888888884</v>
      </c>
      <c r="AC28" s="1577">
        <f t="shared" si="5"/>
        <v>0.88888888888888884</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f>'数据-基础表'!B3</f>
        <v>88003</v>
      </c>
      <c r="D33" s="255">
        <v>100</v>
      </c>
      <c r="E33" s="534">
        <v>214777</v>
      </c>
      <c r="F33" s="863">
        <f>LOOKUP(E33,103:103,104:104)-LOOKUP(C33,103:103,104:104)+100</f>
        <v>102</v>
      </c>
      <c r="G33" s="533">
        <v>116564</v>
      </c>
      <c r="H33" s="255">
        <f>LOOKUP(G33,103:103,104:104)-LOOKUP(C33,103:103,104:104)+100</f>
        <v>102</v>
      </c>
      <c r="I33" s="533">
        <v>476658</v>
      </c>
      <c r="J33" s="255">
        <f>LOOKUP(I33,103:103,104:104)-LOOKUP(C33,103:103,104:104)+100</f>
        <v>104</v>
      </c>
      <c r="K33" s="581"/>
      <c r="L33" s="2141"/>
      <c r="M33" s="2172"/>
      <c r="N33" s="2172"/>
      <c r="O33" s="2144"/>
      <c r="P33" s="3402"/>
      <c r="Q33" s="1606" t="str">
        <f t="shared" si="11"/>
        <v>项目建筑规模</v>
      </c>
      <c r="R33" s="1578" t="s">
        <v>8</v>
      </c>
      <c r="S33" s="1579">
        <f t="shared" si="12"/>
        <v>102</v>
      </c>
      <c r="T33" s="1578" t="s">
        <v>8</v>
      </c>
      <c r="U33" s="1579">
        <f t="shared" si="13"/>
        <v>102</v>
      </c>
      <c r="V33" s="1578" t="s">
        <v>8</v>
      </c>
      <c r="W33" s="1579">
        <f t="shared" si="14"/>
        <v>104</v>
      </c>
      <c r="X33" s="1580"/>
      <c r="Y33" s="3402"/>
      <c r="Z33" s="1581" t="str">
        <f t="shared" si="15"/>
        <v>项目建筑规模</v>
      </c>
      <c r="AA33" s="1577">
        <f t="shared" si="3"/>
        <v>0.98039215686274506</v>
      </c>
      <c r="AB33" s="1577">
        <f t="shared" si="4"/>
        <v>0.98039215686274506</v>
      </c>
      <c r="AC33" s="1577">
        <f t="shared" si="5"/>
        <v>0.96153846153846156</v>
      </c>
    </row>
    <row r="34" spans="1:29" ht="15">
      <c r="A34" s="594"/>
      <c r="B34" s="527" t="s">
        <v>727</v>
      </c>
      <c r="C34" s="881" t="s">
        <v>3060</v>
      </c>
      <c r="D34" s="540">
        <v>100</v>
      </c>
      <c r="E34" s="3199" t="s">
        <v>3149</v>
      </c>
      <c r="F34" s="575">
        <f>SUMIF(105:105,E34,106:106)-SUMIF(105:105,C34,106:106)+100</f>
        <v>100</v>
      </c>
      <c r="G34" s="3200" t="s">
        <v>3149</v>
      </c>
      <c r="H34" s="540">
        <f>SUMIF(105:105,G34,106:106)-SUMIF(105:105,C34,106:106)+100</f>
        <v>100</v>
      </c>
      <c r="I34" s="3200" t="s">
        <v>3149</v>
      </c>
      <c r="J34" s="540">
        <f>SUMIF(105:105,I34,106:106)-SUMIF(105:105,C34,106:106)+100</f>
        <v>100</v>
      </c>
      <c r="K34" s="584">
        <v>2</v>
      </c>
      <c r="L34" s="2143"/>
      <c r="M34" s="2135"/>
      <c r="N34" s="2135"/>
      <c r="O34" s="2142"/>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t="s">
        <v>3110</v>
      </c>
      <c r="D35" s="540">
        <v>100</v>
      </c>
      <c r="E35" s="599" t="s">
        <v>3110</v>
      </c>
      <c r="F35" s="575">
        <f>SUMIF(107:107,E35,108:108)-SUMIF(107:107,C35,108:108)+100</f>
        <v>100</v>
      </c>
      <c r="G35" s="599" t="s">
        <v>3110</v>
      </c>
      <c r="H35" s="540">
        <f>SUMIF(107:107,G35,108:108)-SUMIF(107:107,C35,108:108)+100</f>
        <v>100</v>
      </c>
      <c r="I35" s="599" t="s">
        <v>3110</v>
      </c>
      <c r="J35" s="540">
        <f>SUMIF(107:107,I35,108:108)-SUMIF(107:107,C35,108:108)+100</f>
        <v>100</v>
      </c>
      <c r="K35" s="584">
        <v>1</v>
      </c>
      <c r="L35" s="2143"/>
      <c r="M35" s="2135"/>
      <c r="N35" s="2135"/>
      <c r="O35" s="2142"/>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402"/>
      <c r="Q36" s="1573" t="str">
        <f t="shared" si="11"/>
        <v>成新度</v>
      </c>
      <c r="R36" s="1574" t="s">
        <v>8</v>
      </c>
      <c r="S36" s="1575">
        <f t="shared" si="12"/>
        <v>100</v>
      </c>
      <c r="T36" s="1574" t="s">
        <v>8</v>
      </c>
      <c r="U36" s="1575">
        <f t="shared" si="13"/>
        <v>100</v>
      </c>
      <c r="V36" s="1574" t="s">
        <v>8</v>
      </c>
      <c r="W36" s="1575">
        <f t="shared" si="14"/>
        <v>100</v>
      </c>
      <c r="X36" s="1568"/>
      <c r="Y36" s="3402"/>
      <c r="Z36" s="1576" t="str">
        <f t="shared" si="15"/>
        <v>成新度</v>
      </c>
      <c r="AA36" s="1577">
        <f t="shared" si="3"/>
        <v>1</v>
      </c>
      <c r="AB36" s="1577">
        <f t="shared" si="4"/>
        <v>1</v>
      </c>
      <c r="AC36" s="1577">
        <f t="shared" si="5"/>
        <v>1</v>
      </c>
    </row>
    <row r="37" spans="1:29" s="1220" customFormat="1" ht="15">
      <c r="A37" s="600"/>
      <c r="B37" s="1896" t="s">
        <v>2566</v>
      </c>
      <c r="C37" s="599" t="s">
        <v>3122</v>
      </c>
      <c r="D37" s="255">
        <v>100</v>
      </c>
      <c r="E37" s="599" t="s">
        <v>3122</v>
      </c>
      <c r="F37" s="575">
        <f>SUMIF(112:112,E37,113:113)-SUMIF(112:112,C37,113:113)+100</f>
        <v>100</v>
      </c>
      <c r="G37" s="599" t="s">
        <v>3122</v>
      </c>
      <c r="H37" s="540">
        <f>SUMIF(112:112,G37,113:113)-SUMIF(112:112,C37,113:113)+100</f>
        <v>100</v>
      </c>
      <c r="I37" s="599" t="s">
        <v>3122</v>
      </c>
      <c r="J37" s="540">
        <f>SUMIF(112:112,I37,113:113)-SUMIF(112:112,C37,113:113)+100</f>
        <v>100</v>
      </c>
      <c r="K37" s="584">
        <v>1</v>
      </c>
      <c r="L37" s="2136"/>
      <c r="M37" s="2137"/>
      <c r="N37" s="2137"/>
      <c r="O37" s="2138"/>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584">
        <v>5</v>
      </c>
      <c r="L38" s="2143"/>
      <c r="M38" s="2135"/>
      <c r="N38" s="2135"/>
      <c r="O38" s="2142"/>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t="s">
        <v>3116</v>
      </c>
      <c r="D42" s="540">
        <v>100</v>
      </c>
      <c r="E42" s="599" t="s">
        <v>3110</v>
      </c>
      <c r="F42" s="575">
        <f>SUMIF(122:122,E42,123:123)-SUMIF(122:122,C42,123:123)+100</f>
        <v>103</v>
      </c>
      <c r="G42" s="599" t="s">
        <v>3116</v>
      </c>
      <c r="H42" s="540">
        <f>SUMIF(122:122,G42,123:123)-SUMIF(122:122,C42,123:123)+100</f>
        <v>100</v>
      </c>
      <c r="I42" s="599" t="s">
        <v>3110</v>
      </c>
      <c r="J42" s="540">
        <f>SUMIF(122:122,I42,123:123)-SUMIF(122:122,C42,123:123)+100</f>
        <v>103</v>
      </c>
      <c r="K42" s="584">
        <v>1</v>
      </c>
      <c r="L42" s="2143"/>
      <c r="M42" s="2135"/>
      <c r="N42" s="2135"/>
      <c r="O42" s="2142"/>
      <c r="P42" s="3402"/>
      <c r="Q42" s="1573" t="str">
        <f t="shared" si="11"/>
        <v>内部装修</v>
      </c>
      <c r="R42" s="1574" t="s">
        <v>8</v>
      </c>
      <c r="S42" s="1575">
        <f t="shared" si="12"/>
        <v>103</v>
      </c>
      <c r="T42" s="1574" t="s">
        <v>8</v>
      </c>
      <c r="U42" s="1575">
        <f t="shared" si="13"/>
        <v>100</v>
      </c>
      <c r="V42" s="1574" t="s">
        <v>8</v>
      </c>
      <c r="W42" s="1575">
        <f t="shared" si="14"/>
        <v>103</v>
      </c>
      <c r="X42" s="1568"/>
      <c r="Y42" s="3402"/>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3"/>
      <c r="Q46" s="1573">
        <f t="shared" si="11"/>
        <v>111</v>
      </c>
      <c r="R46" s="1574" t="s">
        <v>8</v>
      </c>
      <c r="S46" s="1575">
        <f t="shared" si="12"/>
        <v>100</v>
      </c>
      <c r="T46" s="1574" t="s">
        <v>8</v>
      </c>
      <c r="U46" s="1575">
        <f t="shared" si="13"/>
        <v>100</v>
      </c>
      <c r="V46" s="1574" t="s">
        <v>8</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1</v>
      </c>
      <c r="D47" s="2608"/>
      <c r="E47" s="2609">
        <v>18000</v>
      </c>
      <c r="F47" s="2610"/>
      <c r="G47" s="2611">
        <v>16000</v>
      </c>
      <c r="H47" s="2612"/>
      <c r="I47" s="2609">
        <v>16000</v>
      </c>
      <c r="J47" s="2612"/>
      <c r="K47" s="1612"/>
      <c r="L47" s="2145"/>
      <c r="M47" s="2146"/>
      <c r="N47" s="2135"/>
      <c r="O47" s="2146"/>
      <c r="P47" s="3397" t="str">
        <f>A47</f>
        <v>成交单价（元/平方米）</v>
      </c>
      <c r="Q47" s="3397"/>
      <c r="R47" s="3492">
        <f>E47</f>
        <v>18000</v>
      </c>
      <c r="S47" s="3492"/>
      <c r="T47" s="3492">
        <f>G47</f>
        <v>16000</v>
      </c>
      <c r="U47" s="3492"/>
      <c r="V47" s="3492">
        <f>I47</f>
        <v>16000</v>
      </c>
      <c r="W47" s="3492"/>
      <c r="X47" s="1560"/>
      <c r="Y47" s="1582"/>
      <c r="Z47" s="1560"/>
      <c r="AA47" s="1560"/>
      <c r="AB47" s="1560"/>
      <c r="AC47" s="1560"/>
    </row>
    <row r="48" spans="1:29" ht="15.75" thickBot="1">
      <c r="A48" s="615" t="s">
        <v>2761</v>
      </c>
      <c r="B48" s="888"/>
      <c r="C48" s="2613">
        <f>R49</f>
        <v>14895</v>
      </c>
      <c r="D48" s="2614"/>
      <c r="E48" s="2615">
        <f>R48</f>
        <v>16031</v>
      </c>
      <c r="F48" s="2615"/>
      <c r="G48" s="2613">
        <f>T48</f>
        <v>14677</v>
      </c>
      <c r="H48" s="2614"/>
      <c r="I48" s="2615">
        <f>V48</f>
        <v>13976</v>
      </c>
      <c r="J48" s="2614"/>
      <c r="K48" s="1613"/>
      <c r="L48" s="2145"/>
      <c r="M48" s="2146"/>
      <c r="N48" s="2135"/>
      <c r="O48" s="2146"/>
      <c r="P48" s="3397" t="str">
        <f>A48</f>
        <v>比较价格（元/平方米）</v>
      </c>
      <c r="Q48" s="3397"/>
      <c r="R48" s="3492">
        <f>IF(F1="售价",ROUND(PRODUCT(R47,AA7:AA46),0),ROUND(PRODUCT(R47,AA7:AA46),1))</f>
        <v>16031</v>
      </c>
      <c r="S48" s="3492"/>
      <c r="T48" s="3492">
        <f>IF(F1="售价",ROUND(PRODUCT(T47,AB7:AB46),0),ROUND(PRODUCT(T47,AB7:AB46),1))</f>
        <v>14677</v>
      </c>
      <c r="U48" s="3492"/>
      <c r="V48" s="3492">
        <f>IF(F1="售价",ROUND(PRODUCT(V47,AC7:AC46),0),ROUND(PRODUCT(V47,AC7:AC46),1))</f>
        <v>13976</v>
      </c>
      <c r="W48" s="3492"/>
      <c r="X48" s="1560"/>
      <c r="Y48" s="1560"/>
      <c r="Z48" s="1560"/>
      <c r="AA48" s="1560"/>
      <c r="AB48" s="1560"/>
      <c r="AC48" s="1560"/>
    </row>
    <row r="49" spans="1:29" ht="15.75" thickBot="1">
      <c r="A49" s="621" t="s">
        <v>2937</v>
      </c>
      <c r="B49" s="622"/>
      <c r="C49" s="2616">
        <f>R49</f>
        <v>14895</v>
      </c>
      <c r="D49" s="2616"/>
      <c r="E49" s="2616"/>
      <c r="F49" s="2616"/>
      <c r="G49" s="2616"/>
      <c r="H49" s="2616"/>
      <c r="I49" s="2616"/>
      <c r="J49" s="2616"/>
      <c r="K49" s="1614"/>
      <c r="L49" s="2145"/>
      <c r="M49" s="2146"/>
      <c r="N49" s="2135"/>
      <c r="O49" s="2146"/>
      <c r="P49" s="3418" t="str">
        <f>A49</f>
        <v>估价对象XX用房的比较价格（楼面单价，元/平方米）</v>
      </c>
      <c r="Q49" s="3419"/>
      <c r="R49" s="3491">
        <f>IF(F1="售价",ROUND(AVERAGE(R48:V48),0),ROUND(AVERAGE(R48:V48),1))</f>
        <v>14895</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0.12282452747801131</v>
      </c>
      <c r="F52" s="627" t="str">
        <f>IF(OR(E52&gt;=0.3,E52&lt;=-0.3),"超过30%","")</f>
        <v/>
      </c>
      <c r="G52" s="626">
        <f>IF(G47&lt;G48,G48/G47-1,G47/G48-1)</f>
        <v>9.0141036996661539E-2</v>
      </c>
      <c r="H52" s="627" t="str">
        <f>IF(OR(G52&gt;=0.3,G52&lt;=-0.3),"超过30%","")</f>
        <v/>
      </c>
      <c r="I52" s="626">
        <f>IF(I47&lt;I48,I48/I47-1,I47/I48-1)</f>
        <v>0.14481969089868341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9.2253185255842585E-2</v>
      </c>
      <c r="F53" s="627" t="str">
        <f>IF(OR(E53&gt;=0.2,E53&lt;=-0.2),"超过20%","")</f>
        <v/>
      </c>
      <c r="G53" s="626">
        <f>IF(G48&lt;I48,I48/G48-1,G48/I48-1)</f>
        <v>5.0157412707498628E-2</v>
      </c>
      <c r="H53" s="627" t="str">
        <f>IF(OR(G53&gt;=0.2,G53&lt;=-0.2),"超过20%","")</f>
        <v/>
      </c>
      <c r="I53" s="626">
        <f>IF(I48&lt;E48,E48/I48-1,I48/E48-1)</f>
        <v>0.14703777904979964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0.125</v>
      </c>
      <c r="F54" s="627" t="str">
        <f>IF(OR(E54&gt;=0.3,E54&lt;=-0.3),"超过30%","")</f>
        <v/>
      </c>
      <c r="G54" s="626">
        <f>IF(G47&lt;I47,I47/G47-1,G47/I47-1)</f>
        <v>0</v>
      </c>
      <c r="H54" s="627" t="str">
        <f>IF(OR(G54&gt;=0.3,G54&lt;=-0.3),"超过30%","")</f>
        <v/>
      </c>
      <c r="I54" s="626">
        <f>IF(I47&lt;E47,E47/I47-1,I47/E47-1)</f>
        <v>0.125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3129</v>
      </c>
      <c r="D86" s="3194" t="s">
        <v>3130</v>
      </c>
      <c r="E86" s="3194" t="s">
        <v>3132</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95</v>
      </c>
      <c r="E87" s="679">
        <f t="shared" si="19"/>
        <v>90</v>
      </c>
      <c r="F87" s="679">
        <f t="shared" si="19"/>
        <v>85</v>
      </c>
      <c r="G87" s="679">
        <f t="shared" si="19"/>
        <v>80</v>
      </c>
      <c r="H87" s="679">
        <f t="shared" si="19"/>
        <v>75</v>
      </c>
      <c r="I87" s="679">
        <f t="shared" si="19"/>
        <v>70</v>
      </c>
      <c r="J87" s="679">
        <f t="shared" si="19"/>
        <v>65</v>
      </c>
      <c r="K87" s="679">
        <f t="shared" si="19"/>
        <v>60</v>
      </c>
      <c r="L87" s="679">
        <f t="shared" si="19"/>
        <v>55</v>
      </c>
      <c r="M87" s="679">
        <f t="shared" si="19"/>
        <v>50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3134</v>
      </c>
      <c r="D88" s="3194" t="s">
        <v>3135</v>
      </c>
      <c r="E88" s="3194" t="s">
        <v>3136</v>
      </c>
      <c r="F88" s="3196" t="s">
        <v>3137</v>
      </c>
      <c r="G88" s="3194" t="s">
        <v>3138</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3139</v>
      </c>
      <c r="D90" s="3194" t="s">
        <v>3141</v>
      </c>
      <c r="E90" s="3194" t="s">
        <v>3136</v>
      </c>
      <c r="F90" s="3194" t="s">
        <v>3142</v>
      </c>
      <c r="G90" s="3194" t="s">
        <v>3143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3145</v>
      </c>
      <c r="E92" s="3197">
        <v>2</v>
      </c>
      <c r="F92" s="3197" t="s">
        <v>3146</v>
      </c>
      <c r="G92" s="3197" t="s">
        <v>3147</v>
      </c>
      <c r="H92" s="3197" t="s">
        <v>3148</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90</v>
      </c>
      <c r="E93" s="671">
        <v>80</v>
      </c>
      <c r="F93" s="671">
        <v>70</v>
      </c>
      <c r="G93" s="671">
        <v>60</v>
      </c>
      <c r="H93" s="671">
        <f>(C93+E93+F93+G93)/4</f>
        <v>77.5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3126</v>
      </c>
      <c r="D100" s="3187" t="s">
        <v>3128</v>
      </c>
      <c r="E100" s="3187" t="s">
        <v>3127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v>
      </c>
      <c r="D102" s="708" t="str">
        <f t="shared" ref="D102:L102" si="22">D103&amp;"(含)"&amp;"-"&amp;E103</f>
        <v>10000(含)-30000</v>
      </c>
      <c r="E102" s="708" t="str">
        <f t="shared" si="22"/>
        <v>30000(含)-50000</v>
      </c>
      <c r="F102" s="708" t="str">
        <f t="shared" si="22"/>
        <v>50000(含)-80000</v>
      </c>
      <c r="G102" s="708" t="str">
        <f t="shared" si="22"/>
        <v>80000(含)-100000</v>
      </c>
      <c r="H102" s="708" t="str">
        <f t="shared" si="22"/>
        <v>100000(含)-300000</v>
      </c>
      <c r="I102" s="708" t="str">
        <f t="shared" si="22"/>
        <v>300000(含)-500000</v>
      </c>
      <c r="J102" s="708" t="str">
        <f t="shared" si="22"/>
        <v>500000(含)-800000</v>
      </c>
      <c r="K102" s="708" t="str">
        <f t="shared" si="22"/>
        <v>800000(含)-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v>30000</v>
      </c>
      <c r="F103" s="730">
        <v>50000</v>
      </c>
      <c r="G103" s="730">
        <v>80000</v>
      </c>
      <c r="H103" s="730">
        <v>100000</v>
      </c>
      <c r="I103" s="730">
        <v>300000</v>
      </c>
      <c r="J103" s="731">
        <v>500000</v>
      </c>
      <c r="K103" s="731">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84</v>
      </c>
      <c r="D104" s="671">
        <v>86</v>
      </c>
      <c r="E104" s="671">
        <v>88</v>
      </c>
      <c r="F104" s="692">
        <v>90</v>
      </c>
      <c r="G104" s="671">
        <v>92</v>
      </c>
      <c r="H104" s="671">
        <v>94</v>
      </c>
      <c r="I104" s="692">
        <v>96</v>
      </c>
      <c r="J104" s="671">
        <v>98</v>
      </c>
      <c r="K104" s="671">
        <v>100</v>
      </c>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3153</v>
      </c>
      <c r="D105" s="3194" t="s">
        <v>3150</v>
      </c>
      <c r="E105" s="3195" t="s">
        <v>3154</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3110</v>
      </c>
      <c r="D107" s="688" t="s">
        <v>3112</v>
      </c>
      <c r="E107" s="688" t="s">
        <v>3114</v>
      </c>
      <c r="F107" s="718" t="s">
        <v>3116</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3121</v>
      </c>
      <c r="D112" s="3194" t="s">
        <v>3123</v>
      </c>
      <c r="E112" s="3194" t="s">
        <v>3124</v>
      </c>
      <c r="F112" s="3194" t="s">
        <v>3125</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3119</v>
      </c>
      <c r="D114" s="3194" t="s">
        <v>3120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3111</v>
      </c>
      <c r="D122" s="3194" t="s">
        <v>3113</v>
      </c>
      <c r="E122" s="3194" t="s">
        <v>3115</v>
      </c>
      <c r="F122" s="3195"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3" t="s">
        <v>522</v>
      </c>
      <c r="D4" s="3404"/>
      <c r="E4" s="3427" t="s">
        <v>523</v>
      </c>
      <c r="F4" s="3428"/>
      <c r="G4" s="3403" t="s">
        <v>524</v>
      </c>
      <c r="H4" s="3404"/>
      <c r="I4" s="3403" t="s">
        <v>525</v>
      </c>
      <c r="J4" s="3404"/>
      <c r="K4" s="514" t="s">
        <v>526</v>
      </c>
      <c r="L4" s="2134"/>
      <c r="M4" s="2135"/>
      <c r="N4" s="2135"/>
      <c r="O4" s="2135"/>
      <c r="P4" s="3496"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9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98"/>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0"/>
      <c r="R8" s="1569" t="s">
        <v>8</v>
      </c>
      <c r="S8" s="1570">
        <f t="shared" si="0"/>
        <v>0</v>
      </c>
      <c r="T8" s="1569" t="s">
        <v>8</v>
      </c>
      <c r="U8" s="1570">
        <f t="shared" si="1"/>
        <v>0</v>
      </c>
      <c r="V8" s="1569" t="s">
        <v>8</v>
      </c>
      <c r="W8" s="1570">
        <f t="shared" si="2"/>
        <v>0</v>
      </c>
      <c r="X8" s="1571"/>
      <c r="Y8" s="3389" t="s">
        <v>533</v>
      </c>
      <c r="Z8" s="3390"/>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0"/>
      <c r="Q18" s="1573"/>
      <c r="R18" s="1574"/>
      <c r="S18" s="1575"/>
      <c r="T18" s="1574"/>
      <c r="U18" s="1575"/>
      <c r="V18" s="1574"/>
      <c r="W18" s="1575"/>
      <c r="X18" s="1568"/>
      <c r="Y18" s="3400"/>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0"/>
      <c r="Q20" s="1573"/>
      <c r="R20" s="1574"/>
      <c r="S20" s="1575"/>
      <c r="T20" s="1574"/>
      <c r="U20" s="1575"/>
      <c r="V20" s="1574"/>
      <c r="W20" s="1575"/>
      <c r="X20" s="1568"/>
      <c r="Y20" s="3400"/>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0"/>
      <c r="Q22" s="2559"/>
      <c r="R22" s="1574"/>
      <c r="S22" s="1575"/>
      <c r="T22" s="1574"/>
      <c r="U22" s="1575"/>
      <c r="V22" s="1574"/>
      <c r="W22" s="1575"/>
      <c r="X22" s="2561"/>
      <c r="Y22" s="340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3"/>
      <c r="Q47" s="1573">
        <f t="shared" si="11"/>
        <v>111</v>
      </c>
      <c r="R47" s="1574" t="s">
        <v>8</v>
      </c>
      <c r="S47" s="1575">
        <f t="shared" si="12"/>
        <v>100</v>
      </c>
      <c r="T47" s="1574" t="s">
        <v>8</v>
      </c>
      <c r="U47" s="1575">
        <f t="shared" si="13"/>
        <v>100</v>
      </c>
      <c r="V47" s="1574" t="s">
        <v>8</v>
      </c>
      <c r="W47" s="1575">
        <f t="shared" si="14"/>
        <v>100</v>
      </c>
      <c r="X47" s="1568"/>
      <c r="Y47" s="3493"/>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9" t="str">
        <f>A48</f>
        <v>成交单价（元/平方米）</v>
      </c>
      <c r="Q48" s="3397"/>
      <c r="R48" s="3492">
        <f>E48</f>
        <v>0</v>
      </c>
      <c r="S48" s="3492"/>
      <c r="T48" s="3492">
        <f>G48</f>
        <v>0</v>
      </c>
      <c r="U48" s="3492"/>
      <c r="V48" s="3492">
        <f>I48</f>
        <v>0</v>
      </c>
      <c r="W48" s="3492"/>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19" t="str">
        <f>A49</f>
        <v>比较价格（元/平方米）</v>
      </c>
      <c r="Q49" s="3397"/>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9" t="str">
        <f>A50</f>
        <v>估价对象XX用房的比较价格（楼面单价，元/平方米）</v>
      </c>
      <c r="Q50" s="3419"/>
      <c r="R50" s="3491" t="e">
        <f>IF(F1="售价",ROUND(AVERAGE(R49:V49),0),ROUND(AVERAGE(R49:V49),1))</f>
        <v>#DIV/0!</v>
      </c>
      <c r="S50" s="3491"/>
      <c r="T50" s="3491"/>
      <c r="U50" s="3491"/>
      <c r="V50" s="3491"/>
      <c r="W50" s="349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7"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9"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3"/>
      <c r="Q40" s="1573">
        <f t="shared" si="11"/>
        <v>111</v>
      </c>
      <c r="R40" s="1574" t="s">
        <v>8</v>
      </c>
      <c r="S40" s="1575">
        <f t="shared" si="12"/>
        <v>100</v>
      </c>
      <c r="T40" s="1574" t="s">
        <v>8</v>
      </c>
      <c r="U40" s="1575">
        <f t="shared" si="13"/>
        <v>100</v>
      </c>
      <c r="V40" s="1574" t="s">
        <v>8</v>
      </c>
      <c r="W40" s="1575">
        <f t="shared" si="14"/>
        <v>100</v>
      </c>
      <c r="X40" s="1568"/>
      <c r="Y40" s="3493"/>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97" t="str">
        <f>A41</f>
        <v>成交单价（元/平方米）</v>
      </c>
      <c r="Q41" s="3397"/>
      <c r="R41" s="3492">
        <f>E41</f>
        <v>0</v>
      </c>
      <c r="S41" s="3492"/>
      <c r="T41" s="3492">
        <f>G41</f>
        <v>0</v>
      </c>
      <c r="U41" s="3492"/>
      <c r="V41" s="3492">
        <f>I41</f>
        <v>0</v>
      </c>
      <c r="W41" s="3492"/>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97" t="str">
        <f>A42</f>
        <v>比较价格（元/平方米）</v>
      </c>
      <c r="Q42" s="3397"/>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418" t="str">
        <f>A43</f>
        <v>估价对象XX用房的比较价格（楼面单价，元/平方米）</v>
      </c>
      <c r="Q43" s="3419"/>
      <c r="R43" s="3491" t="e">
        <f>IF(F1="售价",ROUND(AVERAGE(R42:V42),0),ROUND(AVERAGE(R42:V42),1))</f>
        <v>#DIV/0!</v>
      </c>
      <c r="S43" s="3491"/>
      <c r="T43" s="3491"/>
      <c r="U43" s="3491"/>
      <c r="V43" s="3491"/>
      <c r="W43" s="349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03" t="s">
        <v>799</v>
      </c>
      <c r="F4" s="3404"/>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14" t="s">
        <v>2932</v>
      </c>
      <c r="F5" s="3415"/>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16" t="s">
        <v>2935</v>
      </c>
      <c r="F6" s="3417"/>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97" t="str">
        <f>A37</f>
        <v>成交单价</v>
      </c>
      <c r="Q37" s="3397"/>
      <c r="R37" s="3492">
        <f>E37</f>
        <v>0</v>
      </c>
      <c r="S37" s="3492"/>
      <c r="T37" s="3492">
        <f>G37</f>
        <v>0</v>
      </c>
      <c r="U37" s="3492"/>
      <c r="V37" s="3492">
        <f>I37</f>
        <v>0</v>
      </c>
      <c r="W37" s="3492"/>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97" t="str">
        <f>A38</f>
        <v>比较价格（元/平方米）</v>
      </c>
      <c r="Q38" s="3397"/>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418" t="str">
        <f>A39</f>
        <v>估价对象XX用房的比较价格（楼面单价，元/平方米）</v>
      </c>
      <c r="Q39" s="3419"/>
      <c r="R39" s="3491" t="e">
        <f>IF(F1="售价",ROUND(AVERAGE(R38:V38),0),ROUND(AVERAGE(R38:V38),1))</f>
        <v>#DIV/0!</v>
      </c>
      <c r="S39" s="3491"/>
      <c r="T39" s="3491"/>
      <c r="U39" s="3491"/>
      <c r="V39" s="3491"/>
      <c r="W39" s="349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27" t="s">
        <v>799</v>
      </c>
      <c r="F4" s="3428"/>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97" t="str">
        <f>A35</f>
        <v>成交单价（元/平方米）</v>
      </c>
      <c r="Q35" s="3397"/>
      <c r="R35" s="3492">
        <f>E35</f>
        <v>0</v>
      </c>
      <c r="S35" s="3492"/>
      <c r="T35" s="3492">
        <f>G35</f>
        <v>0</v>
      </c>
      <c r="U35" s="3492"/>
      <c r="V35" s="3492">
        <f>I35</f>
        <v>0</v>
      </c>
      <c r="W35" s="3492"/>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97" t="str">
        <f>A36</f>
        <v>比较价格（元/平方米）</v>
      </c>
      <c r="Q36" s="3397"/>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418" t="str">
        <f>A37</f>
        <v>估价对象XX用房的比较价格（楼面单价，元/平方米）</v>
      </c>
      <c r="Q37" s="3419"/>
      <c r="R37" s="3491" t="e">
        <f>IF(F1="售价",ROUND(AVERAGE(R36:V36),0),ROUND(AVERAGE(R36:V36),1))</f>
        <v>#DIV/0!</v>
      </c>
      <c r="S37" s="3491"/>
      <c r="T37" s="3491"/>
      <c r="U37" s="3491"/>
      <c r="V37" s="3491"/>
      <c r="W37" s="349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3" t="s">
        <v>2305</v>
      </c>
      <c r="D1" s="3504"/>
      <c r="E1" s="3504"/>
      <c r="F1" s="3504"/>
      <c r="G1" s="3504"/>
      <c r="H1" s="3504"/>
      <c r="I1" s="3504"/>
      <c r="J1" s="3504"/>
      <c r="K1" s="3504"/>
      <c r="L1" s="3504"/>
      <c r="M1" s="3504"/>
      <c r="N1" s="3504"/>
      <c r="O1" s="3504"/>
      <c r="P1" s="3504"/>
      <c r="Q1" s="3504"/>
      <c r="R1" s="3504"/>
      <c r="S1" s="350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3071</v>
      </c>
      <c r="B2" s="2918" t="s">
        <v>3008</v>
      </c>
      <c r="C2" s="2918" t="s">
        <v>3009</v>
      </c>
      <c r="D2" s="2918">
        <v>23109</v>
      </c>
      <c r="E2" s="2918">
        <v>115545</v>
      </c>
      <c r="F2" s="2918" t="s">
        <v>3072</v>
      </c>
      <c r="G2" s="2918" t="s">
        <v>3011</v>
      </c>
      <c r="H2" s="2918" t="s">
        <v>3012</v>
      </c>
      <c r="I2" s="2918">
        <v>7350</v>
      </c>
      <c r="J2" s="2918">
        <v>7350</v>
      </c>
      <c r="K2" s="2918">
        <v>636.12</v>
      </c>
      <c r="L2" s="2918">
        <v>0</v>
      </c>
      <c r="M2" s="2918" t="s">
        <v>3073</v>
      </c>
      <c r="N2" s="2918" t="s">
        <v>3016</v>
      </c>
    </row>
    <row r="3" spans="1:15">
      <c r="A3" s="2918" t="s">
        <v>3074</v>
      </c>
      <c r="B3" s="2918" t="s">
        <v>3008</v>
      </c>
      <c r="C3" s="2918" t="s">
        <v>3009</v>
      </c>
      <c r="D3" s="2918">
        <v>6048</v>
      </c>
      <c r="E3" s="2918">
        <v>6048</v>
      </c>
      <c r="F3" s="2918" t="s">
        <v>3014</v>
      </c>
      <c r="G3" s="2918" t="s">
        <v>3011</v>
      </c>
      <c r="H3" s="2918" t="s">
        <v>3075</v>
      </c>
      <c r="I3" s="2918">
        <v>610</v>
      </c>
      <c r="J3" s="2918">
        <v>610</v>
      </c>
      <c r="K3" s="2918">
        <v>1008.6</v>
      </c>
      <c r="L3" s="2918">
        <v>0</v>
      </c>
      <c r="M3" s="2918" t="s">
        <v>3076</v>
      </c>
      <c r="N3" s="2918" t="s">
        <v>3016</v>
      </c>
    </row>
    <row r="4" spans="1:15">
      <c r="A4" s="2918" t="s">
        <v>3077</v>
      </c>
      <c r="B4" s="2918" t="s">
        <v>3008</v>
      </c>
      <c r="C4" s="2918" t="s">
        <v>3009</v>
      </c>
      <c r="D4" s="2918">
        <v>5658</v>
      </c>
      <c r="E4" s="2918">
        <v>6789.6</v>
      </c>
      <c r="F4" s="2918" t="s">
        <v>3078</v>
      </c>
      <c r="G4" s="2918" t="s">
        <v>3011</v>
      </c>
      <c r="H4" s="2918" t="s">
        <v>3079</v>
      </c>
      <c r="I4" s="2918">
        <v>370</v>
      </c>
      <c r="J4" s="2918">
        <v>370</v>
      </c>
      <c r="K4" s="2918">
        <v>544.95000000000005</v>
      </c>
      <c r="L4" s="2918">
        <v>0</v>
      </c>
      <c r="M4" s="2918" t="s">
        <v>3080</v>
      </c>
      <c r="N4" s="2918" t="s">
        <v>3016</v>
      </c>
    </row>
    <row r="5" spans="1:15">
      <c r="A5" s="2918" t="s">
        <v>3081</v>
      </c>
      <c r="B5" s="2918" t="s">
        <v>3008</v>
      </c>
      <c r="C5" s="2918" t="s">
        <v>3009</v>
      </c>
      <c r="D5" s="2918">
        <v>2869</v>
      </c>
      <c r="E5" s="2918">
        <v>1434.5</v>
      </c>
      <c r="F5" s="2918" t="s">
        <v>3017</v>
      </c>
      <c r="G5" s="2918" t="s">
        <v>3011</v>
      </c>
      <c r="H5" s="2918" t="s">
        <v>3079</v>
      </c>
      <c r="I5" s="2918">
        <v>560</v>
      </c>
      <c r="J5" s="2918">
        <v>560</v>
      </c>
      <c r="K5" s="2918">
        <v>3903.8</v>
      </c>
      <c r="L5" s="2918">
        <v>0</v>
      </c>
      <c r="M5" s="2918" t="s">
        <v>3082</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3083</v>
      </c>
      <c r="B9" s="2918" t="s">
        <v>3008</v>
      </c>
      <c r="C9" s="2918" t="s">
        <v>3009</v>
      </c>
      <c r="D9" s="2918">
        <v>3121</v>
      </c>
      <c r="E9" s="2918">
        <v>1560.5</v>
      </c>
      <c r="F9" s="2918" t="s">
        <v>3017</v>
      </c>
      <c r="G9" s="2918" t="s">
        <v>3011</v>
      </c>
      <c r="H9" s="2918" t="s">
        <v>3024</v>
      </c>
      <c r="I9" s="2918">
        <v>840</v>
      </c>
      <c r="J9" s="2918">
        <v>3300</v>
      </c>
      <c r="K9" s="2918">
        <v>21147.06</v>
      </c>
      <c r="L9" s="2918">
        <v>292.86</v>
      </c>
      <c r="M9" s="2918" t="s">
        <v>3084</v>
      </c>
      <c r="N9" s="2918" t="s">
        <v>3016</v>
      </c>
    </row>
    <row r="10" spans="1:15">
      <c r="A10" s="2918" t="s">
        <v>3085</v>
      </c>
      <c r="B10" s="2918" t="s">
        <v>3008</v>
      </c>
      <c r="C10" s="2918" t="s">
        <v>3009</v>
      </c>
      <c r="D10" s="2918">
        <v>22412</v>
      </c>
      <c r="E10" s="2918">
        <v>4482.3999999999996</v>
      </c>
      <c r="F10" s="2918" t="s">
        <v>3086</v>
      </c>
      <c r="G10" s="2918" t="s">
        <v>3011</v>
      </c>
      <c r="H10" s="2918" t="s">
        <v>3024</v>
      </c>
      <c r="I10" s="2918">
        <v>1810</v>
      </c>
      <c r="J10" s="2918">
        <v>7170</v>
      </c>
      <c r="K10" s="2918">
        <v>15995.89</v>
      </c>
      <c r="L10" s="2918">
        <v>296.13</v>
      </c>
      <c r="M10" s="2918" t="s">
        <v>3082</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3087</v>
      </c>
      <c r="B15" s="2918" t="s">
        <v>3008</v>
      </c>
      <c r="C15" s="2918" t="s">
        <v>3009</v>
      </c>
      <c r="D15" s="2918">
        <v>45467.8</v>
      </c>
      <c r="E15" s="2918">
        <v>31827.46</v>
      </c>
      <c r="F15" s="2918" t="s">
        <v>3044</v>
      </c>
      <c r="G15" s="2918" t="s">
        <v>3011</v>
      </c>
      <c r="H15" s="2918" t="s">
        <v>3088</v>
      </c>
      <c r="I15" s="2918">
        <v>5950</v>
      </c>
      <c r="J15" s="2918">
        <v>5990</v>
      </c>
      <c r="K15" s="2918">
        <v>1882.01</v>
      </c>
      <c r="L15" s="2918">
        <v>0.67</v>
      </c>
      <c r="M15" s="2918" t="s">
        <v>3089</v>
      </c>
      <c r="N15" s="2918" t="s">
        <v>3016</v>
      </c>
    </row>
    <row r="16" spans="1:15">
      <c r="A16" s="2918" t="s">
        <v>3090</v>
      </c>
      <c r="B16" s="2918" t="s">
        <v>3008</v>
      </c>
      <c r="C16" s="2918" t="s">
        <v>3009</v>
      </c>
      <c r="D16" s="2918">
        <v>40465</v>
      </c>
      <c r="E16" s="2918">
        <v>101162.5</v>
      </c>
      <c r="F16" s="2918" t="s">
        <v>3027</v>
      </c>
      <c r="G16" s="2918" t="s">
        <v>3011</v>
      </c>
      <c r="H16" s="2918" t="s">
        <v>3088</v>
      </c>
      <c r="I16" s="2918">
        <v>10020</v>
      </c>
      <c r="J16" s="2918">
        <v>14600</v>
      </c>
      <c r="K16" s="2918">
        <v>1443.22</v>
      </c>
      <c r="L16" s="2918">
        <v>45.71</v>
      </c>
      <c r="M16" s="2918" t="s">
        <v>3091</v>
      </c>
      <c r="N16" s="2918" t="s">
        <v>3016</v>
      </c>
    </row>
    <row r="17" spans="1:15">
      <c r="A17" s="2918" t="s">
        <v>3092</v>
      </c>
      <c r="B17" s="2918" t="s">
        <v>3008</v>
      </c>
      <c r="C17" s="2918" t="s">
        <v>3009</v>
      </c>
      <c r="D17" s="2918">
        <v>61907</v>
      </c>
      <c r="E17" s="2918">
        <v>154767.5</v>
      </c>
      <c r="F17" s="2918" t="s">
        <v>3010</v>
      </c>
      <c r="G17" s="2918" t="s">
        <v>3011</v>
      </c>
      <c r="H17" s="2918" t="s">
        <v>3088</v>
      </c>
      <c r="I17" s="2918">
        <v>9860</v>
      </c>
      <c r="J17" s="2918">
        <v>14300</v>
      </c>
      <c r="K17" s="2918">
        <v>923.97</v>
      </c>
      <c r="L17" s="2918">
        <v>45.03</v>
      </c>
      <c r="M17" s="2918" t="s">
        <v>3093</v>
      </c>
      <c r="N17" s="2918" t="s">
        <v>3016</v>
      </c>
    </row>
    <row r="18" spans="1:15" s="3189" customFormat="1">
      <c r="A18" s="3188" t="s">
        <v>3094</v>
      </c>
      <c r="B18" s="3188" t="s">
        <v>3008</v>
      </c>
      <c r="C18" s="3188" t="s">
        <v>3009</v>
      </c>
      <c r="D18" s="3188">
        <v>42708</v>
      </c>
      <c r="E18" s="3188">
        <v>76874.399999999994</v>
      </c>
      <c r="F18" s="3188" t="s">
        <v>3040</v>
      </c>
      <c r="G18" s="3188" t="s">
        <v>3011</v>
      </c>
      <c r="H18" s="3188" t="s">
        <v>3088</v>
      </c>
      <c r="I18" s="3188">
        <v>12180</v>
      </c>
      <c r="J18" s="3188">
        <v>17700</v>
      </c>
      <c r="K18" s="3188">
        <v>2302.46</v>
      </c>
      <c r="L18" s="3188">
        <v>45.32</v>
      </c>
      <c r="M18" s="3188" t="s">
        <v>3091</v>
      </c>
      <c r="N18" s="3188" t="s">
        <v>3016</v>
      </c>
    </row>
    <row r="19" spans="1:15">
      <c r="A19" s="2918" t="s">
        <v>3095</v>
      </c>
      <c r="B19" s="2918" t="s">
        <v>3008</v>
      </c>
      <c r="C19" s="2918" t="s">
        <v>3009</v>
      </c>
      <c r="D19" s="2918">
        <v>23835.599999999999</v>
      </c>
      <c r="E19" s="2918">
        <v>59589</v>
      </c>
      <c r="F19" s="2918" t="s">
        <v>3010</v>
      </c>
      <c r="G19" s="2918" t="s">
        <v>3011</v>
      </c>
      <c r="H19" s="2918" t="s">
        <v>3088</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B25" sqref="B25"/>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3155</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3156</v>
      </c>
      <c r="N2" s="2918" t="s">
        <v>3016</v>
      </c>
    </row>
    <row r="3" spans="1:14">
      <c r="A3" s="2918" t="s">
        <v>3071</v>
      </c>
      <c r="B3" s="2918" t="s">
        <v>3008</v>
      </c>
      <c r="C3" s="2918" t="s">
        <v>3009</v>
      </c>
      <c r="D3" s="2918">
        <v>23109</v>
      </c>
      <c r="E3" s="2918">
        <v>115545</v>
      </c>
      <c r="F3" s="2918" t="s">
        <v>3072</v>
      </c>
      <c r="G3" s="2918" t="s">
        <v>3011</v>
      </c>
      <c r="H3" s="2918" t="s">
        <v>3012</v>
      </c>
      <c r="I3" s="2918">
        <v>7350</v>
      </c>
      <c r="J3" s="2918">
        <v>7350</v>
      </c>
      <c r="K3" s="2918">
        <v>636.12</v>
      </c>
      <c r="L3" s="2918">
        <v>0</v>
      </c>
      <c r="M3" s="2918" t="s">
        <v>3073</v>
      </c>
      <c r="N3" s="2918" t="s">
        <v>3016</v>
      </c>
    </row>
    <row r="4" spans="1:14">
      <c r="A4" s="2918" t="s">
        <v>3157</v>
      </c>
      <c r="B4" s="2918" t="s">
        <v>3008</v>
      </c>
      <c r="C4" s="2918" t="s">
        <v>3009</v>
      </c>
      <c r="D4" s="2918">
        <v>20009.099999999999</v>
      </c>
      <c r="E4" s="2918">
        <v>44020.02</v>
      </c>
      <c r="F4" s="2918" t="s">
        <v>3158</v>
      </c>
      <c r="G4" s="2918" t="s">
        <v>3011</v>
      </c>
      <c r="H4" s="2918" t="s">
        <v>3012</v>
      </c>
      <c r="I4" s="2918">
        <v>4500</v>
      </c>
      <c r="J4" s="2918">
        <v>4500</v>
      </c>
      <c r="K4" s="2918">
        <v>1022.25</v>
      </c>
      <c r="L4" s="2918">
        <v>0</v>
      </c>
      <c r="M4" s="2918" t="s">
        <v>3159</v>
      </c>
      <c r="N4" s="2918" t="s">
        <v>3016</v>
      </c>
    </row>
    <row r="5" spans="1:14">
      <c r="A5" s="2918" t="s">
        <v>3160</v>
      </c>
      <c r="B5" s="2918" t="s">
        <v>3008</v>
      </c>
      <c r="C5" s="2918" t="s">
        <v>3009</v>
      </c>
      <c r="D5" s="2918">
        <v>22998</v>
      </c>
      <c r="E5" s="2918">
        <v>68994</v>
      </c>
      <c r="F5" s="2918" t="s">
        <v>3023</v>
      </c>
      <c r="G5" s="2918" t="s">
        <v>3011</v>
      </c>
      <c r="H5" s="2918" t="s">
        <v>3161</v>
      </c>
      <c r="I5" s="2918">
        <v>8210</v>
      </c>
      <c r="J5" s="2918">
        <v>8210</v>
      </c>
      <c r="K5" s="2918">
        <v>1189.96</v>
      </c>
      <c r="L5" s="2918">
        <v>0</v>
      </c>
      <c r="M5" s="2918" t="s">
        <v>3162</v>
      </c>
      <c r="N5" s="2918" t="s">
        <v>3016</v>
      </c>
    </row>
    <row r="6" spans="1:14">
      <c r="A6" s="2918" t="s">
        <v>3163</v>
      </c>
      <c r="B6" s="2918" t="s">
        <v>3008</v>
      </c>
      <c r="C6" s="2918" t="s">
        <v>3009</v>
      </c>
      <c r="D6" s="2918">
        <v>39118</v>
      </c>
      <c r="E6" s="2918">
        <v>117354</v>
      </c>
      <c r="F6" s="2918" t="s">
        <v>3023</v>
      </c>
      <c r="G6" s="2918" t="s">
        <v>3011</v>
      </c>
      <c r="H6" s="2918" t="s">
        <v>3161</v>
      </c>
      <c r="I6" s="2918">
        <v>13960</v>
      </c>
      <c r="J6" s="2918">
        <v>13960</v>
      </c>
      <c r="K6" s="2918">
        <v>1189.55</v>
      </c>
      <c r="L6" s="2918">
        <v>0</v>
      </c>
      <c r="M6" s="2918" t="s">
        <v>3162</v>
      </c>
      <c r="N6" s="2918" t="s">
        <v>3016</v>
      </c>
    </row>
    <row r="7" spans="1:14">
      <c r="A7" s="2918" t="s">
        <v>3164</v>
      </c>
      <c r="B7" s="2918" t="s">
        <v>3008</v>
      </c>
      <c r="C7" s="2918" t="s">
        <v>3009</v>
      </c>
      <c r="D7" s="2918">
        <v>49744</v>
      </c>
      <c r="E7" s="2918">
        <v>124360</v>
      </c>
      <c r="F7" s="2918" t="s">
        <v>3010</v>
      </c>
      <c r="G7" s="2918" t="s">
        <v>3011</v>
      </c>
      <c r="H7" s="2918" t="s">
        <v>3161</v>
      </c>
      <c r="I7" s="2918">
        <v>14940</v>
      </c>
      <c r="J7" s="2918">
        <v>14940</v>
      </c>
      <c r="K7" s="2918">
        <v>1201.3399999999999</v>
      </c>
      <c r="L7" s="2918">
        <v>0</v>
      </c>
      <c r="M7" s="2918" t="s">
        <v>3165</v>
      </c>
      <c r="N7" s="2918" t="s">
        <v>3016</v>
      </c>
    </row>
    <row r="8" spans="1:14">
      <c r="A8" s="2918" t="s">
        <v>3074</v>
      </c>
      <c r="B8" s="2918" t="s">
        <v>3008</v>
      </c>
      <c r="C8" s="2918" t="s">
        <v>3009</v>
      </c>
      <c r="D8" s="2918">
        <v>6048</v>
      </c>
      <c r="E8" s="2918">
        <v>6048</v>
      </c>
      <c r="F8" s="2918" t="s">
        <v>3014</v>
      </c>
      <c r="G8" s="2918" t="s">
        <v>3011</v>
      </c>
      <c r="H8" s="2918" t="s">
        <v>3075</v>
      </c>
      <c r="I8" s="2918">
        <v>610</v>
      </c>
      <c r="J8" s="2918">
        <v>610</v>
      </c>
      <c r="K8" s="2918">
        <v>1008.6</v>
      </c>
      <c r="L8" s="2918">
        <v>0</v>
      </c>
      <c r="M8" s="2918" t="s">
        <v>3076</v>
      </c>
      <c r="N8" s="2918" t="s">
        <v>3016</v>
      </c>
    </row>
    <row r="9" spans="1:14" s="3203" customFormat="1">
      <c r="A9" s="2918" t="s">
        <v>3166</v>
      </c>
      <c r="B9" s="2918" t="s">
        <v>3008</v>
      </c>
      <c r="C9" s="2918" t="s">
        <v>3009</v>
      </c>
      <c r="D9" s="2918">
        <v>225233.8</v>
      </c>
      <c r="E9" s="2918">
        <v>270280.59999999998</v>
      </c>
      <c r="F9" s="2918" t="s">
        <v>3167</v>
      </c>
      <c r="G9" s="2918" t="s">
        <v>3011</v>
      </c>
      <c r="H9" s="2918" t="s">
        <v>3168</v>
      </c>
      <c r="I9" s="2918">
        <v>50600</v>
      </c>
      <c r="J9" s="2918">
        <v>50600</v>
      </c>
      <c r="K9" s="2918">
        <v>1872.13</v>
      </c>
      <c r="L9" s="2918">
        <v>0</v>
      </c>
      <c r="M9" s="2918" t="s">
        <v>3169</v>
      </c>
      <c r="N9" s="2918" t="s">
        <v>3016</v>
      </c>
    </row>
    <row r="10" spans="1:14">
      <c r="A10" s="2918" t="s">
        <v>3170</v>
      </c>
      <c r="B10" s="2918" t="s">
        <v>3008</v>
      </c>
      <c r="C10" s="2918" t="s">
        <v>3009</v>
      </c>
      <c r="D10" s="2918">
        <v>2044</v>
      </c>
      <c r="E10" s="2918">
        <v>1022</v>
      </c>
      <c r="F10" s="2918" t="s">
        <v>3017</v>
      </c>
      <c r="G10" s="2918" t="s">
        <v>3011</v>
      </c>
      <c r="H10" s="2918" t="s">
        <v>3168</v>
      </c>
      <c r="I10" s="2918">
        <v>620</v>
      </c>
      <c r="J10" s="2918">
        <v>660</v>
      </c>
      <c r="K10" s="2918">
        <v>6457.93</v>
      </c>
      <c r="L10" s="2918">
        <v>6.45</v>
      </c>
      <c r="M10" s="2918" t="s">
        <v>3082</v>
      </c>
      <c r="N10" s="2918" t="s">
        <v>3016</v>
      </c>
    </row>
    <row r="11" spans="1:14" s="3203" customFormat="1">
      <c r="A11" s="3202" t="s">
        <v>3171</v>
      </c>
      <c r="B11" s="3202" t="s">
        <v>3008</v>
      </c>
      <c r="C11" s="3202" t="s">
        <v>3009</v>
      </c>
      <c r="D11" s="3202">
        <v>25913.1</v>
      </c>
      <c r="E11" s="3202">
        <v>95878.47</v>
      </c>
      <c r="F11" s="3202" t="s">
        <v>3172</v>
      </c>
      <c r="G11" s="3202" t="s">
        <v>3011</v>
      </c>
      <c r="H11" s="3202" t="s">
        <v>3079</v>
      </c>
      <c r="I11" s="3202">
        <v>30000</v>
      </c>
      <c r="J11" s="3202">
        <v>30000</v>
      </c>
      <c r="K11" s="3202">
        <v>3128.96</v>
      </c>
      <c r="L11" s="3202">
        <v>0</v>
      </c>
      <c r="M11" s="3202" t="s">
        <v>3173</v>
      </c>
      <c r="N11" s="3202" t="s">
        <v>3016</v>
      </c>
    </row>
    <row r="12" spans="1:14">
      <c r="A12" s="2918" t="s">
        <v>3174</v>
      </c>
      <c r="B12" s="2918" t="s">
        <v>3008</v>
      </c>
      <c r="C12" s="2918" t="s">
        <v>3009</v>
      </c>
      <c r="D12" s="2918">
        <v>8116.1</v>
      </c>
      <c r="E12" s="2918">
        <v>12174.15</v>
      </c>
      <c r="F12" s="2918" t="s">
        <v>3034</v>
      </c>
      <c r="G12" s="2918" t="s">
        <v>3011</v>
      </c>
      <c r="H12" s="2918" t="s">
        <v>3079</v>
      </c>
      <c r="I12" s="2918">
        <v>1350</v>
      </c>
      <c r="J12" s="2918">
        <v>1350</v>
      </c>
      <c r="K12" s="2918">
        <v>1108.9100000000001</v>
      </c>
      <c r="L12" s="2918">
        <v>0</v>
      </c>
      <c r="M12" s="2918" t="s">
        <v>3175</v>
      </c>
      <c r="N12" s="2918" t="s">
        <v>3016</v>
      </c>
    </row>
    <row r="13" spans="1:14">
      <c r="A13" s="2918" t="s">
        <v>3176</v>
      </c>
      <c r="B13" s="2918" t="s">
        <v>3008</v>
      </c>
      <c r="C13" s="2918" t="s">
        <v>3009</v>
      </c>
      <c r="D13" s="2918">
        <v>40492</v>
      </c>
      <c r="E13" s="2918">
        <v>141722</v>
      </c>
      <c r="F13" s="2918" t="s">
        <v>3177</v>
      </c>
      <c r="G13" s="2918" t="s">
        <v>3011</v>
      </c>
      <c r="H13" s="2918" t="s">
        <v>3079</v>
      </c>
      <c r="I13" s="2918">
        <v>18700</v>
      </c>
      <c r="J13" s="2918">
        <v>19400</v>
      </c>
      <c r="K13" s="2918">
        <v>1368.88</v>
      </c>
      <c r="L13" s="2918">
        <v>3.74</v>
      </c>
      <c r="M13" s="2918" t="s">
        <v>3178</v>
      </c>
      <c r="N13" s="2918" t="s">
        <v>3013</v>
      </c>
    </row>
    <row r="14" spans="1:14">
      <c r="A14" s="2918" t="s">
        <v>3077</v>
      </c>
      <c r="B14" s="2918" t="s">
        <v>3008</v>
      </c>
      <c r="C14" s="2918" t="s">
        <v>3009</v>
      </c>
      <c r="D14" s="2918">
        <v>5658</v>
      </c>
      <c r="E14" s="2918">
        <v>6789.6</v>
      </c>
      <c r="F14" s="2918" t="s">
        <v>3078</v>
      </c>
      <c r="G14" s="2918" t="s">
        <v>3011</v>
      </c>
      <c r="H14" s="2918" t="s">
        <v>3079</v>
      </c>
      <c r="I14" s="2918">
        <v>370</v>
      </c>
      <c r="J14" s="2918">
        <v>370</v>
      </c>
      <c r="K14" s="2918">
        <v>544.95000000000005</v>
      </c>
      <c r="L14" s="2918">
        <v>0</v>
      </c>
      <c r="M14" s="2918" t="s">
        <v>3080</v>
      </c>
      <c r="N14" s="2918" t="s">
        <v>3016</v>
      </c>
    </row>
    <row r="15" spans="1:14">
      <c r="A15" s="2918" t="s">
        <v>3179</v>
      </c>
      <c r="B15" s="2918" t="s">
        <v>3008</v>
      </c>
      <c r="C15" s="2918" t="s">
        <v>3009</v>
      </c>
      <c r="D15" s="2918">
        <v>17368.8</v>
      </c>
      <c r="E15" s="2918">
        <v>52106.400000000001</v>
      </c>
      <c r="F15" s="2918" t="s">
        <v>3023</v>
      </c>
      <c r="G15" s="2918" t="s">
        <v>3011</v>
      </c>
      <c r="H15" s="2918" t="s">
        <v>3079</v>
      </c>
      <c r="I15" s="2918">
        <v>6700</v>
      </c>
      <c r="J15" s="2918">
        <v>6780</v>
      </c>
      <c r="K15" s="2918">
        <v>1301.18</v>
      </c>
      <c r="L15" s="2918">
        <v>1.19</v>
      </c>
      <c r="M15" s="2918" t="s">
        <v>3180</v>
      </c>
      <c r="N15" s="2918" t="s">
        <v>3013</v>
      </c>
    </row>
    <row r="16" spans="1:14">
      <c r="A16" s="2918" t="s">
        <v>3081</v>
      </c>
      <c r="B16" s="2918" t="s">
        <v>3008</v>
      </c>
      <c r="C16" s="2918" t="s">
        <v>3009</v>
      </c>
      <c r="D16" s="2918">
        <v>2869</v>
      </c>
      <c r="E16" s="2918">
        <v>1434.5</v>
      </c>
      <c r="F16" s="2918" t="s">
        <v>3017</v>
      </c>
      <c r="G16" s="2918" t="s">
        <v>3011</v>
      </c>
      <c r="H16" s="2918" t="s">
        <v>3079</v>
      </c>
      <c r="I16" s="2918">
        <v>560</v>
      </c>
      <c r="J16" s="2918">
        <v>560</v>
      </c>
      <c r="K16" s="2918">
        <v>3903.8</v>
      </c>
      <c r="L16" s="2918">
        <v>0</v>
      </c>
      <c r="M16" s="2918" t="s">
        <v>3082</v>
      </c>
      <c r="N16" s="2918" t="s">
        <v>3016</v>
      </c>
    </row>
    <row r="17" spans="1:14">
      <c r="A17" s="2918" t="s">
        <v>3181</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3082</v>
      </c>
      <c r="N17" s="2918" t="s">
        <v>3016</v>
      </c>
    </row>
    <row r="18" spans="1:14">
      <c r="A18" s="2918" t="s">
        <v>3182</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3183</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3184</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3185</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3083</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3084</v>
      </c>
      <c r="N23" s="2918" t="s">
        <v>3016</v>
      </c>
    </row>
    <row r="24" spans="1:14" s="3201" customFormat="1">
      <c r="A24" s="2918" t="s">
        <v>3085</v>
      </c>
      <c r="B24" s="2918" t="s">
        <v>3008</v>
      </c>
      <c r="C24" s="2918" t="s">
        <v>3009</v>
      </c>
      <c r="D24" s="2918">
        <v>22412</v>
      </c>
      <c r="E24" s="2918">
        <v>4482.3999999999996</v>
      </c>
      <c r="F24" s="2918" t="s">
        <v>3086</v>
      </c>
      <c r="G24" s="2918" t="s">
        <v>3011</v>
      </c>
      <c r="H24" s="2918" t="s">
        <v>3024</v>
      </c>
      <c r="I24" s="2918">
        <v>1810</v>
      </c>
      <c r="J24" s="2918">
        <v>7170</v>
      </c>
      <c r="K24" s="2918">
        <v>15995.89</v>
      </c>
      <c r="L24" s="2918">
        <v>296.13</v>
      </c>
      <c r="M24" s="2918" t="s">
        <v>3082</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3186</v>
      </c>
      <c r="B28" s="2918" t="s">
        <v>3008</v>
      </c>
      <c r="C28" s="2918" t="s">
        <v>3009</v>
      </c>
      <c r="D28" s="2918">
        <v>10154.799999999999</v>
      </c>
      <c r="E28" s="2918">
        <v>13201.24</v>
      </c>
      <c r="F28" s="2918" t="s">
        <v>3187</v>
      </c>
      <c r="G28" s="2918" t="s">
        <v>3011</v>
      </c>
      <c r="H28" s="2918" t="s">
        <v>3188</v>
      </c>
      <c r="I28" s="2918">
        <v>2280</v>
      </c>
      <c r="J28" s="2918">
        <v>2320</v>
      </c>
      <c r="K28" s="2918">
        <v>1757.41</v>
      </c>
      <c r="L28" s="2918">
        <v>1.75</v>
      </c>
      <c r="M28" s="2918" t="s">
        <v>3189</v>
      </c>
      <c r="N28" s="2918" t="s">
        <v>3016</v>
      </c>
    </row>
    <row r="29" spans="1:14" s="3201" customFormat="1">
      <c r="A29" s="2918" t="s">
        <v>3190</v>
      </c>
      <c r="B29" s="2918" t="s">
        <v>3008</v>
      </c>
      <c r="C29" s="2918" t="s">
        <v>3009</v>
      </c>
      <c r="D29" s="2918">
        <v>9605.4</v>
      </c>
      <c r="E29" s="2918">
        <v>38421.599999999999</v>
      </c>
      <c r="F29" s="2918" t="s">
        <v>3191</v>
      </c>
      <c r="G29" s="2918" t="s">
        <v>3011</v>
      </c>
      <c r="H29" s="2918" t="s">
        <v>3188</v>
      </c>
      <c r="I29" s="2918">
        <v>3100</v>
      </c>
      <c r="J29" s="2918">
        <v>3160</v>
      </c>
      <c r="K29" s="2918">
        <v>822.45</v>
      </c>
      <c r="L29" s="2918">
        <v>1.94</v>
      </c>
      <c r="M29" s="2918" t="s">
        <v>3192</v>
      </c>
      <c r="N29" s="2918" t="s">
        <v>3016</v>
      </c>
    </row>
    <row r="30" spans="1:14" s="3201" customFormat="1">
      <c r="A30" s="2918" t="s">
        <v>3193</v>
      </c>
      <c r="B30" s="2918" t="s">
        <v>3008</v>
      </c>
      <c r="C30" s="2918" t="s">
        <v>3009</v>
      </c>
      <c r="D30" s="2918">
        <v>20726.2</v>
      </c>
      <c r="E30" s="2918">
        <v>41452.400000000001</v>
      </c>
      <c r="F30" s="2918" t="s">
        <v>3018</v>
      </c>
      <c r="G30" s="2918" t="s">
        <v>3011</v>
      </c>
      <c r="H30" s="2918" t="s">
        <v>3188</v>
      </c>
      <c r="I30" s="2918">
        <v>4410</v>
      </c>
      <c r="J30" s="2918">
        <v>4490</v>
      </c>
      <c r="K30" s="2918">
        <v>1083.17</v>
      </c>
      <c r="L30" s="2918">
        <v>1.81</v>
      </c>
      <c r="M30" s="2918" t="s">
        <v>3194</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3195</v>
      </c>
      <c r="B32" s="2918" t="s">
        <v>3008</v>
      </c>
      <c r="C32" s="2918" t="s">
        <v>3009</v>
      </c>
      <c r="D32" s="2918">
        <v>5962.9</v>
      </c>
      <c r="E32" s="2918">
        <v>3577.74</v>
      </c>
      <c r="F32" s="2918" t="s">
        <v>3196</v>
      </c>
      <c r="G32" s="2918" t="s">
        <v>3011</v>
      </c>
      <c r="H32" s="2918" t="s">
        <v>3041</v>
      </c>
      <c r="I32" s="2918">
        <v>950</v>
      </c>
      <c r="J32" s="2918">
        <v>950</v>
      </c>
      <c r="K32" s="2918">
        <v>2655.3</v>
      </c>
      <c r="L32" s="2918">
        <v>0</v>
      </c>
      <c r="M32" s="2918" t="s">
        <v>3089</v>
      </c>
      <c r="N32" s="2918" t="s">
        <v>3016</v>
      </c>
    </row>
    <row r="33" spans="1:14">
      <c r="A33" s="2918" t="s">
        <v>3087</v>
      </c>
      <c r="B33" s="2918" t="s">
        <v>3008</v>
      </c>
      <c r="C33" s="2918" t="s">
        <v>3009</v>
      </c>
      <c r="D33" s="2918">
        <v>45467.8</v>
      </c>
      <c r="E33" s="2918">
        <v>31827.46</v>
      </c>
      <c r="F33" s="2918" t="s">
        <v>3044</v>
      </c>
      <c r="G33" s="2918" t="s">
        <v>3011</v>
      </c>
      <c r="H33" s="2918" t="s">
        <v>3088</v>
      </c>
      <c r="I33" s="2918">
        <v>5950</v>
      </c>
      <c r="J33" s="2918">
        <v>5990</v>
      </c>
      <c r="K33" s="2918">
        <v>1882.01</v>
      </c>
      <c r="L33" s="2918">
        <v>0.67</v>
      </c>
      <c r="M33" s="2918" t="s">
        <v>3089</v>
      </c>
      <c r="N33" s="2918" t="s">
        <v>3016</v>
      </c>
    </row>
    <row r="34" spans="1:14">
      <c r="A34" s="2918" t="s">
        <v>3197</v>
      </c>
      <c r="B34" s="2918" t="s">
        <v>3008</v>
      </c>
      <c r="C34" s="2918" t="s">
        <v>3009</v>
      </c>
      <c r="D34" s="2918">
        <v>108938</v>
      </c>
      <c r="E34" s="2918">
        <v>65362.8</v>
      </c>
      <c r="F34" s="2918" t="s">
        <v>3196</v>
      </c>
      <c r="G34" s="2918" t="s">
        <v>3011</v>
      </c>
      <c r="H34" s="2918" t="s">
        <v>3088</v>
      </c>
      <c r="I34" s="2918">
        <v>16600</v>
      </c>
      <c r="J34" s="2918">
        <v>16600</v>
      </c>
      <c r="K34" s="2918">
        <v>2539.67</v>
      </c>
      <c r="L34" s="2918">
        <v>0</v>
      </c>
      <c r="M34" s="2918" t="s">
        <v>3089</v>
      </c>
      <c r="N34" s="2918" t="s">
        <v>3016</v>
      </c>
    </row>
    <row r="35" spans="1:14">
      <c r="A35" s="2918" t="s">
        <v>3090</v>
      </c>
      <c r="B35" s="2918" t="s">
        <v>3008</v>
      </c>
      <c r="C35" s="2918" t="s">
        <v>3009</v>
      </c>
      <c r="D35" s="2918">
        <v>40465</v>
      </c>
      <c r="E35" s="2918">
        <v>101162.5</v>
      </c>
      <c r="F35" s="2918" t="s">
        <v>3027</v>
      </c>
      <c r="G35" s="2918" t="s">
        <v>3011</v>
      </c>
      <c r="H35" s="2918" t="s">
        <v>3088</v>
      </c>
      <c r="I35" s="2918">
        <v>10020</v>
      </c>
      <c r="J35" s="2918">
        <v>14600</v>
      </c>
      <c r="K35" s="2918">
        <v>1443.22</v>
      </c>
      <c r="L35" s="2918">
        <v>45.71</v>
      </c>
      <c r="M35" s="2918" t="s">
        <v>3091</v>
      </c>
      <c r="N35" s="2918" t="s">
        <v>3016</v>
      </c>
    </row>
    <row r="36" spans="1:14">
      <c r="A36" s="2918" t="s">
        <v>3198</v>
      </c>
      <c r="B36" s="2918" t="s">
        <v>3008</v>
      </c>
      <c r="C36" s="2918" t="s">
        <v>3009</v>
      </c>
      <c r="D36" s="2918">
        <v>5550.5</v>
      </c>
      <c r="E36" s="2918">
        <v>3330.3</v>
      </c>
      <c r="F36" s="2918" t="s">
        <v>3196</v>
      </c>
      <c r="G36" s="2918" t="s">
        <v>3011</v>
      </c>
      <c r="H36" s="2918" t="s">
        <v>3088</v>
      </c>
      <c r="I36" s="2918">
        <v>1430</v>
      </c>
      <c r="J36" s="2918">
        <v>1430</v>
      </c>
      <c r="K36" s="2918">
        <v>4293.8999999999996</v>
      </c>
      <c r="L36" s="2918">
        <v>0</v>
      </c>
      <c r="M36" s="2918" t="s">
        <v>3199</v>
      </c>
      <c r="N36" s="2918" t="s">
        <v>3016</v>
      </c>
    </row>
    <row r="37" spans="1:14">
      <c r="A37" s="2918" t="s">
        <v>3092</v>
      </c>
      <c r="B37" s="2918" t="s">
        <v>3008</v>
      </c>
      <c r="C37" s="2918" t="s">
        <v>3009</v>
      </c>
      <c r="D37" s="2918">
        <v>61907</v>
      </c>
      <c r="E37" s="2918">
        <v>154767.5</v>
      </c>
      <c r="F37" s="2918" t="s">
        <v>3010</v>
      </c>
      <c r="G37" s="2918" t="s">
        <v>3011</v>
      </c>
      <c r="H37" s="2918" t="s">
        <v>3088</v>
      </c>
      <c r="I37" s="2918">
        <v>9860</v>
      </c>
      <c r="J37" s="2918">
        <v>14300</v>
      </c>
      <c r="K37" s="2918">
        <v>923.97</v>
      </c>
      <c r="L37" s="2918">
        <v>45.03</v>
      </c>
      <c r="M37" s="2918" t="s">
        <v>3093</v>
      </c>
      <c r="N37" s="2918" t="s">
        <v>3016</v>
      </c>
    </row>
    <row r="38" spans="1:14" s="3185" customFormat="1" ht="12" customHeight="1">
      <c r="A38" s="3184" t="s">
        <v>3094</v>
      </c>
      <c r="B38" s="3184" t="s">
        <v>3008</v>
      </c>
      <c r="C38" s="3184" t="s">
        <v>3009</v>
      </c>
      <c r="D38" s="3184">
        <v>42708</v>
      </c>
      <c r="E38" s="3184">
        <v>76874.399999999994</v>
      </c>
      <c r="F38" s="3184" t="s">
        <v>3040</v>
      </c>
      <c r="G38" s="3184" t="s">
        <v>3011</v>
      </c>
      <c r="H38" s="3184" t="s">
        <v>3088</v>
      </c>
      <c r="I38" s="3184">
        <v>12180</v>
      </c>
      <c r="J38" s="3184">
        <v>17700</v>
      </c>
      <c r="K38" s="3184">
        <v>2302.46</v>
      </c>
      <c r="L38" s="3184">
        <v>45.32</v>
      </c>
      <c r="M38" s="3184" t="s">
        <v>3091</v>
      </c>
      <c r="N38" s="3184" t="s">
        <v>3016</v>
      </c>
    </row>
    <row r="39" spans="1:14">
      <c r="A39" s="2918" t="s">
        <v>3193</v>
      </c>
      <c r="B39" s="2918" t="s">
        <v>3008</v>
      </c>
      <c r="C39" s="2918" t="s">
        <v>3009</v>
      </c>
      <c r="D39" s="2918">
        <v>31293.1</v>
      </c>
      <c r="E39" s="2918">
        <v>62586.2</v>
      </c>
      <c r="F39" s="2918" t="s">
        <v>3018</v>
      </c>
      <c r="G39" s="2918" t="s">
        <v>3011</v>
      </c>
      <c r="H39" s="2918" t="s">
        <v>3088</v>
      </c>
      <c r="I39" s="2918">
        <v>6510</v>
      </c>
      <c r="J39" s="2918">
        <v>6590</v>
      </c>
      <c r="K39" s="2918">
        <v>1052.95</v>
      </c>
      <c r="L39" s="2918">
        <v>1.23</v>
      </c>
      <c r="M39" s="2918" t="s">
        <v>3200</v>
      </c>
      <c r="N39" s="2918" t="s">
        <v>3016</v>
      </c>
    </row>
    <row r="40" spans="1:14">
      <c r="A40" s="2918" t="s">
        <v>3095</v>
      </c>
      <c r="B40" s="2918" t="s">
        <v>3008</v>
      </c>
      <c r="C40" s="2918" t="s">
        <v>3009</v>
      </c>
      <c r="D40" s="2918">
        <v>23835.599999999999</v>
      </c>
      <c r="E40" s="2918">
        <v>59589</v>
      </c>
      <c r="F40" s="2918" t="s">
        <v>3010</v>
      </c>
      <c r="G40" s="2918" t="s">
        <v>3011</v>
      </c>
      <c r="H40" s="2918" t="s">
        <v>3088</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3201</v>
      </c>
      <c r="B42" s="2918" t="s">
        <v>3008</v>
      </c>
      <c r="C42" s="2918" t="s">
        <v>3009</v>
      </c>
      <c r="D42" s="2918">
        <v>6902.3</v>
      </c>
      <c r="E42" s="2918">
        <v>15185.06</v>
      </c>
      <c r="F42" s="2918" t="s">
        <v>3158</v>
      </c>
      <c r="G42" s="2918" t="s">
        <v>3011</v>
      </c>
      <c r="H42" s="2918" t="s">
        <v>3202</v>
      </c>
      <c r="I42" s="2918">
        <v>1480</v>
      </c>
      <c r="J42" s="2918">
        <v>1540</v>
      </c>
      <c r="K42" s="2918">
        <v>1014.14</v>
      </c>
      <c r="L42" s="2918">
        <v>4.05</v>
      </c>
      <c r="M42" s="2918" t="s">
        <v>3203</v>
      </c>
      <c r="N42" s="2918" t="s">
        <v>3016</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2039</v>
      </c>
      <c r="B1" s="3215"/>
      <c r="C1" s="3215"/>
      <c r="D1" s="3215"/>
      <c r="E1" s="3215"/>
      <c r="F1" s="3215"/>
      <c r="G1" s="3215"/>
      <c r="H1" s="3215"/>
      <c r="I1" s="3215"/>
      <c r="J1" s="3215"/>
      <c r="K1" s="3215"/>
      <c r="L1" s="3215"/>
      <c r="M1" s="3215"/>
      <c r="N1" s="3215"/>
      <c r="O1" s="3215"/>
      <c r="P1" s="3215"/>
      <c r="Q1" s="3215"/>
      <c r="R1" s="3215"/>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6" t="s">
        <v>2030</v>
      </c>
      <c r="B3" s="3216" t="s">
        <v>2732</v>
      </c>
      <c r="C3" s="3217" t="s">
        <v>2031</v>
      </c>
      <c r="D3" s="3216" t="s">
        <v>2736</v>
      </c>
      <c r="E3" s="3211" t="s">
        <v>2032</v>
      </c>
      <c r="F3" s="3211"/>
      <c r="G3" s="3211"/>
      <c r="H3" s="3211" t="s">
        <v>2033</v>
      </c>
      <c r="I3" s="3211"/>
      <c r="J3" s="3211"/>
      <c r="K3" s="3217" t="s">
        <v>2034</v>
      </c>
      <c r="L3" s="3217" t="s">
        <v>2035</v>
      </c>
      <c r="M3" s="3216" t="s">
        <v>2733</v>
      </c>
      <c r="N3" s="3218" t="str">
        <f>"（分摊）"&amp;项目基本情况!B16&amp;"国有建设用地使用权面积/㎡"</f>
        <v>（分摊）出让国有建设用地使用权面积/㎡</v>
      </c>
      <c r="O3" s="3216" t="s">
        <v>2064</v>
      </c>
      <c r="P3" s="3217" t="s">
        <v>2044</v>
      </c>
      <c r="Q3" s="3217" t="s">
        <v>2065</v>
      </c>
      <c r="R3" s="3217" t="s">
        <v>2036</v>
      </c>
    </row>
    <row r="4" spans="1:18" ht="36.75" customHeight="1">
      <c r="A4" s="3216"/>
      <c r="B4" s="3216"/>
      <c r="C4" s="3217"/>
      <c r="D4" s="3216"/>
      <c r="E4" s="2629" t="s">
        <v>2043</v>
      </c>
      <c r="F4" s="2629" t="s">
        <v>2745</v>
      </c>
      <c r="G4" s="2629" t="s">
        <v>2037</v>
      </c>
      <c r="H4" s="2629" t="s">
        <v>2038</v>
      </c>
      <c r="I4" s="2629" t="s">
        <v>2746</v>
      </c>
      <c r="J4" s="2629" t="s">
        <v>2037</v>
      </c>
      <c r="K4" s="3217"/>
      <c r="L4" s="3217"/>
      <c r="M4" s="3216"/>
      <c r="N4" s="3218"/>
      <c r="O4" s="3216"/>
      <c r="P4" s="3217"/>
      <c r="Q4" s="3217"/>
      <c r="R4" s="3217"/>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8393</v>
      </c>
      <c r="Q5" s="1811">
        <f ca="1">结果表!D42</f>
        <v>3210</v>
      </c>
      <c r="R5" s="1812">
        <f ca="1">结果表!C42</f>
        <v>28248</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3" t="str">
        <f>结果表!O39</f>
        <v>——</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3"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9" t="s">
        <v>2066</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2067</v>
      </c>
      <c r="B5" s="3222"/>
      <c r="C5" s="3222"/>
      <c r="D5" s="3222"/>
    </row>
    <row r="6" spans="1:4">
      <c r="A6" s="3219" t="s">
        <v>2045</v>
      </c>
      <c r="B6" s="3219"/>
      <c r="C6" s="3219"/>
      <c r="D6" s="3219"/>
    </row>
    <row r="7" spans="1:4" ht="33" customHeight="1">
      <c r="A7" s="3219" t="s">
        <v>2576</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2069</v>
      </c>
      <c r="B12" s="3222"/>
      <c r="C12" s="3222"/>
      <c r="D12" s="3222"/>
    </row>
    <row r="13" spans="1:4">
      <c r="A13" s="3220" t="s">
        <v>2747</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2703</v>
      </c>
      <c r="B17" s="3219"/>
      <c r="C17" s="3219"/>
      <c r="D17" s="3219"/>
    </row>
    <row r="18" spans="1:4">
      <c r="A18" s="3219" t="s">
        <v>2695</v>
      </c>
      <c r="B18" s="3219"/>
      <c r="C18" s="3219"/>
      <c r="D18" s="3219"/>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9" t="s">
        <v>2700</v>
      </c>
      <c r="B23" s="3219"/>
      <c r="C23" s="3219"/>
      <c r="D23" s="3219"/>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1" t="s">
        <v>53</v>
      </c>
      <c r="B15" s="3232" t="s">
        <v>846</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837</v>
      </c>
    </row>
    <row r="25" spans="1:3" ht="14.25">
      <c r="A25" s="3230"/>
      <c r="B25" s="3234"/>
      <c r="C25" s="1176" t="s">
        <v>838</v>
      </c>
    </row>
    <row r="26" spans="1:3" ht="14.25">
      <c r="A26" s="3230"/>
      <c r="B26" s="3234"/>
      <c r="C26" s="1176" t="s">
        <v>839</v>
      </c>
    </row>
    <row r="27" spans="1:3" ht="14.25">
      <c r="A27" s="3230"/>
      <c r="B27" s="3234"/>
      <c r="C27" s="1176" t="s">
        <v>840</v>
      </c>
    </row>
    <row r="28" spans="1:3" ht="14.25">
      <c r="A28" s="3230"/>
      <c r="B28" s="3234"/>
      <c r="C28" s="1176" t="s">
        <v>841</v>
      </c>
    </row>
    <row r="29" spans="1:3" ht="14.25">
      <c r="A29" s="3230"/>
      <c r="B29" s="3234"/>
      <c r="C29" s="1176" t="s">
        <v>842</v>
      </c>
    </row>
    <row r="30" spans="1:3" ht="14.25">
      <c r="A30" s="3230"/>
      <c r="B30" s="3234"/>
      <c r="C30" s="1176" t="s">
        <v>843</v>
      </c>
    </row>
    <row r="31" spans="1:3" ht="14.25">
      <c r="A31" s="3230"/>
      <c r="B31" s="3234"/>
      <c r="C31" s="1176" t="s">
        <v>844</v>
      </c>
    </row>
    <row r="32" spans="1:3" ht="14.25">
      <c r="A32" s="3230"/>
      <c r="B32" s="3234"/>
      <c r="C32" s="1176" t="s">
        <v>1647</v>
      </c>
    </row>
    <row r="33" spans="1:3" ht="14.25">
      <c r="A33" s="3230"/>
      <c r="B33" s="3224" t="s">
        <v>1653</v>
      </c>
      <c r="C33" s="1176" t="s">
        <v>1648</v>
      </c>
    </row>
    <row r="34" spans="1:3" ht="14.25">
      <c r="A34" s="3230"/>
      <c r="B34" s="3225"/>
      <c r="C34" s="1181" t="s">
        <v>1649</v>
      </c>
    </row>
    <row r="35" spans="1:3" ht="14.25">
      <c r="A35" s="3230"/>
      <c r="B35" s="3225"/>
      <c r="C35" s="1182" t="s">
        <v>1650</v>
      </c>
    </row>
    <row r="36" spans="1:3" ht="14.25">
      <c r="A36" s="3230"/>
      <c r="B36" s="3225"/>
      <c r="C36" s="1182" t="s">
        <v>1651</v>
      </c>
    </row>
    <row r="37" spans="1:3" ht="14.25">
      <c r="A37" s="3230"/>
      <c r="B37" s="322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43556</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3207</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 (办公)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2019-04-01T02:19:56Z</dcterms:modified>
</cp:coreProperties>
</file>